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https://nuwildcat-my.sharepoint.com/personal/cnk3062_ads_northwestern_edu/Documents/Backup - Wits/Pregnancy Grant - Aisha/Draft Model/Latest/"/>
    </mc:Choice>
  </mc:AlternateContent>
  <xr:revisionPtr revIDLastSave="31" documentId="11_4ACA2A6A4DF5ED7EDE314EA195CAC48D3E1A56EC" xr6:coauthVersionLast="47" xr6:coauthVersionMax="47" xr10:uidLastSave="{8E09BE35-CDE0-4AA4-AEEB-CC68F2B00333}"/>
  <bookViews>
    <workbookView xWindow="-108" yWindow="-108" windowWidth="23256" windowHeight="12576" tabRatio="856" firstSheet="4" activeTab="18" xr2:uid="{00000000-000D-0000-FFFF-FFFF00000000}"/>
  </bookViews>
  <sheets>
    <sheet name="Search terms" sheetId="2" state="hidden" r:id="rId1"/>
    <sheet name="Management protocol" sheetId="12" state="hidden" r:id="rId2"/>
    <sheet name="PSG tree figure" sheetId="9" state="hidden" r:id="rId3"/>
    <sheet name="Comparator tree figure" sheetId="10" state="hidden" r:id="rId4"/>
    <sheet name="Demographics" sheetId="25" r:id="rId5"/>
    <sheet name="Cost" sheetId="11" r:id="rId6"/>
    <sheet name="Utilities" sheetId="13" state="hidden" r:id="rId7"/>
    <sheet name="DALYs" sheetId="17" state="hidden" r:id="rId8"/>
    <sheet name="DALY - SB" sheetId="30" r:id="rId9"/>
    <sheet name="DALY - CLD" sheetId="29" r:id="rId10"/>
    <sheet name="DALY - motor impairement" sheetId="28" r:id="rId11"/>
    <sheet name="Base case probabilities" sheetId="26" r:id="rId12"/>
    <sheet name="Parameters" sheetId="5" r:id="rId13"/>
    <sheet name="(A) Grant and ANC coverage" sheetId="3" state="hidden" r:id="rId14"/>
    <sheet name="(B) Preterm" sheetId="1" state="hidden" r:id="rId15"/>
    <sheet name="(C) LBW" sheetId="4" state="hidden" r:id="rId16"/>
    <sheet name="(D) RDS, NEC, Sepsis" sheetId="6" state="hidden" r:id="rId17"/>
    <sheet name="DT1" sheetId="7" state="hidden" r:id="rId18"/>
    <sheet name="Decision tree" sheetId="27" r:id="rId19"/>
    <sheet name="Analysis" sheetId="15" state="hidden" r:id="rId20"/>
    <sheet name="Output" sheetId="16" r:id="rId21"/>
  </sheets>
  <definedNames>
    <definedName name="Adult_births">Demographics!$B$8</definedName>
    <definedName name="AGA_prem_2d_1">Parameters!$B$31</definedName>
    <definedName name="AGA_prem_2d_2">Parameters!$B$85</definedName>
    <definedName name="AGA_prem_2d_3">Parameters!$B$144</definedName>
    <definedName name="AGA_prem_2d_4">Parameters!$B$198</definedName>
    <definedName name="AGA_prem_2hypoglycaemia_1">Parameters!$B$47</definedName>
    <definedName name="AGA_prem_2hypoglycaemia_2">Parameters!$B$101</definedName>
    <definedName name="AGA_prem_2hypoglycaemia_3">Parameters!$B$160</definedName>
    <definedName name="AGA_prem_2hypoglycaemia_4">Parameters!$B$47</definedName>
    <definedName name="AGA_prem_2normoglycaemia_1">Parameters!$B$48</definedName>
    <definedName name="AGA_prem_2normoglycaemia_2">Parameters!$B$102</definedName>
    <definedName name="AGA_prem_2normoglycaemia_3">Parameters!$B$161</definedName>
    <definedName name="AGA_prem_2normoglycaemia_4">Parameters!$B$48</definedName>
    <definedName name="AGA_prem_2s_1">Parameters!$B$32</definedName>
    <definedName name="AGA_prem_2s_2">Parameters!$B$86</definedName>
    <definedName name="AGA_prem_2s_3">Parameters!$B$145</definedName>
    <definedName name="AGA_prem_2s_4">Parameters!$B$199</definedName>
    <definedName name="AGA_term_2d_1">Parameters!$B$35</definedName>
    <definedName name="AGA_term_2d_2">Parameters!$B$89</definedName>
    <definedName name="AGA_term_2d_3">Parameters!$B$148</definedName>
    <definedName name="AGA_term_2d_4">Parameters!$B$202</definedName>
    <definedName name="AGA_term_2hypoglycaemia_1">Parameters!$B$49</definedName>
    <definedName name="AGA_term_2hypoglycaemia_2">Parameters!$B$103</definedName>
    <definedName name="AGA_term_2hypoglycaemia_3">Parameters!$B$162</definedName>
    <definedName name="AGA_term_2hypoglycaemia_4">Parameters!$B$49</definedName>
    <definedName name="AGA_term_2normoglycaemia_1">Parameters!$B$50</definedName>
    <definedName name="AGA_term_2normoglycaemia_2">Parameters!$B$104</definedName>
    <definedName name="AGA_term_2normoglycaemia_3">Parameters!$B$163</definedName>
    <definedName name="AGA_term_2normoglycaemia_4">Parameters!$B$50</definedName>
    <definedName name="AGA_term_2s_1">Parameters!$B$36</definedName>
    <definedName name="AGA_term_2s_2">Parameters!$B$90</definedName>
    <definedName name="AGA_term_2s_3">Parameters!$B$149</definedName>
    <definedName name="AGA_term_2s_4">Parameters!$B$203</definedName>
    <definedName name="ANC_cost">Parameters!$B$241</definedName>
    <definedName name="ANC_first_visit">Demographics!$B$13</definedName>
    <definedName name="ANC_first_visit_coverage_rate">Demographics!$B$15</definedName>
    <definedName name="ANC_first_vist__increase">Parameters!#REF!</definedName>
    <definedName name="ANC2LB_1">Parameters!$B$10</definedName>
    <definedName name="ANC2LB_3">Parameters!$B$123</definedName>
    <definedName name="ANC2prem_1">Parameters!$B$9</definedName>
    <definedName name="ANC2prem_3">Parameters!#REF!</definedName>
    <definedName name="ANC2SB_1">Parameters!$B$9</definedName>
    <definedName name="ANC2SB_3">Parameters!$B$122</definedName>
    <definedName name="ANC2term_1">Parameters!$B$10</definedName>
    <definedName name="ANC2term_3">Parameters!#REF!</definedName>
    <definedName name="Annual_births">Parameters!#REF!</definedName>
    <definedName name="Arm_1">Parameters!$B$8</definedName>
    <definedName name="Arm_2">Parameters!$B$62</definedName>
    <definedName name="Arm_3">Parameters!$B$121</definedName>
    <definedName name="Arm_4">Parameters!$B$175</definedName>
    <definedName name="Average_life_expectancy_at_birth">Demographics!$B$11</definedName>
    <definedName name="c_1year">Parameters!$B$252</definedName>
    <definedName name="c_2years">Parameters!$B$253</definedName>
    <definedName name="c_ANC">Parameters!$B$241</definedName>
    <definedName name="c_clinic_fu">Parameters!$B$251</definedName>
    <definedName name="c_cog">Parameters!$B$249</definedName>
    <definedName name="c_CSG">Parameters!$B$240</definedName>
    <definedName name="c_grant">Parameters!$B$239</definedName>
    <definedName name="c_hosp_fu">Parameters!$B$250</definedName>
    <definedName name="c_hypo">Parameters!$B$247</definedName>
    <definedName name="c_LBW">Parameters!$B$243</definedName>
    <definedName name="c_lung">Parameters!$B$248</definedName>
    <definedName name="c_NICU_NBW">Parameters!$B$244</definedName>
    <definedName name="c_prem">Parameters!$B$242</definedName>
    <definedName name="c_RDS">Parameters!$B$246</definedName>
    <definedName name="c_SB">Parameters!$B$245</definedName>
    <definedName name="Children_receiving_CSG">Demographics!$B$12</definedName>
    <definedName name="ChronicResp_cost">Parameters!$B$248</definedName>
    <definedName name="Cognitive_impairement_cost">Parameters!$B$249</definedName>
    <definedName name="Comparator_probabilities">Parameters!$B$116</definedName>
    <definedName name="Complication_rate">Parameters!#REF!</definedName>
    <definedName name="DR">Parameters!$B$271</definedName>
    <definedName name="e_ANC">Parameters!$B$231</definedName>
    <definedName name="e_LBW">Parameters!$B$233</definedName>
    <definedName name="e_mortality">Parameters!$B$235</definedName>
    <definedName name="e_premterm_PSGANC">Parameters!#REF!</definedName>
    <definedName name="e_preterm">Parameters!$B$232</definedName>
    <definedName name="e_preterm_ANC">Parameters!#REF!</definedName>
    <definedName name="e_preterm_PSG">Parameters!$B$232</definedName>
    <definedName name="e_SGA">Parameters!$B$234</definedName>
    <definedName name="Female_life_expectancy_at_birth">Demographics!$B$10</definedName>
    <definedName name="Female_population">Demographics!$B$5</definedName>
    <definedName name="follow_up__clinic__cost">Parameters!$B$251</definedName>
    <definedName name="follow_up__hosp__cost">Parameters!$B$250</definedName>
    <definedName name="G2ANC">Parameters!$B$5</definedName>
    <definedName name="G2noANC">Parameters!$B$6</definedName>
    <definedName name="Grant_cost">Parameters!$B$239</definedName>
    <definedName name="Grant_eligibility_rate">Parameters!#REF!</definedName>
    <definedName name="Hypo2CI_1">Parameters!$B$57</definedName>
    <definedName name="Hypo2CI_2">Parameters!$B$111</definedName>
    <definedName name="Hypo2CI_3">Parameters!$B$170</definedName>
    <definedName name="Hypo2CI_4">Parameters!$B$224</definedName>
    <definedName name="Hypo2cog_1">Parameters!$B$26</definedName>
    <definedName name="Hypo2cog_2">Parameters!#REF!</definedName>
    <definedName name="Hypo2cog_3">Parameters!#REF!</definedName>
    <definedName name="Hypo2cog_4">Parameters!#REF!</definedName>
    <definedName name="Hypo2noCI_1">Parameters!$B$58</definedName>
    <definedName name="Hypo2noCI_2">Parameters!$B$112</definedName>
    <definedName name="Hypo2noCI_3">Parameters!$B$171</definedName>
    <definedName name="Hypo2noCI_4">Parameters!$B$225</definedName>
    <definedName name="Hypo2norm_1">Parameters!$B$27</definedName>
    <definedName name="Hypo2norm_2">Parameters!#REF!</definedName>
    <definedName name="Hypo2norm_3">Parameters!#REF!</definedName>
    <definedName name="Hypo2norm_4">Parameters!#REF!</definedName>
    <definedName name="Hypoglycaemia">Parameters!#REF!</definedName>
    <definedName name="Hypoglycaemia_cost">Parameters!$B$247</definedName>
    <definedName name="LB2prem_1">Parameters!$B$12</definedName>
    <definedName name="LB2prem_2">Parameters!$B$66</definedName>
    <definedName name="LB2prem_3">Parameters!$B$125</definedName>
    <definedName name="LB2prem_4">Parameters!$B$179</definedName>
    <definedName name="LB2term_1">Parameters!$B$13</definedName>
    <definedName name="LB2term_2">Parameters!$B$67</definedName>
    <definedName name="LB2term_3">Parameters!$B$126</definedName>
    <definedName name="LB2term_4">Parameters!$B$180</definedName>
    <definedName name="LBW__reduction">Parameters!#REF!</definedName>
    <definedName name="LBW_cost">Parameters!$B$243</definedName>
    <definedName name="LBW_prem_2AGA_1">Parameters!$B$21</definedName>
    <definedName name="LBW_prem_2AGA_2">Parameters!$B$75</definedName>
    <definedName name="LBW_prem_2AGA_3">Parameters!$B$134</definedName>
    <definedName name="LBW_prem_2AGA_4">Parameters!$B$188</definedName>
    <definedName name="LBW_prem_2SGA_1">Parameters!$B$20</definedName>
    <definedName name="LBW_prem_2SGA_2">Parameters!$B$74</definedName>
    <definedName name="LBW_prem_2SGA_3">Parameters!$B$133</definedName>
    <definedName name="LBW_prem_2SGA_4">Parameters!$B$187</definedName>
    <definedName name="LBW_term_2AGA_1">Parameters!$B$25</definedName>
    <definedName name="LBW_term_2AGA_2">Parameters!$B$79</definedName>
    <definedName name="LBW_term_2AGA_3">Parameters!$B$138</definedName>
    <definedName name="LBW_term_2AGA_4">Parameters!$B$192</definedName>
    <definedName name="LBW_term_2SGA_1">Parameters!$B$24</definedName>
    <definedName name="LBW_term_2SGA_2">Parameters!$B$78</definedName>
    <definedName name="LBW_term_2SGA_3">Parameters!$B$137</definedName>
    <definedName name="LBW_term_2SGA_4">Parameters!$B$191</definedName>
    <definedName name="LBW2d_1">Parameters!$B$18</definedName>
    <definedName name="LBW2d_2">Parameters!$B$36</definedName>
    <definedName name="LBW2d_3">Parameters!#REF!</definedName>
    <definedName name="LBW2d_4">Parameters!#REF!</definedName>
    <definedName name="LBW2norm_1">Parameters!$B$17</definedName>
    <definedName name="LBW2norm_2">Parameters!$B$35</definedName>
    <definedName name="LBW2norm_3">Parameters!#REF!</definedName>
    <definedName name="LBW2norm_4">Parameters!#REF!</definedName>
    <definedName name="LBW2RDS_1">Parameters!$B$16</definedName>
    <definedName name="LBW2RDS_2">Parameters!$B$34</definedName>
    <definedName name="LBW2RDS_3">Parameters!#REF!</definedName>
    <definedName name="LBW2RDS_4">Parameters!#REF!</definedName>
    <definedName name="Male_life_expectancy_at_birth">Demographics!$B$9</definedName>
    <definedName name="NBW_prem_2AGA_1">Parameters!$B$23</definedName>
    <definedName name="NBW_prem_2AGA_2">Parameters!$B$77</definedName>
    <definedName name="NBW_prem_2AGA_3">Parameters!$B$136</definedName>
    <definedName name="NBW_prem_2AGA_4">Parameters!$B$190</definedName>
    <definedName name="NBW_prem_2SGA_1">Parameters!$B$22</definedName>
    <definedName name="NBW_prem_2SGA_2">Parameters!$B$76</definedName>
    <definedName name="NBW_prem_2SGA_3">Parameters!$B$135</definedName>
    <definedName name="NBW_prem_2SGA_4">Parameters!$B$189</definedName>
    <definedName name="NBW_term_2AGA_1">Parameters!$B$27</definedName>
    <definedName name="NBW_term_2AGA_2">Parameters!$B$81</definedName>
    <definedName name="NBW_term_2AGA_3">Parameters!$B$140</definedName>
    <definedName name="NBW_term_2AGA_4">Parameters!$B$194</definedName>
    <definedName name="NBW_term_2SGA_1">Parameters!$B$26</definedName>
    <definedName name="NBW_term_2SGA_2">Parameters!$B$80</definedName>
    <definedName name="NBW_term_2SGA_3">Parameters!$B$139</definedName>
    <definedName name="NBW_term_2SGA_4">Parameters!$B$193</definedName>
    <definedName name="NG2ANC">Parameters!#REF!</definedName>
    <definedName name="NG2noANC">Parameters!#REF!</definedName>
    <definedName name="No_ANC_rate">Demographics!$B$14</definedName>
    <definedName name="NoANC2LB_2">Parameters!$B$64</definedName>
    <definedName name="NoANC2LB_4">Parameters!$B$177</definedName>
    <definedName name="NoANC2prem_2">Parameters!$B$30</definedName>
    <definedName name="NoANC2prem_4">Parameters!#REF!</definedName>
    <definedName name="NoANC2SB_2">Parameters!$B$63</definedName>
    <definedName name="NoANC2SB_4">Parameters!$B$176</definedName>
    <definedName name="NoANC2term_2">Parameters!$B$31</definedName>
    <definedName name="NoANC2term_4">Parameters!#REF!</definedName>
    <definedName name="NoG2ANC">Parameters!$B$118</definedName>
    <definedName name="NoG2noANC">Parameters!$B$119</definedName>
    <definedName name="noHypo2CI_1">Parameters!$B$59</definedName>
    <definedName name="noHypo2CI_2">Parameters!$B$113</definedName>
    <definedName name="noHypo2CI_3">Parameters!$B$172</definedName>
    <definedName name="noHypo2CI_4">Parameters!$B$226</definedName>
    <definedName name="noHypo2noCI_1">Parameters!$B$60</definedName>
    <definedName name="noHypo2noCI_2">Parameters!$B$114</definedName>
    <definedName name="noHypo2noCI_3">Parameters!$B$173</definedName>
    <definedName name="noHypo2noCI_4">Parameters!$B$227</definedName>
    <definedName name="noRDS2CLD_1">Parameters!$B$54</definedName>
    <definedName name="noRDS2CLD_2">Parameters!$B$108</definedName>
    <definedName name="noRDS2CLD_3">Parameters!$B$167</definedName>
    <definedName name="noRDS2CLD_4">Parameters!$B$221</definedName>
    <definedName name="noRDS2noCLD_1">Parameters!$B$55</definedName>
    <definedName name="noRDS2noCLD_2">Parameters!$B$109</definedName>
    <definedName name="noRDS2noCLD_3">Parameters!$B$168</definedName>
    <definedName name="noRDS2noCLD_4">Parameters!$B$222</definedName>
    <definedName name="Population">Demographics!$B$4</definedName>
    <definedName name="Prem2LBW_1">Parameters!$B$15</definedName>
    <definedName name="Prem2LBW_2">Parameters!$B$69</definedName>
    <definedName name="Prem2LBW_3">Parameters!$B$128</definedName>
    <definedName name="Prem2LBW_4">Parameters!$B$182</definedName>
    <definedName name="Prem2NBW_1">Parameters!$B$16</definedName>
    <definedName name="Prem2NBW_2">Parameters!$B$70</definedName>
    <definedName name="Prem2NBW_3">Parameters!$B$129</definedName>
    <definedName name="Prem2NBW_4">Parameters!$B$183</definedName>
    <definedName name="Prem2norm_1">Parameters!$B$15</definedName>
    <definedName name="Prem2norm_2">Parameters!$B$33</definedName>
    <definedName name="Prem2norm_3">Parameters!#REF!</definedName>
    <definedName name="Prem2norm_4">Parameters!#REF!</definedName>
    <definedName name="Preterm__ANC_and_PSG">Parameters!#REF!</definedName>
    <definedName name="Preterm__reduction">Parameters!#REF!</definedName>
    <definedName name="Preterm_cost">Parameters!$B$242</definedName>
    <definedName name="Preterm_rate">Parameters!#REF!</definedName>
    <definedName name="Preterm_reduction_with_ANC">Parameters!#REF!</definedName>
    <definedName name="Rate_of_chronic_lung_disease">Parameters!#REF!</definedName>
    <definedName name="Rate_of_cognitive_impairement">Parameters!#REF!</definedName>
    <definedName name="Rate_of_LBW">Parameters!#REF!</definedName>
    <definedName name="Rate_of_LBW_death">Parameters!#REF!</definedName>
    <definedName name="Rate_of_prem_death">Parameters!#REF!</definedName>
    <definedName name="RDS_cost">Parameters!$B$246</definedName>
    <definedName name="RDS_death_rate">Parameters!#REF!</definedName>
    <definedName name="RDS_rate">Parameters!#REF!</definedName>
    <definedName name="RDS2CLD_1">Parameters!$B$52</definedName>
    <definedName name="RDS2CLD_2">Parameters!$B$106</definedName>
    <definedName name="RDS2CLD_3">Parameters!$B$165</definedName>
    <definedName name="RDS2CLD_4">Parameters!$B$219</definedName>
    <definedName name="RDS2lung_1">Parameters!$B$19</definedName>
    <definedName name="RDS2lung_2">Parameters!$B$37</definedName>
    <definedName name="RDS2lung_3">Parameters!#REF!</definedName>
    <definedName name="RDS2lung_4">Parameters!#REF!</definedName>
    <definedName name="RDS2noCLD_1">Parameters!$B$53</definedName>
    <definedName name="RDS2noCLD_2">Parameters!$B$107</definedName>
    <definedName name="RDS2noCLD_3">Parameters!$B$166</definedName>
    <definedName name="RDS2noCLD_4">Parameters!$B$220</definedName>
    <definedName name="RDS2norm_1">Parameters!$B$20</definedName>
    <definedName name="RDS2norm_2">Parameters!$B$38</definedName>
    <definedName name="RDS2norm_3">Parameters!#REF!</definedName>
    <definedName name="RDS2norm_4">Parameters!#REF!</definedName>
    <definedName name="S_prem_2noRDS_1">Parameters!$B$39</definedName>
    <definedName name="S_prem_2noRDS_2">Parameters!$B$93</definedName>
    <definedName name="S_prem_2noRDS_3">Parameters!$B$152</definedName>
    <definedName name="S_prem_2noRDS_4">Parameters!$B$206</definedName>
    <definedName name="S_prem_2RDS_1">Parameters!$B$38</definedName>
    <definedName name="S_prem_2RDS_2">Parameters!$B$92</definedName>
    <definedName name="S_prem_2RDS_3">Parameters!$B$151</definedName>
    <definedName name="S_prem_2RDS_4">Parameters!$B$205</definedName>
    <definedName name="S_term_2noRDS_1">Parameters!$B$41</definedName>
    <definedName name="S_term_2noRDS_2">Parameters!$B$95</definedName>
    <definedName name="S_term_2noRDS_3">Parameters!$B$154</definedName>
    <definedName name="S_term_2noRDS_4">Parameters!$B$208</definedName>
    <definedName name="S_term_2RDS_1">Parameters!$B$40</definedName>
    <definedName name="S_term_2RDS_2">Parameters!$B$94</definedName>
    <definedName name="S_term_2RDS_3">Parameters!$B$153</definedName>
    <definedName name="S_term_2RDS_4">Parameters!$B$207</definedName>
    <definedName name="SGA">Parameters!#REF!</definedName>
    <definedName name="SGA__reduction">Parameters!#REF!</definedName>
    <definedName name="SGA_death">Parameters!#REF!</definedName>
    <definedName name="SGA_prem_2d_1">Parameters!$B$29</definedName>
    <definedName name="SGA_prem_2d_2">Parameters!$B$83</definedName>
    <definedName name="SGA_prem_2d_3">Parameters!$B$142</definedName>
    <definedName name="SGA_prem_2d_4">Parameters!$B$196</definedName>
    <definedName name="SGA_prem_2hypoglycaemia_1">Parameters!$B$43</definedName>
    <definedName name="SGA_prem_2hypoglycaemia_2">Parameters!$B$97</definedName>
    <definedName name="SGA_prem_2hypoglycaemia_3">Parameters!$B$156</definedName>
    <definedName name="SGA_prem_2hypoglycaemia_4">Parameters!$B$210</definedName>
    <definedName name="SGA_prem_2normoglycaemia_1">Parameters!$B$44</definedName>
    <definedName name="SGA_prem_2normoglycaemia_2">Parameters!$B$98</definedName>
    <definedName name="SGA_prem_2normoglycaemia_3">Parameters!$B$157</definedName>
    <definedName name="SGA_prem_2normoglycaemia_4">Parameters!$B$211</definedName>
    <definedName name="SGA_prem_2s_1">Parameters!$B$30</definedName>
    <definedName name="SGA_prem_2s_2">Parameters!$B$84</definedName>
    <definedName name="SGA_prem_2s_3">Parameters!$B$143</definedName>
    <definedName name="SGA_prem_2s_4">Parameters!$B$197</definedName>
    <definedName name="SGA_term_2d_1">Parameters!$B$33</definedName>
    <definedName name="SGA_term_2d_2">Parameters!$B$87</definedName>
    <definedName name="SGA_term_2d_3">Parameters!$B$146</definedName>
    <definedName name="SGA_term_2d_4">Parameters!$B$200</definedName>
    <definedName name="SGA_term_2hypoglycaemia_1">Parameters!$B$45</definedName>
    <definedName name="SGA_term_2hypoglycaemia_2">Parameters!$B$99</definedName>
    <definedName name="SGA_term_2hypoglycaemia_3">Parameters!$B$158</definedName>
    <definedName name="SGA_term_2hypoglycaemia_4">Parameters!$B$212</definedName>
    <definedName name="SGA_term_2normoglycaemia_1">Parameters!$B$46</definedName>
    <definedName name="SGA_term_2normoglycaemia_2">Parameters!$B$100</definedName>
    <definedName name="SGA_term_2normoglycaemia_3">Parameters!$B$159</definedName>
    <definedName name="SGA_term_2normoglycaemia_4">Parameters!$B$213</definedName>
    <definedName name="SGA_term_2s_1">Parameters!$B$34</definedName>
    <definedName name="SGA_term_2s_2">Parameters!$B$88</definedName>
    <definedName name="SGA_term_2s_3">Parameters!$B$147</definedName>
    <definedName name="SGA_term_2s_4">Parameters!$B$201</definedName>
    <definedName name="SGA2hypo_1">Parameters!$B$24</definedName>
    <definedName name="SGA2hypo_2">Parameters!$B$42</definedName>
    <definedName name="SGA2hypo_3">Parameters!#REF!</definedName>
    <definedName name="SGA2hypo_4">Parameters!#REF!</definedName>
    <definedName name="SGA2norm_1">Parameters!$B$25</definedName>
    <definedName name="SGA2norm_2">Parameters!$B$43</definedName>
    <definedName name="SGA2norm_3">Parameters!#REF!</definedName>
    <definedName name="SGA2norm_4">Parameters!#REF!</definedName>
    <definedName name="Stillbirth_reductionn_with_ANC">Parameters!#REF!</definedName>
    <definedName name="Teen_births">Demographics!$B$7</definedName>
    <definedName name="Term_stillbirth">Parameters!#REF!</definedName>
    <definedName name="Term2LBW_1">Parameters!$B$17</definedName>
    <definedName name="Term2LBW_2">Parameters!$B$71</definedName>
    <definedName name="Term2LBW_3">Parameters!$B$130</definedName>
    <definedName name="Term2LBW_4">Parameters!$B$184</definedName>
    <definedName name="Term2NBW_1">Parameters!$B$18</definedName>
    <definedName name="Term2NBW_2">Parameters!$B$72</definedName>
    <definedName name="Term2NBW_3">Parameters!$B$131</definedName>
    <definedName name="Term2NBW_4">Parameters!$B$185</definedName>
    <definedName name="Term2norm_1">Parameters!$B$22</definedName>
    <definedName name="Term2norm_2">Parameters!$B$40</definedName>
    <definedName name="Term2norm_3">Parameters!#REF!</definedName>
    <definedName name="Term2norm_4">Parameters!#REF!</definedName>
    <definedName name="Term2sb_1">Parameters!$B$23</definedName>
    <definedName name="Term2sb_2">Parameters!$B$41</definedName>
    <definedName name="Term2sb_3">Parameters!#REF!</definedName>
    <definedName name="Term2sb_4">Parameters!#REF!</definedName>
    <definedName name="Term2SGA_1">Parameters!$B$21</definedName>
    <definedName name="Term2SGA_2">Parameters!$B$39</definedName>
    <definedName name="Term2SGA_3">Parameters!#REF!</definedName>
    <definedName name="Term2SGA_4">Parameters!#REF!</definedName>
    <definedName name="Total_births">Demographics!$B$6</definedName>
    <definedName name="Total_pregnancies">Demographics!$B$16</definedName>
    <definedName name="u_ChronicResp">Parameters!$B$265</definedName>
    <definedName name="u_CongnitiveImpairement">Parameters!$B$266</definedName>
    <definedName name="u_Death">Parameters!$B$263</definedName>
    <definedName name="u_Healthy">Parameters!$B$264</definedName>
    <definedName name="u_Hypoglycaemia">Parameters!#REF!</definedName>
    <definedName name="u_parental">Parameters!$B$267</definedName>
    <definedName name="u_RDS">Parameters!#REF!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11" l="1"/>
  <c r="C28" i="11"/>
  <c r="C26" i="11"/>
  <c r="C25" i="11"/>
  <c r="C24" i="11"/>
  <c r="C27" i="11"/>
  <c r="D5" i="11"/>
  <c r="B240" i="5" s="1"/>
  <c r="B40" i="11" l="1"/>
  <c r="B39" i="11"/>
  <c r="B38" i="11"/>
  <c r="D38" i="11" s="1"/>
  <c r="B29" i="11" l="1"/>
  <c r="B28" i="11"/>
  <c r="B27" i="11"/>
  <c r="B26" i="11"/>
  <c r="B25" i="11"/>
  <c r="B24" i="11"/>
  <c r="B62" i="11" l="1"/>
  <c r="B61" i="11"/>
  <c r="B60" i="11"/>
  <c r="B59" i="11"/>
  <c r="B47" i="11"/>
  <c r="B19" i="11" l="1"/>
  <c r="B20" i="11"/>
  <c r="B18" i="11"/>
  <c r="D18" i="11" s="1"/>
  <c r="B77" i="11"/>
  <c r="B76" i="11"/>
  <c r="B72" i="11"/>
  <c r="B71" i="11"/>
  <c r="B70" i="11"/>
  <c r="B66" i="11"/>
  <c r="B58" i="11"/>
  <c r="B57" i="11"/>
  <c r="B53" i="11"/>
  <c r="B52" i="11"/>
  <c r="B46" i="11"/>
  <c r="B45" i="11"/>
  <c r="B41" i="11"/>
  <c r="B17" i="11"/>
  <c r="B13" i="11"/>
  <c r="B9" i="11"/>
  <c r="C34" i="11" l="1"/>
  <c r="C31" i="11"/>
  <c r="D29" i="11"/>
  <c r="D28" i="11"/>
  <c r="D27" i="11"/>
  <c r="D26" i="11"/>
  <c r="B244" i="5" s="1"/>
  <c r="G1732" i="27" s="1"/>
  <c r="D25" i="11"/>
  <c r="D24" i="11"/>
  <c r="B243" i="5" l="1"/>
  <c r="G151" i="27"/>
  <c r="G827" i="27"/>
  <c r="G1056" i="27"/>
  <c r="G375" i="27"/>
  <c r="G1280" i="27"/>
  <c r="G603" i="27"/>
  <c r="G1508" i="27"/>
  <c r="CA600" i="27"/>
  <c r="CA597" i="27"/>
  <c r="CA594" i="27"/>
  <c r="CA593" i="27"/>
  <c r="CA591" i="27"/>
  <c r="CA590" i="27"/>
  <c r="CA588" i="27"/>
  <c r="CA586" i="27"/>
  <c r="CA583" i="27"/>
  <c r="CA581" i="27"/>
  <c r="CA580" i="27"/>
  <c r="CA577" i="27"/>
  <c r="CA574" i="27"/>
  <c r="CA571" i="27"/>
  <c r="CA569" i="27"/>
  <c r="CA566" i="27"/>
  <c r="CA563" i="27"/>
  <c r="CA561" i="27"/>
  <c r="CA557" i="27"/>
  <c r="CA553" i="27"/>
  <c r="CA551" i="27"/>
  <c r="CA550" i="27"/>
  <c r="CA548" i="27"/>
  <c r="CA545" i="27"/>
  <c r="CA543" i="27"/>
  <c r="CA541" i="27"/>
  <c r="CA540" i="27"/>
  <c r="CA538" i="27"/>
  <c r="CA537" i="27"/>
  <c r="CA531" i="27"/>
  <c r="CA596" i="27"/>
  <c r="CA584" i="27"/>
  <c r="CA564" i="27"/>
  <c r="CA560" i="27"/>
  <c r="CA556" i="27"/>
  <c r="CA544" i="27"/>
  <c r="CA532" i="27"/>
  <c r="CA601" i="27"/>
  <c r="CA573" i="27"/>
  <c r="CA587" i="27"/>
  <c r="CA575" i="27"/>
  <c r="CA567" i="27"/>
  <c r="CA558" i="27"/>
  <c r="CA554" i="27"/>
  <c r="CD601" i="27"/>
  <c r="CC601" i="27"/>
  <c r="CB601" i="27"/>
  <c r="BZ601" i="27"/>
  <c r="BY601" i="27"/>
  <c r="BX601" i="27"/>
  <c r="BW601" i="27"/>
  <c r="BV601" i="27"/>
  <c r="BU601" i="27"/>
  <c r="BT601" i="27"/>
  <c r="BS601" i="27"/>
  <c r="BR601" i="27"/>
  <c r="BQ601" i="27"/>
  <c r="BP601" i="27"/>
  <c r="BO601" i="27"/>
  <c r="BN601" i="27"/>
  <c r="BM601" i="27"/>
  <c r="CL601" i="27" s="1"/>
  <c r="BL601" i="27"/>
  <c r="CK601" i="27" s="1"/>
  <c r="BK601" i="27"/>
  <c r="CJ601" i="27" s="1"/>
  <c r="BJ601" i="27"/>
  <c r="CI601" i="27" s="1"/>
  <c r="BI601" i="27"/>
  <c r="CH601" i="27" s="1"/>
  <c r="BH601" i="27"/>
  <c r="CG601" i="27" s="1"/>
  <c r="BG601" i="27"/>
  <c r="CF601" i="27" s="1"/>
  <c r="CD600" i="27"/>
  <c r="CC600" i="27"/>
  <c r="CB600" i="27"/>
  <c r="BZ600" i="27"/>
  <c r="BY600" i="27"/>
  <c r="BX600" i="27"/>
  <c r="BW600" i="27"/>
  <c r="BU600" i="27"/>
  <c r="BT600" i="27"/>
  <c r="BS600" i="27"/>
  <c r="BR600" i="27"/>
  <c r="BQ600" i="27"/>
  <c r="BP600" i="27"/>
  <c r="BO600" i="27"/>
  <c r="BN600" i="27"/>
  <c r="BM600" i="27"/>
  <c r="CL600" i="27" s="1"/>
  <c r="BL600" i="27"/>
  <c r="CK600" i="27" s="1"/>
  <c r="BK600" i="27"/>
  <c r="CJ600" i="27" s="1"/>
  <c r="BJ600" i="27"/>
  <c r="CI600" i="27" s="1"/>
  <c r="BI600" i="27"/>
  <c r="CH600" i="27" s="1"/>
  <c r="BG600" i="27"/>
  <c r="CF600" i="27" s="1"/>
  <c r="CD599" i="27"/>
  <c r="CC599" i="27"/>
  <c r="CB599" i="27"/>
  <c r="CA599" i="27"/>
  <c r="BZ599" i="27"/>
  <c r="BY599" i="27"/>
  <c r="BX599" i="27"/>
  <c r="BW599" i="27"/>
  <c r="BU599" i="27"/>
  <c r="BT599" i="27"/>
  <c r="BS599" i="27"/>
  <c r="BR599" i="27"/>
  <c r="BQ599" i="27"/>
  <c r="BP599" i="27"/>
  <c r="BO599" i="27"/>
  <c r="BN599" i="27"/>
  <c r="BM599" i="27"/>
  <c r="CL599" i="27" s="1"/>
  <c r="BL599" i="27"/>
  <c r="CK599" i="27" s="1"/>
  <c r="BK599" i="27"/>
  <c r="CJ599" i="27" s="1"/>
  <c r="BJ599" i="27"/>
  <c r="CI599" i="27" s="1"/>
  <c r="BI599" i="27"/>
  <c r="CH599" i="27" s="1"/>
  <c r="BH599" i="27"/>
  <c r="CG599" i="27" s="1"/>
  <c r="BG599" i="27"/>
  <c r="CF599" i="27" s="1"/>
  <c r="CD598" i="27"/>
  <c r="CC598" i="27"/>
  <c r="BZ598" i="27"/>
  <c r="BX598" i="27"/>
  <c r="BW598" i="27"/>
  <c r="BV598" i="27"/>
  <c r="BU598" i="27"/>
  <c r="BT598" i="27"/>
  <c r="BS598" i="27"/>
  <c r="BR598" i="27"/>
  <c r="BQ598" i="27"/>
  <c r="BP598" i="27"/>
  <c r="BO598" i="27"/>
  <c r="BN598" i="27"/>
  <c r="BM598" i="27"/>
  <c r="CL598" i="27" s="1"/>
  <c r="BL598" i="27"/>
  <c r="CK598" i="27" s="1"/>
  <c r="BK598" i="27"/>
  <c r="CJ598" i="27" s="1"/>
  <c r="BJ598" i="27"/>
  <c r="CI598" i="27" s="1"/>
  <c r="BI598" i="27"/>
  <c r="BH598" i="27"/>
  <c r="BG598" i="27"/>
  <c r="CD597" i="27"/>
  <c r="CC597" i="27"/>
  <c r="CB597" i="27"/>
  <c r="BZ597" i="27"/>
  <c r="BY597" i="27"/>
  <c r="BX597" i="27"/>
  <c r="BW597" i="27"/>
  <c r="BU597" i="27"/>
  <c r="BT597" i="27"/>
  <c r="BS597" i="27"/>
  <c r="BR597" i="27"/>
  <c r="BQ597" i="27"/>
  <c r="BP597" i="27"/>
  <c r="BO597" i="27"/>
  <c r="BN597" i="27"/>
  <c r="BM597" i="27"/>
  <c r="CL597" i="27" s="1"/>
  <c r="BL597" i="27"/>
  <c r="CK597" i="27" s="1"/>
  <c r="BK597" i="27"/>
  <c r="CJ597" i="27" s="1"/>
  <c r="BJ597" i="27"/>
  <c r="CI597" i="27" s="1"/>
  <c r="BI597" i="27"/>
  <c r="CH597" i="27" s="1"/>
  <c r="BH597" i="27"/>
  <c r="CG597" i="27" s="1"/>
  <c r="BG597" i="27"/>
  <c r="CF597" i="27" s="1"/>
  <c r="CD596" i="27"/>
  <c r="CC596" i="27"/>
  <c r="CB596" i="27"/>
  <c r="BZ596" i="27"/>
  <c r="BY596" i="27"/>
  <c r="BX596" i="27"/>
  <c r="BW596" i="27"/>
  <c r="BU596" i="27"/>
  <c r="BT596" i="27"/>
  <c r="BS596" i="27"/>
  <c r="BR596" i="27"/>
  <c r="BQ596" i="27"/>
  <c r="BP596" i="27"/>
  <c r="BO596" i="27"/>
  <c r="BN596" i="27"/>
  <c r="BM596" i="27"/>
  <c r="CL596" i="27" s="1"/>
  <c r="BL596" i="27"/>
  <c r="CK596" i="27" s="1"/>
  <c r="BK596" i="27"/>
  <c r="CJ596" i="27" s="1"/>
  <c r="BJ596" i="27"/>
  <c r="CI596" i="27" s="1"/>
  <c r="BI596" i="27"/>
  <c r="CH596" i="27" s="1"/>
  <c r="BH596" i="27"/>
  <c r="CG596" i="27" s="1"/>
  <c r="BG596" i="27"/>
  <c r="CF596" i="27" s="1"/>
  <c r="CD595" i="27"/>
  <c r="CC595" i="27"/>
  <c r="BZ595" i="27"/>
  <c r="BX595" i="27"/>
  <c r="BW595" i="27"/>
  <c r="BV595" i="27"/>
  <c r="BU595" i="27"/>
  <c r="BT595" i="27"/>
  <c r="BS595" i="27"/>
  <c r="BR595" i="27"/>
  <c r="BQ595" i="27"/>
  <c r="BP595" i="27"/>
  <c r="BO595" i="27"/>
  <c r="BN595" i="27"/>
  <c r="BM595" i="27"/>
  <c r="CL595" i="27" s="1"/>
  <c r="BL595" i="27"/>
  <c r="CK595" i="27" s="1"/>
  <c r="BK595" i="27"/>
  <c r="CJ595" i="27" s="1"/>
  <c r="BJ595" i="27"/>
  <c r="CI595" i="27" s="1"/>
  <c r="BI595" i="27"/>
  <c r="BH595" i="27"/>
  <c r="BG595" i="27"/>
  <c r="CD594" i="27"/>
  <c r="CC594" i="27"/>
  <c r="CB594" i="27"/>
  <c r="BZ594" i="27"/>
  <c r="BY594" i="27"/>
  <c r="BX594" i="27"/>
  <c r="BW594" i="27"/>
  <c r="BU594" i="27"/>
  <c r="BT594" i="27"/>
  <c r="BS594" i="27"/>
  <c r="BR594" i="27"/>
  <c r="BQ594" i="27"/>
  <c r="BP594" i="27"/>
  <c r="BO594" i="27"/>
  <c r="BN594" i="27"/>
  <c r="BM594" i="27"/>
  <c r="CL594" i="27" s="1"/>
  <c r="BL594" i="27"/>
  <c r="CK594" i="27" s="1"/>
  <c r="BK594" i="27"/>
  <c r="CJ594" i="27" s="1"/>
  <c r="BJ594" i="27"/>
  <c r="CI594" i="27" s="1"/>
  <c r="BI594" i="27"/>
  <c r="CH594" i="27" s="1"/>
  <c r="BH594" i="27"/>
  <c r="CG594" i="27" s="1"/>
  <c r="BG594" i="27"/>
  <c r="CF594" i="27" s="1"/>
  <c r="CD593" i="27"/>
  <c r="CC593" i="27"/>
  <c r="CB593" i="27"/>
  <c r="BZ593" i="27"/>
  <c r="BY593" i="27"/>
  <c r="BX593" i="27"/>
  <c r="BW593" i="27"/>
  <c r="BU593" i="27"/>
  <c r="BT593" i="27"/>
  <c r="BS593" i="27"/>
  <c r="BR593" i="27"/>
  <c r="BQ593" i="27"/>
  <c r="BP593" i="27"/>
  <c r="BO593" i="27"/>
  <c r="BN593" i="27"/>
  <c r="BM593" i="27"/>
  <c r="CL593" i="27" s="1"/>
  <c r="BL593" i="27"/>
  <c r="CK593" i="27" s="1"/>
  <c r="BK593" i="27"/>
  <c r="CJ593" i="27" s="1"/>
  <c r="BJ593" i="27"/>
  <c r="CI593" i="27" s="1"/>
  <c r="BI593" i="27"/>
  <c r="CH593" i="27" s="1"/>
  <c r="BH593" i="27"/>
  <c r="CG593" i="27" s="1"/>
  <c r="BG593" i="27"/>
  <c r="CF593" i="27" s="1"/>
  <c r="CD592" i="27"/>
  <c r="CC592" i="27"/>
  <c r="BZ592" i="27"/>
  <c r="BX592" i="27"/>
  <c r="BW592" i="27"/>
  <c r="BV592" i="27"/>
  <c r="BU592" i="27"/>
  <c r="BS592" i="27"/>
  <c r="BR592" i="27"/>
  <c r="BQ592" i="27"/>
  <c r="BO592" i="27"/>
  <c r="BN592" i="27"/>
  <c r="BM592" i="27"/>
  <c r="CL592" i="27" s="1"/>
  <c r="BL592" i="27"/>
  <c r="CK592" i="27" s="1"/>
  <c r="BK592" i="27"/>
  <c r="CJ592" i="27" s="1"/>
  <c r="BJ592" i="27"/>
  <c r="CI592" i="27" s="1"/>
  <c r="BI592" i="27"/>
  <c r="BH592" i="27"/>
  <c r="BG592" i="27"/>
  <c r="CD591" i="27"/>
  <c r="CC591" i="27"/>
  <c r="CB591" i="27"/>
  <c r="BZ591" i="27"/>
  <c r="BY591" i="27"/>
  <c r="BX591" i="27"/>
  <c r="BW591" i="27"/>
  <c r="BU591" i="27"/>
  <c r="BT591" i="27"/>
  <c r="BS591" i="27"/>
  <c r="BR591" i="27"/>
  <c r="BQ591" i="27"/>
  <c r="BP591" i="27"/>
  <c r="BO591" i="27"/>
  <c r="BN591" i="27"/>
  <c r="BM591" i="27"/>
  <c r="CL591" i="27" s="1"/>
  <c r="BL591" i="27"/>
  <c r="CK591" i="27" s="1"/>
  <c r="BK591" i="27"/>
  <c r="CJ591" i="27" s="1"/>
  <c r="BJ591" i="27"/>
  <c r="CI591" i="27" s="1"/>
  <c r="BI591" i="27"/>
  <c r="CH591" i="27" s="1"/>
  <c r="BH591" i="27"/>
  <c r="CG591" i="27" s="1"/>
  <c r="BG591" i="27"/>
  <c r="CF591" i="27" s="1"/>
  <c r="CD590" i="27"/>
  <c r="CC590" i="27"/>
  <c r="CB590" i="27"/>
  <c r="BZ590" i="27"/>
  <c r="BY590" i="27"/>
  <c r="BX590" i="27"/>
  <c r="BW590" i="27"/>
  <c r="BU590" i="27"/>
  <c r="BT590" i="27"/>
  <c r="BS590" i="27"/>
  <c r="BR590" i="27"/>
  <c r="BQ590" i="27"/>
  <c r="BP590" i="27"/>
  <c r="BO590" i="27"/>
  <c r="BN590" i="27"/>
  <c r="BM590" i="27"/>
  <c r="CL590" i="27" s="1"/>
  <c r="BL590" i="27"/>
  <c r="CK590" i="27" s="1"/>
  <c r="BK590" i="27"/>
  <c r="CJ590" i="27" s="1"/>
  <c r="BJ590" i="27"/>
  <c r="CI590" i="27" s="1"/>
  <c r="BI590" i="27"/>
  <c r="CH590" i="27" s="1"/>
  <c r="BH590" i="27"/>
  <c r="CG590" i="27" s="1"/>
  <c r="BG590" i="27"/>
  <c r="CF590" i="27" s="1"/>
  <c r="CD589" i="27"/>
  <c r="CC589" i="27"/>
  <c r="BZ589" i="27"/>
  <c r="BX589" i="27"/>
  <c r="BW589" i="27"/>
  <c r="BV589" i="27"/>
  <c r="BU589" i="27"/>
  <c r="BT589" i="27"/>
  <c r="BS589" i="27"/>
  <c r="BR589" i="27"/>
  <c r="BQ589" i="27"/>
  <c r="BP589" i="27"/>
  <c r="BO589" i="27"/>
  <c r="BN589" i="27"/>
  <c r="BM589" i="27"/>
  <c r="CL589" i="27" s="1"/>
  <c r="BL589" i="27"/>
  <c r="CK589" i="27" s="1"/>
  <c r="BK589" i="27"/>
  <c r="CJ589" i="27" s="1"/>
  <c r="BJ589" i="27"/>
  <c r="CI589" i="27" s="1"/>
  <c r="BI589" i="27"/>
  <c r="BH589" i="27"/>
  <c r="BG589" i="27"/>
  <c r="CD588" i="27"/>
  <c r="CC588" i="27"/>
  <c r="CB588" i="27"/>
  <c r="BZ588" i="27"/>
  <c r="BY588" i="27"/>
  <c r="BX588" i="27"/>
  <c r="BW588" i="27"/>
  <c r="BV588" i="27"/>
  <c r="BU588" i="27"/>
  <c r="BT588" i="27"/>
  <c r="BS588" i="27"/>
  <c r="BQ588" i="27"/>
  <c r="BP588" i="27"/>
  <c r="BO588" i="27"/>
  <c r="BN588" i="27"/>
  <c r="BM588" i="27"/>
  <c r="CL588" i="27" s="1"/>
  <c r="BL588" i="27"/>
  <c r="CK588" i="27" s="1"/>
  <c r="BK588" i="27"/>
  <c r="CJ588" i="27" s="1"/>
  <c r="BJ588" i="27"/>
  <c r="CI588" i="27" s="1"/>
  <c r="BI588" i="27"/>
  <c r="CH588" i="27" s="1"/>
  <c r="BH588" i="27"/>
  <c r="CG588" i="27" s="1"/>
  <c r="BG588" i="27"/>
  <c r="CF588" i="27" s="1"/>
  <c r="CD587" i="27"/>
  <c r="CC587" i="27"/>
  <c r="CB587" i="27"/>
  <c r="BZ587" i="27"/>
  <c r="BY587" i="27"/>
  <c r="BX587" i="27"/>
  <c r="BW587" i="27"/>
  <c r="BU587" i="27"/>
  <c r="BT587" i="27"/>
  <c r="BS587" i="27"/>
  <c r="BQ587" i="27"/>
  <c r="BP587" i="27"/>
  <c r="BO587" i="27"/>
  <c r="BN587" i="27"/>
  <c r="BM587" i="27"/>
  <c r="CL587" i="27" s="1"/>
  <c r="BL587" i="27"/>
  <c r="CK587" i="27" s="1"/>
  <c r="BK587" i="27"/>
  <c r="CJ587" i="27" s="1"/>
  <c r="BJ587" i="27"/>
  <c r="CI587" i="27" s="1"/>
  <c r="BI587" i="27"/>
  <c r="CH587" i="27" s="1"/>
  <c r="BH587" i="27"/>
  <c r="CG587" i="27" s="1"/>
  <c r="BG587" i="27"/>
  <c r="CF587" i="27" s="1"/>
  <c r="CD586" i="27"/>
  <c r="CC586" i="27"/>
  <c r="CB586" i="27"/>
  <c r="BZ586" i="27"/>
  <c r="BY586" i="27"/>
  <c r="BX586" i="27"/>
  <c r="BW586" i="27"/>
  <c r="BU586" i="27"/>
  <c r="BT586" i="27"/>
  <c r="BS586" i="27"/>
  <c r="BR586" i="27"/>
  <c r="BQ586" i="27"/>
  <c r="BP586" i="27"/>
  <c r="BO586" i="27"/>
  <c r="BN586" i="27"/>
  <c r="BM586" i="27"/>
  <c r="CL586" i="27" s="1"/>
  <c r="BL586" i="27"/>
  <c r="CK586" i="27" s="1"/>
  <c r="BK586" i="27"/>
  <c r="CJ586" i="27" s="1"/>
  <c r="BJ586" i="27"/>
  <c r="CI586" i="27" s="1"/>
  <c r="BI586" i="27"/>
  <c r="CH586" i="27" s="1"/>
  <c r="BH586" i="27"/>
  <c r="CG586" i="27" s="1"/>
  <c r="BG586" i="27"/>
  <c r="CF586" i="27" s="1"/>
  <c r="CD585" i="27"/>
  <c r="CC585" i="27"/>
  <c r="BZ585" i="27"/>
  <c r="BX585" i="27"/>
  <c r="BW585" i="27"/>
  <c r="BV585" i="27"/>
  <c r="BU585" i="27"/>
  <c r="BT585" i="27"/>
  <c r="BS585" i="27"/>
  <c r="BR585" i="27"/>
  <c r="BQ585" i="27"/>
  <c r="BP585" i="27"/>
  <c r="BO585" i="27"/>
  <c r="BN585" i="27"/>
  <c r="BM585" i="27"/>
  <c r="CL585" i="27" s="1"/>
  <c r="BL585" i="27"/>
  <c r="CK585" i="27" s="1"/>
  <c r="BK585" i="27"/>
  <c r="CJ585" i="27" s="1"/>
  <c r="BJ585" i="27"/>
  <c r="CI585" i="27" s="1"/>
  <c r="BI585" i="27"/>
  <c r="BH585" i="27"/>
  <c r="BG585" i="27"/>
  <c r="CD584" i="27"/>
  <c r="CC584" i="27"/>
  <c r="CB584" i="27"/>
  <c r="BZ584" i="27"/>
  <c r="BY584" i="27"/>
  <c r="BX584" i="27"/>
  <c r="BW584" i="27"/>
  <c r="BU584" i="27"/>
  <c r="BT584" i="27"/>
  <c r="BS584" i="27"/>
  <c r="BR584" i="27"/>
  <c r="BQ584" i="27"/>
  <c r="BP584" i="27"/>
  <c r="BO584" i="27"/>
  <c r="BN584" i="27"/>
  <c r="BM584" i="27"/>
  <c r="CL584" i="27" s="1"/>
  <c r="BL584" i="27"/>
  <c r="CK584" i="27" s="1"/>
  <c r="BK584" i="27"/>
  <c r="CJ584" i="27" s="1"/>
  <c r="BJ584" i="27"/>
  <c r="CI584" i="27" s="1"/>
  <c r="BI584" i="27"/>
  <c r="CH584" i="27" s="1"/>
  <c r="BH584" i="27"/>
  <c r="CG584" i="27" s="1"/>
  <c r="BG584" i="27"/>
  <c r="CF584" i="27" s="1"/>
  <c r="CD583" i="27"/>
  <c r="CC583" i="27"/>
  <c r="CB583" i="27"/>
  <c r="BZ583" i="27"/>
  <c r="BY583" i="27"/>
  <c r="BX583" i="27"/>
  <c r="BW583" i="27"/>
  <c r="BU583" i="27"/>
  <c r="BS583" i="27"/>
  <c r="BR583" i="27"/>
  <c r="BQ583" i="27"/>
  <c r="BP583" i="27"/>
  <c r="BO583" i="27"/>
  <c r="BN583" i="27"/>
  <c r="BM583" i="27"/>
  <c r="CL583" i="27" s="1"/>
  <c r="BL583" i="27"/>
  <c r="CK583" i="27" s="1"/>
  <c r="BK583" i="27"/>
  <c r="CJ583" i="27" s="1"/>
  <c r="BJ583" i="27"/>
  <c r="CI583" i="27" s="1"/>
  <c r="BI583" i="27"/>
  <c r="CH583" i="27" s="1"/>
  <c r="BH583" i="27"/>
  <c r="CG583" i="27" s="1"/>
  <c r="BG583" i="27"/>
  <c r="CF583" i="27" s="1"/>
  <c r="CD582" i="27"/>
  <c r="CC582" i="27"/>
  <c r="BZ582" i="27"/>
  <c r="BX582" i="27"/>
  <c r="BW582" i="27"/>
  <c r="BV582" i="27"/>
  <c r="BU582" i="27"/>
  <c r="BS582" i="27"/>
  <c r="BR582" i="27"/>
  <c r="BQ582" i="27"/>
  <c r="BP582" i="27"/>
  <c r="BO582" i="27"/>
  <c r="BN582" i="27"/>
  <c r="BM582" i="27"/>
  <c r="CL582" i="27" s="1"/>
  <c r="BL582" i="27"/>
  <c r="CK582" i="27" s="1"/>
  <c r="BK582" i="27"/>
  <c r="CJ582" i="27" s="1"/>
  <c r="BJ582" i="27"/>
  <c r="CI582" i="27" s="1"/>
  <c r="BI582" i="27"/>
  <c r="BH582" i="27"/>
  <c r="BG582" i="27"/>
  <c r="CD581" i="27"/>
  <c r="CC581" i="27"/>
  <c r="CB581" i="27"/>
  <c r="BZ581" i="27"/>
  <c r="BY581" i="27"/>
  <c r="BX581" i="27"/>
  <c r="BW581" i="27"/>
  <c r="BU581" i="27"/>
  <c r="BT581" i="27"/>
  <c r="BS581" i="27"/>
  <c r="BR581" i="27"/>
  <c r="BQ581" i="27"/>
  <c r="BP581" i="27"/>
  <c r="BO581" i="27"/>
  <c r="BM581" i="27"/>
  <c r="CL581" i="27" s="1"/>
  <c r="BL581" i="27"/>
  <c r="CK581" i="27" s="1"/>
  <c r="BK581" i="27"/>
  <c r="CJ581" i="27" s="1"/>
  <c r="BJ581" i="27"/>
  <c r="CI581" i="27" s="1"/>
  <c r="BI581" i="27"/>
  <c r="CH581" i="27" s="1"/>
  <c r="BH581" i="27"/>
  <c r="CG581" i="27" s="1"/>
  <c r="BG581" i="27"/>
  <c r="CF581" i="27" s="1"/>
  <c r="CD580" i="27"/>
  <c r="CC580" i="27"/>
  <c r="CB580" i="27"/>
  <c r="BZ580" i="27"/>
  <c r="BY580" i="27"/>
  <c r="BX580" i="27"/>
  <c r="BW580" i="27"/>
  <c r="BU580" i="27"/>
  <c r="BT580" i="27"/>
  <c r="BS580" i="27"/>
  <c r="BR580" i="27"/>
  <c r="BQ580" i="27"/>
  <c r="BP580" i="27"/>
  <c r="BO580" i="27"/>
  <c r="BN580" i="27"/>
  <c r="BM580" i="27"/>
  <c r="CL580" i="27" s="1"/>
  <c r="BL580" i="27"/>
  <c r="CK580" i="27" s="1"/>
  <c r="BK580" i="27"/>
  <c r="CJ580" i="27" s="1"/>
  <c r="BJ580" i="27"/>
  <c r="CI580" i="27" s="1"/>
  <c r="BI580" i="27"/>
  <c r="CH580" i="27" s="1"/>
  <c r="BH580" i="27"/>
  <c r="CG580" i="27" s="1"/>
  <c r="BG580" i="27"/>
  <c r="CF580" i="27" s="1"/>
  <c r="CD579" i="27"/>
  <c r="CC579" i="27"/>
  <c r="BZ579" i="27"/>
  <c r="BX579" i="27"/>
  <c r="BW579" i="27"/>
  <c r="BV579" i="27"/>
  <c r="BU579" i="27"/>
  <c r="BT579" i="27"/>
  <c r="BS579" i="27"/>
  <c r="BR579" i="27"/>
  <c r="BQ579" i="27"/>
  <c r="BP579" i="27"/>
  <c r="BO579" i="27"/>
  <c r="BN579" i="27"/>
  <c r="BM579" i="27"/>
  <c r="CL579" i="27" s="1"/>
  <c r="BL579" i="27"/>
  <c r="CK579" i="27" s="1"/>
  <c r="BK579" i="27"/>
  <c r="CJ579" i="27" s="1"/>
  <c r="BJ579" i="27"/>
  <c r="CI579" i="27" s="1"/>
  <c r="BI579" i="27"/>
  <c r="BH579" i="27"/>
  <c r="BG579" i="27"/>
  <c r="CD578" i="27"/>
  <c r="CC578" i="27"/>
  <c r="CB578" i="27"/>
  <c r="CA578" i="27"/>
  <c r="BZ578" i="27"/>
  <c r="BY578" i="27"/>
  <c r="BX578" i="27"/>
  <c r="BW578" i="27"/>
  <c r="BU578" i="27"/>
  <c r="BT578" i="27"/>
  <c r="BS578" i="27"/>
  <c r="BR578" i="27"/>
  <c r="BQ578" i="27"/>
  <c r="BP578" i="27"/>
  <c r="BO578" i="27"/>
  <c r="BN578" i="27"/>
  <c r="BM578" i="27"/>
  <c r="CL578" i="27" s="1"/>
  <c r="BL578" i="27"/>
  <c r="CK578" i="27" s="1"/>
  <c r="BK578" i="27"/>
  <c r="CJ578" i="27" s="1"/>
  <c r="BJ578" i="27"/>
  <c r="CI578" i="27" s="1"/>
  <c r="BI578" i="27"/>
  <c r="CH578" i="27" s="1"/>
  <c r="BH578" i="27"/>
  <c r="CG578" i="27" s="1"/>
  <c r="BG578" i="27"/>
  <c r="CF578" i="27" s="1"/>
  <c r="CD577" i="27"/>
  <c r="CC577" i="27"/>
  <c r="CB577" i="27"/>
  <c r="BZ577" i="27"/>
  <c r="BY577" i="27"/>
  <c r="BX577" i="27"/>
  <c r="BW577" i="27"/>
  <c r="BU577" i="27"/>
  <c r="BT577" i="27"/>
  <c r="BS577" i="27"/>
  <c r="BR577" i="27"/>
  <c r="BQ577" i="27"/>
  <c r="BP577" i="27"/>
  <c r="BO577" i="27"/>
  <c r="BN577" i="27"/>
  <c r="BM577" i="27"/>
  <c r="CL577" i="27" s="1"/>
  <c r="BL577" i="27"/>
  <c r="CK577" i="27" s="1"/>
  <c r="BK577" i="27"/>
  <c r="CJ577" i="27" s="1"/>
  <c r="BJ577" i="27"/>
  <c r="CI577" i="27" s="1"/>
  <c r="BI577" i="27"/>
  <c r="CH577" i="27" s="1"/>
  <c r="BH577" i="27"/>
  <c r="CG577" i="27" s="1"/>
  <c r="BG577" i="27"/>
  <c r="CF577" i="27" s="1"/>
  <c r="CD576" i="27"/>
  <c r="CC576" i="27"/>
  <c r="BZ576" i="27"/>
  <c r="BX576" i="27"/>
  <c r="BW576" i="27"/>
  <c r="BV576" i="27"/>
  <c r="BU576" i="27"/>
  <c r="BT576" i="27"/>
  <c r="BS576" i="27"/>
  <c r="BR576" i="27"/>
  <c r="BQ576" i="27"/>
  <c r="BP576" i="27"/>
  <c r="BO576" i="27"/>
  <c r="BN576" i="27"/>
  <c r="BM576" i="27"/>
  <c r="CL576" i="27" s="1"/>
  <c r="BL576" i="27"/>
  <c r="CK576" i="27" s="1"/>
  <c r="BK576" i="27"/>
  <c r="CJ576" i="27" s="1"/>
  <c r="BJ576" i="27"/>
  <c r="CI576" i="27" s="1"/>
  <c r="BI576" i="27"/>
  <c r="BH576" i="27"/>
  <c r="BG576" i="27"/>
  <c r="CD575" i="27"/>
  <c r="CC575" i="27"/>
  <c r="CB575" i="27"/>
  <c r="BZ575" i="27"/>
  <c r="BY575" i="27"/>
  <c r="BX575" i="27"/>
  <c r="BW575" i="27"/>
  <c r="BV575" i="27"/>
  <c r="BU575" i="27"/>
  <c r="BT575" i="27"/>
  <c r="BS575" i="27"/>
  <c r="BR575" i="27"/>
  <c r="BQ575" i="27"/>
  <c r="BP575" i="27"/>
  <c r="BO575" i="27"/>
  <c r="BN575" i="27"/>
  <c r="BM575" i="27"/>
  <c r="CL575" i="27" s="1"/>
  <c r="BL575" i="27"/>
  <c r="CK575" i="27" s="1"/>
  <c r="BK575" i="27"/>
  <c r="CJ575" i="27" s="1"/>
  <c r="BJ575" i="27"/>
  <c r="CI575" i="27" s="1"/>
  <c r="BI575" i="27"/>
  <c r="CH575" i="27" s="1"/>
  <c r="BH575" i="27"/>
  <c r="CG575" i="27" s="1"/>
  <c r="BG575" i="27"/>
  <c r="CF575" i="27" s="1"/>
  <c r="CD574" i="27"/>
  <c r="CC574" i="27"/>
  <c r="CB574" i="27"/>
  <c r="BZ574" i="27"/>
  <c r="BY574" i="27"/>
  <c r="BX574" i="27"/>
  <c r="BW574" i="27"/>
  <c r="BV574" i="27"/>
  <c r="BU574" i="27"/>
  <c r="BT574" i="27"/>
  <c r="BS574" i="27"/>
  <c r="BR574" i="27"/>
  <c r="BQ574" i="27"/>
  <c r="BO574" i="27"/>
  <c r="BN574" i="27"/>
  <c r="BM574" i="27"/>
  <c r="CL574" i="27" s="1"/>
  <c r="BL574" i="27"/>
  <c r="CK574" i="27" s="1"/>
  <c r="BK574" i="27"/>
  <c r="CJ574" i="27" s="1"/>
  <c r="BJ574" i="27"/>
  <c r="CI574" i="27" s="1"/>
  <c r="BI574" i="27"/>
  <c r="CH574" i="27" s="1"/>
  <c r="BH574" i="27"/>
  <c r="CG574" i="27" s="1"/>
  <c r="BG574" i="27"/>
  <c r="CF574" i="27" s="1"/>
  <c r="CD573" i="27"/>
  <c r="CC573" i="27"/>
  <c r="CB573" i="27"/>
  <c r="BZ573" i="27"/>
  <c r="BY573" i="27"/>
  <c r="BX573" i="27"/>
  <c r="BW573" i="27"/>
  <c r="BV573" i="27"/>
  <c r="BU573" i="27"/>
  <c r="BT573" i="27"/>
  <c r="BS573" i="27"/>
  <c r="BR573" i="27"/>
  <c r="BQ573" i="27"/>
  <c r="BO573" i="27"/>
  <c r="BN573" i="27"/>
  <c r="BM573" i="27"/>
  <c r="CL573" i="27" s="1"/>
  <c r="BL573" i="27"/>
  <c r="CK573" i="27" s="1"/>
  <c r="BK573" i="27"/>
  <c r="CJ573" i="27" s="1"/>
  <c r="BJ573" i="27"/>
  <c r="CI573" i="27" s="1"/>
  <c r="BI573" i="27"/>
  <c r="CH573" i="27" s="1"/>
  <c r="BH573" i="27"/>
  <c r="CG573" i="27" s="1"/>
  <c r="BG573" i="27"/>
  <c r="CF573" i="27" s="1"/>
  <c r="CD572" i="27"/>
  <c r="CC572" i="27"/>
  <c r="BZ572" i="27"/>
  <c r="BX572" i="27"/>
  <c r="BW572" i="27"/>
  <c r="BV572" i="27"/>
  <c r="BU572" i="27"/>
  <c r="BT572" i="27"/>
  <c r="BS572" i="27"/>
  <c r="BR572" i="27"/>
  <c r="BQ572" i="27"/>
  <c r="BP572" i="27"/>
  <c r="BO572" i="27"/>
  <c r="BN572" i="27"/>
  <c r="BM572" i="27"/>
  <c r="CL572" i="27" s="1"/>
  <c r="BL572" i="27"/>
  <c r="CK572" i="27" s="1"/>
  <c r="BK572" i="27"/>
  <c r="CJ572" i="27" s="1"/>
  <c r="BJ572" i="27"/>
  <c r="CI572" i="27" s="1"/>
  <c r="BI572" i="27"/>
  <c r="BH572" i="27"/>
  <c r="BG572" i="27"/>
  <c r="CD571" i="27"/>
  <c r="CC571" i="27"/>
  <c r="CB571" i="27"/>
  <c r="BZ571" i="27"/>
  <c r="BY571" i="27"/>
  <c r="BX571" i="27"/>
  <c r="BW571" i="27"/>
  <c r="BV571" i="27"/>
  <c r="BU571" i="27"/>
  <c r="BT571" i="27"/>
  <c r="BS571" i="27"/>
  <c r="BR571" i="27"/>
  <c r="BQ571" i="27"/>
  <c r="BP571" i="27"/>
  <c r="BO571" i="27"/>
  <c r="BN571" i="27"/>
  <c r="BM571" i="27"/>
  <c r="CL571" i="27" s="1"/>
  <c r="BL571" i="27"/>
  <c r="CK571" i="27" s="1"/>
  <c r="BK571" i="27"/>
  <c r="CJ571" i="27" s="1"/>
  <c r="BJ571" i="27"/>
  <c r="CI571" i="27" s="1"/>
  <c r="BI571" i="27"/>
  <c r="CH571" i="27" s="1"/>
  <c r="BH571" i="27"/>
  <c r="CG571" i="27" s="1"/>
  <c r="BG571" i="27"/>
  <c r="CF571" i="27" s="1"/>
  <c r="CD570" i="27"/>
  <c r="CC570" i="27"/>
  <c r="CB570" i="27"/>
  <c r="CA570" i="27"/>
  <c r="BZ570" i="27"/>
  <c r="BY570" i="27"/>
  <c r="BX570" i="27"/>
  <c r="BW570" i="27"/>
  <c r="BU570" i="27"/>
  <c r="BT570" i="27"/>
  <c r="BS570" i="27"/>
  <c r="BR570" i="27"/>
  <c r="BQ570" i="27"/>
  <c r="BP570" i="27"/>
  <c r="BO570" i="27"/>
  <c r="BN570" i="27"/>
  <c r="BM570" i="27"/>
  <c r="CL570" i="27" s="1"/>
  <c r="BL570" i="27"/>
  <c r="CK570" i="27" s="1"/>
  <c r="BK570" i="27"/>
  <c r="CJ570" i="27" s="1"/>
  <c r="BJ570" i="27"/>
  <c r="CI570" i="27" s="1"/>
  <c r="BI570" i="27"/>
  <c r="CH570" i="27" s="1"/>
  <c r="BH570" i="27"/>
  <c r="CG570" i="27" s="1"/>
  <c r="BG570" i="27"/>
  <c r="CF570" i="27" s="1"/>
  <c r="CD569" i="27"/>
  <c r="CC569" i="27"/>
  <c r="CB569" i="27"/>
  <c r="BZ569" i="27"/>
  <c r="BY569" i="27"/>
  <c r="BX569" i="27"/>
  <c r="BW569" i="27"/>
  <c r="BU569" i="27"/>
  <c r="BT569" i="27"/>
  <c r="BS569" i="27"/>
  <c r="BR569" i="27"/>
  <c r="BQ569" i="27"/>
  <c r="BP569" i="27"/>
  <c r="BO569" i="27"/>
  <c r="BN569" i="27"/>
  <c r="BM569" i="27"/>
  <c r="CL569" i="27" s="1"/>
  <c r="BL569" i="27"/>
  <c r="CK569" i="27" s="1"/>
  <c r="BK569" i="27"/>
  <c r="CJ569" i="27" s="1"/>
  <c r="BJ569" i="27"/>
  <c r="CI569" i="27" s="1"/>
  <c r="BI569" i="27"/>
  <c r="CH569" i="27" s="1"/>
  <c r="BH569" i="27"/>
  <c r="CG569" i="27" s="1"/>
  <c r="BG569" i="27"/>
  <c r="CF569" i="27" s="1"/>
  <c r="CD568" i="27"/>
  <c r="CC568" i="27"/>
  <c r="BZ568" i="27"/>
  <c r="BX568" i="27"/>
  <c r="BW568" i="27"/>
  <c r="BV568" i="27"/>
  <c r="BU568" i="27"/>
  <c r="BT568" i="27"/>
  <c r="BS568" i="27"/>
  <c r="BR568" i="27"/>
  <c r="BQ568" i="27"/>
  <c r="BP568" i="27"/>
  <c r="BO568" i="27"/>
  <c r="BN568" i="27"/>
  <c r="BM568" i="27"/>
  <c r="CL568" i="27" s="1"/>
  <c r="BL568" i="27"/>
  <c r="CK568" i="27" s="1"/>
  <c r="BK568" i="27"/>
  <c r="CJ568" i="27" s="1"/>
  <c r="BJ568" i="27"/>
  <c r="CI568" i="27" s="1"/>
  <c r="BI568" i="27"/>
  <c r="BH568" i="27"/>
  <c r="BG568" i="27"/>
  <c r="CD567" i="27"/>
  <c r="CC567" i="27"/>
  <c r="CB567" i="27"/>
  <c r="BZ567" i="27"/>
  <c r="BY567" i="27"/>
  <c r="BX567" i="27"/>
  <c r="BW567" i="27"/>
  <c r="BU567" i="27"/>
  <c r="BT567" i="27"/>
  <c r="BS567" i="27"/>
  <c r="BR567" i="27"/>
  <c r="BQ567" i="27"/>
  <c r="BP567" i="27"/>
  <c r="BO567" i="27"/>
  <c r="BN567" i="27"/>
  <c r="BM567" i="27"/>
  <c r="CL567" i="27" s="1"/>
  <c r="BL567" i="27"/>
  <c r="CK567" i="27" s="1"/>
  <c r="BK567" i="27"/>
  <c r="CJ567" i="27" s="1"/>
  <c r="BJ567" i="27"/>
  <c r="CI567" i="27" s="1"/>
  <c r="BI567" i="27"/>
  <c r="CH567" i="27" s="1"/>
  <c r="BH567" i="27"/>
  <c r="CG567" i="27" s="1"/>
  <c r="BG567" i="27"/>
  <c r="CF567" i="27" s="1"/>
  <c r="CD566" i="27"/>
  <c r="CC566" i="27"/>
  <c r="CB566" i="27"/>
  <c r="BZ566" i="27"/>
  <c r="BY566" i="27"/>
  <c r="BX566" i="27"/>
  <c r="BW566" i="27"/>
  <c r="BU566" i="27"/>
  <c r="BT566" i="27"/>
  <c r="BS566" i="27"/>
  <c r="BR566" i="27"/>
  <c r="BQ566" i="27"/>
  <c r="BP566" i="27"/>
  <c r="BO566" i="27"/>
  <c r="BN566" i="27"/>
  <c r="BM566" i="27"/>
  <c r="CL566" i="27" s="1"/>
  <c r="BL566" i="27"/>
  <c r="CK566" i="27" s="1"/>
  <c r="BK566" i="27"/>
  <c r="CJ566" i="27" s="1"/>
  <c r="BJ566" i="27"/>
  <c r="CI566" i="27" s="1"/>
  <c r="BI566" i="27"/>
  <c r="CH566" i="27" s="1"/>
  <c r="BH566" i="27"/>
  <c r="CG566" i="27" s="1"/>
  <c r="BG566" i="27"/>
  <c r="CF566" i="27" s="1"/>
  <c r="CD565" i="27"/>
  <c r="CC565" i="27"/>
  <c r="BZ565" i="27"/>
  <c r="BX565" i="27"/>
  <c r="BW565" i="27"/>
  <c r="BV565" i="27"/>
  <c r="BU565" i="27"/>
  <c r="BT565" i="27"/>
  <c r="BS565" i="27"/>
  <c r="BR565" i="27"/>
  <c r="BQ565" i="27"/>
  <c r="BP565" i="27"/>
  <c r="BO565" i="27"/>
  <c r="BN565" i="27"/>
  <c r="BM565" i="27"/>
  <c r="CL565" i="27" s="1"/>
  <c r="BL565" i="27"/>
  <c r="CK565" i="27" s="1"/>
  <c r="BK565" i="27"/>
  <c r="CJ565" i="27" s="1"/>
  <c r="BJ565" i="27"/>
  <c r="CI565" i="27" s="1"/>
  <c r="BI565" i="27"/>
  <c r="BH565" i="27"/>
  <c r="BG565" i="27"/>
  <c r="CD564" i="27"/>
  <c r="CC564" i="27"/>
  <c r="CB564" i="27"/>
  <c r="BZ564" i="27"/>
  <c r="BY564" i="27"/>
  <c r="BX564" i="27"/>
  <c r="BW564" i="27"/>
  <c r="BU564" i="27"/>
  <c r="BT564" i="27"/>
  <c r="BS564" i="27"/>
  <c r="BR564" i="27"/>
  <c r="BQ564" i="27"/>
  <c r="BP564" i="27"/>
  <c r="BO564" i="27"/>
  <c r="BN564" i="27"/>
  <c r="BM564" i="27"/>
  <c r="CL564" i="27" s="1"/>
  <c r="BL564" i="27"/>
  <c r="CK564" i="27" s="1"/>
  <c r="BK564" i="27"/>
  <c r="CJ564" i="27" s="1"/>
  <c r="BJ564" i="27"/>
  <c r="CI564" i="27" s="1"/>
  <c r="BI564" i="27"/>
  <c r="CH564" i="27" s="1"/>
  <c r="BH564" i="27"/>
  <c r="CG564" i="27" s="1"/>
  <c r="BG564" i="27"/>
  <c r="CF564" i="27" s="1"/>
  <c r="CD563" i="27"/>
  <c r="CC563" i="27"/>
  <c r="CB563" i="27"/>
  <c r="BZ563" i="27"/>
  <c r="BY563" i="27"/>
  <c r="BX563" i="27"/>
  <c r="BW563" i="27"/>
  <c r="BU563" i="27"/>
  <c r="BS563" i="27"/>
  <c r="BR563" i="27"/>
  <c r="BQ563" i="27"/>
  <c r="BP563" i="27"/>
  <c r="BO563" i="27"/>
  <c r="BN563" i="27"/>
  <c r="BM563" i="27"/>
  <c r="CL563" i="27" s="1"/>
  <c r="BL563" i="27"/>
  <c r="CK563" i="27" s="1"/>
  <c r="BK563" i="27"/>
  <c r="CJ563" i="27" s="1"/>
  <c r="BJ563" i="27"/>
  <c r="CI563" i="27" s="1"/>
  <c r="BI563" i="27"/>
  <c r="CH563" i="27" s="1"/>
  <c r="BH563" i="27"/>
  <c r="CG563" i="27" s="1"/>
  <c r="BG563" i="27"/>
  <c r="CF563" i="27" s="1"/>
  <c r="CD562" i="27"/>
  <c r="CC562" i="27"/>
  <c r="BZ562" i="27"/>
  <c r="BX562" i="27"/>
  <c r="BW562" i="27"/>
  <c r="BV562" i="27"/>
  <c r="BU562" i="27"/>
  <c r="BT562" i="27"/>
  <c r="BS562" i="27"/>
  <c r="BR562" i="27"/>
  <c r="BQ562" i="27"/>
  <c r="BP562" i="27"/>
  <c r="BO562" i="27"/>
  <c r="BN562" i="27"/>
  <c r="BM562" i="27"/>
  <c r="CL562" i="27" s="1"/>
  <c r="BL562" i="27"/>
  <c r="CK562" i="27" s="1"/>
  <c r="BK562" i="27"/>
  <c r="CJ562" i="27" s="1"/>
  <c r="BJ562" i="27"/>
  <c r="CI562" i="27" s="1"/>
  <c r="BI562" i="27"/>
  <c r="BH562" i="27"/>
  <c r="BG562" i="27"/>
  <c r="CD561" i="27"/>
  <c r="CC561" i="27"/>
  <c r="CB561" i="27"/>
  <c r="BZ561" i="27"/>
  <c r="BY561" i="27"/>
  <c r="BX561" i="27"/>
  <c r="BW561" i="27"/>
  <c r="BU561" i="27"/>
  <c r="BT561" i="27"/>
  <c r="BS561" i="27"/>
  <c r="BR561" i="27"/>
  <c r="BQ561" i="27"/>
  <c r="BP561" i="27"/>
  <c r="BO561" i="27"/>
  <c r="BN561" i="27"/>
  <c r="BM561" i="27"/>
  <c r="CL561" i="27" s="1"/>
  <c r="BL561" i="27"/>
  <c r="CK561" i="27" s="1"/>
  <c r="BK561" i="27"/>
  <c r="CJ561" i="27" s="1"/>
  <c r="BJ561" i="27"/>
  <c r="CI561" i="27" s="1"/>
  <c r="BI561" i="27"/>
  <c r="CH561" i="27" s="1"/>
  <c r="BH561" i="27"/>
  <c r="CG561" i="27" s="1"/>
  <c r="BG561" i="27"/>
  <c r="CF561" i="27" s="1"/>
  <c r="CD560" i="27"/>
  <c r="CC560" i="27"/>
  <c r="CB560" i="27"/>
  <c r="BZ560" i="27"/>
  <c r="BY560" i="27"/>
  <c r="BX560" i="27"/>
  <c r="BW560" i="27"/>
  <c r="BU560" i="27"/>
  <c r="BT560" i="27"/>
  <c r="BS560" i="27"/>
  <c r="BR560" i="27"/>
  <c r="BQ560" i="27"/>
  <c r="BP560" i="27"/>
  <c r="BO560" i="27"/>
  <c r="BN560" i="27"/>
  <c r="BM560" i="27"/>
  <c r="CL560" i="27" s="1"/>
  <c r="BL560" i="27"/>
  <c r="CK560" i="27" s="1"/>
  <c r="BK560" i="27"/>
  <c r="CJ560" i="27" s="1"/>
  <c r="BJ560" i="27"/>
  <c r="CI560" i="27" s="1"/>
  <c r="BI560" i="27"/>
  <c r="CH560" i="27" s="1"/>
  <c r="BH560" i="27"/>
  <c r="CG560" i="27" s="1"/>
  <c r="BG560" i="27"/>
  <c r="CF560" i="27" s="1"/>
  <c r="CD559" i="27"/>
  <c r="CC559" i="27"/>
  <c r="BZ559" i="27"/>
  <c r="BX559" i="27"/>
  <c r="BW559" i="27"/>
  <c r="BV559" i="27"/>
  <c r="BU559" i="27"/>
  <c r="BT559" i="27"/>
  <c r="BS559" i="27"/>
  <c r="BR559" i="27"/>
  <c r="BQ559" i="27"/>
  <c r="BP559" i="27"/>
  <c r="BO559" i="27"/>
  <c r="BN559" i="27"/>
  <c r="BM559" i="27"/>
  <c r="CL559" i="27" s="1"/>
  <c r="BL559" i="27"/>
  <c r="CK559" i="27" s="1"/>
  <c r="BK559" i="27"/>
  <c r="CJ559" i="27" s="1"/>
  <c r="BJ559" i="27"/>
  <c r="CI559" i="27" s="1"/>
  <c r="BI559" i="27"/>
  <c r="BH559" i="27"/>
  <c r="BG559" i="27"/>
  <c r="CD558" i="27"/>
  <c r="CC558" i="27"/>
  <c r="CB558" i="27"/>
  <c r="BZ558" i="27"/>
  <c r="BY558" i="27"/>
  <c r="BX558" i="27"/>
  <c r="BW558" i="27"/>
  <c r="BV558" i="27"/>
  <c r="BU558" i="27"/>
  <c r="BT558" i="27"/>
  <c r="BS558" i="27"/>
  <c r="BR558" i="27"/>
  <c r="BQ558" i="27"/>
  <c r="BP558" i="27"/>
  <c r="BO558" i="27"/>
  <c r="BN558" i="27"/>
  <c r="BM558" i="27"/>
  <c r="CL558" i="27" s="1"/>
  <c r="BL558" i="27"/>
  <c r="CK558" i="27" s="1"/>
  <c r="BK558" i="27"/>
  <c r="CJ558" i="27" s="1"/>
  <c r="BJ558" i="27"/>
  <c r="CI558" i="27" s="1"/>
  <c r="BI558" i="27"/>
  <c r="CH558" i="27" s="1"/>
  <c r="BH558" i="27"/>
  <c r="CG558" i="27" s="1"/>
  <c r="BG558" i="27"/>
  <c r="CF558" i="27" s="1"/>
  <c r="CD557" i="27"/>
  <c r="CC557" i="27"/>
  <c r="CB557" i="27"/>
  <c r="BZ557" i="27"/>
  <c r="BY557" i="27"/>
  <c r="BX557" i="27"/>
  <c r="BW557" i="27"/>
  <c r="BU557" i="27"/>
  <c r="BT557" i="27"/>
  <c r="BS557" i="27"/>
  <c r="BR557" i="27"/>
  <c r="BQ557" i="27"/>
  <c r="BP557" i="27"/>
  <c r="BO557" i="27"/>
  <c r="BN557" i="27"/>
  <c r="BM557" i="27"/>
  <c r="CL557" i="27" s="1"/>
  <c r="BL557" i="27"/>
  <c r="CK557" i="27" s="1"/>
  <c r="BK557" i="27"/>
  <c r="CJ557" i="27" s="1"/>
  <c r="BJ557" i="27"/>
  <c r="CI557" i="27" s="1"/>
  <c r="BI557" i="27"/>
  <c r="CH557" i="27" s="1"/>
  <c r="BH557" i="27"/>
  <c r="CG557" i="27" s="1"/>
  <c r="BG557" i="27"/>
  <c r="CF557" i="27" s="1"/>
  <c r="CD556" i="27"/>
  <c r="CC556" i="27"/>
  <c r="CB556" i="27"/>
  <c r="BZ556" i="27"/>
  <c r="BY556" i="27"/>
  <c r="BX556" i="27"/>
  <c r="BW556" i="27"/>
  <c r="BU556" i="27"/>
  <c r="BT556" i="27"/>
  <c r="BS556" i="27"/>
  <c r="BR556" i="27"/>
  <c r="BQ556" i="27"/>
  <c r="BP556" i="27"/>
  <c r="BO556" i="27"/>
  <c r="BN556" i="27"/>
  <c r="BM556" i="27"/>
  <c r="CL556" i="27" s="1"/>
  <c r="BL556" i="27"/>
  <c r="CK556" i="27" s="1"/>
  <c r="BK556" i="27"/>
  <c r="CJ556" i="27" s="1"/>
  <c r="BJ556" i="27"/>
  <c r="CI556" i="27" s="1"/>
  <c r="BI556" i="27"/>
  <c r="CH556" i="27" s="1"/>
  <c r="BH556" i="27"/>
  <c r="CG556" i="27" s="1"/>
  <c r="BG556" i="27"/>
  <c r="CF556" i="27" s="1"/>
  <c r="CD555" i="27"/>
  <c r="CC555" i="27"/>
  <c r="BZ555" i="27"/>
  <c r="BX555" i="27"/>
  <c r="BW555" i="27"/>
  <c r="BV555" i="27"/>
  <c r="BU555" i="27"/>
  <c r="BT555" i="27"/>
  <c r="BS555" i="27"/>
  <c r="BR555" i="27"/>
  <c r="BQ555" i="27"/>
  <c r="BP555" i="27"/>
  <c r="BO555" i="27"/>
  <c r="BN555" i="27"/>
  <c r="BM555" i="27"/>
  <c r="CL555" i="27" s="1"/>
  <c r="BL555" i="27"/>
  <c r="CK555" i="27" s="1"/>
  <c r="BK555" i="27"/>
  <c r="CJ555" i="27" s="1"/>
  <c r="BJ555" i="27"/>
  <c r="CI555" i="27" s="1"/>
  <c r="BI555" i="27"/>
  <c r="BH555" i="27"/>
  <c r="BG555" i="27"/>
  <c r="CD554" i="27"/>
  <c r="CC554" i="27"/>
  <c r="CB554" i="27"/>
  <c r="BZ554" i="27"/>
  <c r="BY554" i="27"/>
  <c r="BX554" i="27"/>
  <c r="BW554" i="27"/>
  <c r="BU554" i="27"/>
  <c r="BT554" i="27"/>
  <c r="BS554" i="27"/>
  <c r="BR554" i="27"/>
  <c r="BQ554" i="27"/>
  <c r="BP554" i="27"/>
  <c r="BO554" i="27"/>
  <c r="BN554" i="27"/>
  <c r="BM554" i="27"/>
  <c r="CL554" i="27" s="1"/>
  <c r="BL554" i="27"/>
  <c r="CK554" i="27" s="1"/>
  <c r="BK554" i="27"/>
  <c r="CJ554" i="27" s="1"/>
  <c r="BJ554" i="27"/>
  <c r="CI554" i="27" s="1"/>
  <c r="BI554" i="27"/>
  <c r="CH554" i="27" s="1"/>
  <c r="BH554" i="27"/>
  <c r="CG554" i="27" s="1"/>
  <c r="BG554" i="27"/>
  <c r="CF554" i="27" s="1"/>
  <c r="CD553" i="27"/>
  <c r="CC553" i="27"/>
  <c r="CB553" i="27"/>
  <c r="BZ553" i="27"/>
  <c r="BY553" i="27"/>
  <c r="BX553" i="27"/>
  <c r="BW553" i="27"/>
  <c r="BU553" i="27"/>
  <c r="BT553" i="27"/>
  <c r="BS553" i="27"/>
  <c r="BR553" i="27"/>
  <c r="BQ553" i="27"/>
  <c r="BP553" i="27"/>
  <c r="BO553" i="27"/>
  <c r="BN553" i="27"/>
  <c r="BM553" i="27"/>
  <c r="CL553" i="27" s="1"/>
  <c r="BL553" i="27"/>
  <c r="CK553" i="27" s="1"/>
  <c r="BK553" i="27"/>
  <c r="CJ553" i="27" s="1"/>
  <c r="BJ553" i="27"/>
  <c r="CI553" i="27" s="1"/>
  <c r="BI553" i="27"/>
  <c r="CH553" i="27" s="1"/>
  <c r="BH553" i="27"/>
  <c r="CG553" i="27" s="1"/>
  <c r="BG553" i="27"/>
  <c r="CF553" i="27" s="1"/>
  <c r="CD552" i="27"/>
  <c r="CC552" i="27"/>
  <c r="BZ552" i="27"/>
  <c r="BX552" i="27"/>
  <c r="BW552" i="27"/>
  <c r="BV552" i="27"/>
  <c r="BU552" i="27"/>
  <c r="BT552" i="27"/>
  <c r="BS552" i="27"/>
  <c r="BR552" i="27"/>
  <c r="BQ552" i="27"/>
  <c r="BP552" i="27"/>
  <c r="BO552" i="27"/>
  <c r="BN552" i="27"/>
  <c r="BM552" i="27"/>
  <c r="CL552" i="27" s="1"/>
  <c r="BL552" i="27"/>
  <c r="CK552" i="27" s="1"/>
  <c r="BK552" i="27"/>
  <c r="CJ552" i="27" s="1"/>
  <c r="BJ552" i="27"/>
  <c r="CI552" i="27" s="1"/>
  <c r="BI552" i="27"/>
  <c r="BH552" i="27"/>
  <c r="BG552" i="27"/>
  <c r="CD551" i="27"/>
  <c r="CC551" i="27"/>
  <c r="CB551" i="27"/>
  <c r="BZ551" i="27"/>
  <c r="BY551" i="27"/>
  <c r="BX551" i="27"/>
  <c r="BW551" i="27"/>
  <c r="BU551" i="27"/>
  <c r="BT551" i="27"/>
  <c r="BS551" i="27"/>
  <c r="BQ551" i="27"/>
  <c r="BP551" i="27"/>
  <c r="BO551" i="27"/>
  <c r="BN551" i="27"/>
  <c r="BM551" i="27"/>
  <c r="CL551" i="27" s="1"/>
  <c r="BL551" i="27"/>
  <c r="CK551" i="27" s="1"/>
  <c r="BK551" i="27"/>
  <c r="CJ551" i="27" s="1"/>
  <c r="BJ551" i="27"/>
  <c r="CI551" i="27" s="1"/>
  <c r="BI551" i="27"/>
  <c r="CH551" i="27" s="1"/>
  <c r="BH551" i="27"/>
  <c r="CG551" i="27" s="1"/>
  <c r="BG551" i="27"/>
  <c r="CF551" i="27" s="1"/>
  <c r="CD550" i="27"/>
  <c r="CC550" i="27"/>
  <c r="CB550" i="27"/>
  <c r="BZ550" i="27"/>
  <c r="BY550" i="27"/>
  <c r="BX550" i="27"/>
  <c r="BW550" i="27"/>
  <c r="BU550" i="27"/>
  <c r="BS550" i="27"/>
  <c r="BR550" i="27"/>
  <c r="BQ550" i="27"/>
  <c r="BP550" i="27"/>
  <c r="BO550" i="27"/>
  <c r="BN550" i="27"/>
  <c r="BM550" i="27"/>
  <c r="CL550" i="27" s="1"/>
  <c r="BL550" i="27"/>
  <c r="CK550" i="27" s="1"/>
  <c r="BK550" i="27"/>
  <c r="CJ550" i="27" s="1"/>
  <c r="BJ550" i="27"/>
  <c r="CI550" i="27" s="1"/>
  <c r="BI550" i="27"/>
  <c r="CH550" i="27" s="1"/>
  <c r="BH550" i="27"/>
  <c r="CG550" i="27" s="1"/>
  <c r="BG550" i="27"/>
  <c r="CF550" i="27" s="1"/>
  <c r="CD549" i="27"/>
  <c r="CC549" i="27"/>
  <c r="BZ549" i="27"/>
  <c r="BX549" i="27"/>
  <c r="BW549" i="27"/>
  <c r="BV549" i="27"/>
  <c r="BU549" i="27"/>
  <c r="BS549" i="27"/>
  <c r="BR549" i="27"/>
  <c r="BQ549" i="27"/>
  <c r="BP549" i="27"/>
  <c r="BO549" i="27"/>
  <c r="BN549" i="27"/>
  <c r="BM549" i="27"/>
  <c r="CL549" i="27" s="1"/>
  <c r="BL549" i="27"/>
  <c r="CK549" i="27" s="1"/>
  <c r="BK549" i="27"/>
  <c r="CJ549" i="27" s="1"/>
  <c r="BJ549" i="27"/>
  <c r="CI549" i="27" s="1"/>
  <c r="BI549" i="27"/>
  <c r="BH549" i="27"/>
  <c r="BG549" i="27"/>
  <c r="CD548" i="27"/>
  <c r="CC548" i="27"/>
  <c r="CB548" i="27"/>
  <c r="BZ548" i="27"/>
  <c r="BY548" i="27"/>
  <c r="BX548" i="27"/>
  <c r="BW548" i="27"/>
  <c r="BU548" i="27"/>
  <c r="BT548" i="27"/>
  <c r="BS548" i="27"/>
  <c r="BR548" i="27"/>
  <c r="BQ548" i="27"/>
  <c r="BP548" i="27"/>
  <c r="BO548" i="27"/>
  <c r="BN548" i="27"/>
  <c r="BM548" i="27"/>
  <c r="CL548" i="27" s="1"/>
  <c r="BL548" i="27"/>
  <c r="CK548" i="27" s="1"/>
  <c r="BK548" i="27"/>
  <c r="CJ548" i="27" s="1"/>
  <c r="BJ548" i="27"/>
  <c r="CI548" i="27" s="1"/>
  <c r="BI548" i="27"/>
  <c r="CH548" i="27" s="1"/>
  <c r="BH548" i="27"/>
  <c r="CG548" i="27" s="1"/>
  <c r="BG548" i="27"/>
  <c r="CF548" i="27" s="1"/>
  <c r="CD547" i="27"/>
  <c r="CC547" i="27"/>
  <c r="CB547" i="27"/>
  <c r="CA547" i="27"/>
  <c r="BZ547" i="27"/>
  <c r="BY547" i="27"/>
  <c r="BX547" i="27"/>
  <c r="BW547" i="27"/>
  <c r="BU547" i="27"/>
  <c r="BT547" i="27"/>
  <c r="BS547" i="27"/>
  <c r="BR547" i="27"/>
  <c r="BQ547" i="27"/>
  <c r="BP547" i="27"/>
  <c r="BO547" i="27"/>
  <c r="BN547" i="27"/>
  <c r="BM547" i="27"/>
  <c r="CL547" i="27" s="1"/>
  <c r="BL547" i="27"/>
  <c r="CK547" i="27" s="1"/>
  <c r="BK547" i="27"/>
  <c r="CJ547" i="27" s="1"/>
  <c r="BJ547" i="27"/>
  <c r="CI547" i="27" s="1"/>
  <c r="BI547" i="27"/>
  <c r="CH547" i="27" s="1"/>
  <c r="BH547" i="27"/>
  <c r="CG547" i="27" s="1"/>
  <c r="BG547" i="27"/>
  <c r="CF547" i="27" s="1"/>
  <c r="CD546" i="27"/>
  <c r="CC546" i="27"/>
  <c r="BZ546" i="27"/>
  <c r="BX546" i="27"/>
  <c r="BW546" i="27"/>
  <c r="BV546" i="27"/>
  <c r="BU546" i="27"/>
  <c r="BT546" i="27"/>
  <c r="BS546" i="27"/>
  <c r="BR546" i="27"/>
  <c r="BQ546" i="27"/>
  <c r="BP546" i="27"/>
  <c r="BO546" i="27"/>
  <c r="BN546" i="27"/>
  <c r="BM546" i="27"/>
  <c r="CL546" i="27" s="1"/>
  <c r="BL546" i="27"/>
  <c r="CK546" i="27" s="1"/>
  <c r="BK546" i="27"/>
  <c r="CJ546" i="27" s="1"/>
  <c r="BJ546" i="27"/>
  <c r="CI546" i="27" s="1"/>
  <c r="BI546" i="27"/>
  <c r="BH546" i="27"/>
  <c r="BG546" i="27"/>
  <c r="CD545" i="27"/>
  <c r="CC545" i="27"/>
  <c r="CB545" i="27"/>
  <c r="BZ545" i="27"/>
  <c r="BY545" i="27"/>
  <c r="BX545" i="27"/>
  <c r="BW545" i="27"/>
  <c r="BV545" i="27"/>
  <c r="BU545" i="27"/>
  <c r="BT545" i="27"/>
  <c r="BS545" i="27"/>
  <c r="BR545" i="27"/>
  <c r="BQ545" i="27"/>
  <c r="BP545" i="27"/>
  <c r="BO545" i="27"/>
  <c r="BN545" i="27"/>
  <c r="BM545" i="27"/>
  <c r="CL545" i="27" s="1"/>
  <c r="BL545" i="27"/>
  <c r="CK545" i="27" s="1"/>
  <c r="BK545" i="27"/>
  <c r="CJ545" i="27" s="1"/>
  <c r="BJ545" i="27"/>
  <c r="CI545" i="27" s="1"/>
  <c r="BI545" i="27"/>
  <c r="CH545" i="27" s="1"/>
  <c r="BH545" i="27"/>
  <c r="CG545" i="27" s="1"/>
  <c r="BG545" i="27"/>
  <c r="CF545" i="27" s="1"/>
  <c r="CD544" i="27"/>
  <c r="CC544" i="27"/>
  <c r="CB544" i="27"/>
  <c r="BZ544" i="27"/>
  <c r="BY544" i="27"/>
  <c r="BX544" i="27"/>
  <c r="BW544" i="27"/>
  <c r="BU544" i="27"/>
  <c r="BT544" i="27"/>
  <c r="BS544" i="27"/>
  <c r="BR544" i="27"/>
  <c r="BQ544" i="27"/>
  <c r="BP544" i="27"/>
  <c r="BO544" i="27"/>
  <c r="BN544" i="27"/>
  <c r="BM544" i="27"/>
  <c r="CL544" i="27" s="1"/>
  <c r="BL544" i="27"/>
  <c r="CK544" i="27" s="1"/>
  <c r="BK544" i="27"/>
  <c r="CJ544" i="27" s="1"/>
  <c r="BJ544" i="27"/>
  <c r="CI544" i="27" s="1"/>
  <c r="BI544" i="27"/>
  <c r="CH544" i="27" s="1"/>
  <c r="BH544" i="27"/>
  <c r="CG544" i="27" s="1"/>
  <c r="BG544" i="27"/>
  <c r="CF544" i="27" s="1"/>
  <c r="CD543" i="27"/>
  <c r="CC543" i="27"/>
  <c r="CB543" i="27"/>
  <c r="BZ543" i="27"/>
  <c r="BY543" i="27"/>
  <c r="BX543" i="27"/>
  <c r="BW543" i="27"/>
  <c r="BU543" i="27"/>
  <c r="BT543" i="27"/>
  <c r="BS543" i="27"/>
  <c r="BR543" i="27"/>
  <c r="BQ543" i="27"/>
  <c r="BP543" i="27"/>
  <c r="BO543" i="27"/>
  <c r="BN543" i="27"/>
  <c r="BM543" i="27"/>
  <c r="CL543" i="27" s="1"/>
  <c r="BL543" i="27"/>
  <c r="CK543" i="27" s="1"/>
  <c r="BK543" i="27"/>
  <c r="CJ543" i="27" s="1"/>
  <c r="BJ543" i="27"/>
  <c r="CI543" i="27" s="1"/>
  <c r="BI543" i="27"/>
  <c r="CH543" i="27" s="1"/>
  <c r="BH543" i="27"/>
  <c r="CG543" i="27" s="1"/>
  <c r="BG543" i="27"/>
  <c r="CF543" i="27" s="1"/>
  <c r="CD542" i="27"/>
  <c r="CC542" i="27"/>
  <c r="BZ542" i="27"/>
  <c r="BX542" i="27"/>
  <c r="BW542" i="27"/>
  <c r="BV542" i="27"/>
  <c r="BU542" i="27"/>
  <c r="BT542" i="27"/>
  <c r="BS542" i="27"/>
  <c r="BR542" i="27"/>
  <c r="BQ542" i="27"/>
  <c r="BP542" i="27"/>
  <c r="BO542" i="27"/>
  <c r="BN542" i="27"/>
  <c r="BM542" i="27"/>
  <c r="CL542" i="27" s="1"/>
  <c r="BL542" i="27"/>
  <c r="CK542" i="27" s="1"/>
  <c r="BK542" i="27"/>
  <c r="CJ542" i="27" s="1"/>
  <c r="BJ542" i="27"/>
  <c r="CI542" i="27" s="1"/>
  <c r="BI542" i="27"/>
  <c r="BH542" i="27"/>
  <c r="BG542" i="27"/>
  <c r="CD541" i="27"/>
  <c r="CC541" i="27"/>
  <c r="CB541" i="27"/>
  <c r="BZ541" i="27"/>
  <c r="BY541" i="27"/>
  <c r="BX541" i="27"/>
  <c r="BW541" i="27"/>
  <c r="BU541" i="27"/>
  <c r="BT541" i="27"/>
  <c r="BS541" i="27"/>
  <c r="BR541" i="27"/>
  <c r="BQ541" i="27"/>
  <c r="BP541" i="27"/>
  <c r="BO541" i="27"/>
  <c r="BN541" i="27"/>
  <c r="BM541" i="27"/>
  <c r="CL541" i="27" s="1"/>
  <c r="BL541" i="27"/>
  <c r="CK541" i="27" s="1"/>
  <c r="BK541" i="27"/>
  <c r="CJ541" i="27" s="1"/>
  <c r="BJ541" i="27"/>
  <c r="CI541" i="27" s="1"/>
  <c r="BI541" i="27"/>
  <c r="CH541" i="27" s="1"/>
  <c r="BH541" i="27"/>
  <c r="CG541" i="27" s="1"/>
  <c r="BG541" i="27"/>
  <c r="CF541" i="27" s="1"/>
  <c r="CD540" i="27"/>
  <c r="CC540" i="27"/>
  <c r="CB540" i="27"/>
  <c r="BZ540" i="27"/>
  <c r="BY540" i="27"/>
  <c r="BX540" i="27"/>
  <c r="BW540" i="27"/>
  <c r="BU540" i="27"/>
  <c r="BT540" i="27"/>
  <c r="BS540" i="27"/>
  <c r="BR540" i="27"/>
  <c r="BQ540" i="27"/>
  <c r="BP540" i="27"/>
  <c r="BO540" i="27"/>
  <c r="BN540" i="27"/>
  <c r="BM540" i="27"/>
  <c r="CL540" i="27" s="1"/>
  <c r="BL540" i="27"/>
  <c r="CK540" i="27" s="1"/>
  <c r="BK540" i="27"/>
  <c r="CJ540" i="27" s="1"/>
  <c r="BJ540" i="27"/>
  <c r="CI540" i="27" s="1"/>
  <c r="BI540" i="27"/>
  <c r="CH540" i="27" s="1"/>
  <c r="BH540" i="27"/>
  <c r="CG540" i="27" s="1"/>
  <c r="BG540" i="27"/>
  <c r="CF540" i="27" s="1"/>
  <c r="CD539" i="27"/>
  <c r="CC539" i="27"/>
  <c r="BZ539" i="27"/>
  <c r="BX539" i="27"/>
  <c r="BW539" i="27"/>
  <c r="BV539" i="27"/>
  <c r="BU539" i="27"/>
  <c r="BT539" i="27"/>
  <c r="BS539" i="27"/>
  <c r="BR539" i="27"/>
  <c r="BQ539" i="27"/>
  <c r="BP539" i="27"/>
  <c r="BO539" i="27"/>
  <c r="BN539" i="27"/>
  <c r="BM539" i="27"/>
  <c r="CL539" i="27" s="1"/>
  <c r="BL539" i="27"/>
  <c r="CK539" i="27" s="1"/>
  <c r="BK539" i="27"/>
  <c r="CJ539" i="27" s="1"/>
  <c r="BJ539" i="27"/>
  <c r="CI539" i="27" s="1"/>
  <c r="BI539" i="27"/>
  <c r="BH539" i="27"/>
  <c r="BG539" i="27"/>
  <c r="CD538" i="27"/>
  <c r="CC538" i="27"/>
  <c r="CB538" i="27"/>
  <c r="BZ538" i="27"/>
  <c r="BY538" i="27"/>
  <c r="BX538" i="27"/>
  <c r="BW538" i="27"/>
  <c r="BU538" i="27"/>
  <c r="BT538" i="27"/>
  <c r="BS538" i="27"/>
  <c r="BR538" i="27"/>
  <c r="BQ538" i="27"/>
  <c r="BP538" i="27"/>
  <c r="BO538" i="27"/>
  <c r="BN538" i="27"/>
  <c r="BM538" i="27"/>
  <c r="CL538" i="27" s="1"/>
  <c r="BL538" i="27"/>
  <c r="CK538" i="27" s="1"/>
  <c r="BK538" i="27"/>
  <c r="CJ538" i="27" s="1"/>
  <c r="BJ538" i="27"/>
  <c r="CI538" i="27" s="1"/>
  <c r="BI538" i="27"/>
  <c r="CH538" i="27" s="1"/>
  <c r="BH538" i="27"/>
  <c r="CG538" i="27" s="1"/>
  <c r="BG538" i="27"/>
  <c r="CF538" i="27" s="1"/>
  <c r="CD537" i="27"/>
  <c r="CC537" i="27"/>
  <c r="CB537" i="27"/>
  <c r="BZ537" i="27"/>
  <c r="BY537" i="27"/>
  <c r="BX537" i="27"/>
  <c r="BW537" i="27"/>
  <c r="BU537" i="27"/>
  <c r="BT537" i="27"/>
  <c r="BS537" i="27"/>
  <c r="BR537" i="27"/>
  <c r="BQ537" i="27"/>
  <c r="BP537" i="27"/>
  <c r="BO537" i="27"/>
  <c r="BN537" i="27"/>
  <c r="BM537" i="27"/>
  <c r="CL537" i="27" s="1"/>
  <c r="BL537" i="27"/>
  <c r="CK537" i="27" s="1"/>
  <c r="BK537" i="27"/>
  <c r="CJ537" i="27" s="1"/>
  <c r="BJ537" i="27"/>
  <c r="CI537" i="27" s="1"/>
  <c r="BI537" i="27"/>
  <c r="CH537" i="27" s="1"/>
  <c r="BH537" i="27"/>
  <c r="CG537" i="27" s="1"/>
  <c r="BG537" i="27"/>
  <c r="CF537" i="27" s="1"/>
  <c r="CD536" i="27"/>
  <c r="CC536" i="27"/>
  <c r="BZ536" i="27"/>
  <c r="BX536" i="27"/>
  <c r="BW536" i="27"/>
  <c r="BV536" i="27"/>
  <c r="BU536" i="27"/>
  <c r="BS536" i="27"/>
  <c r="BR536" i="27"/>
  <c r="BQ536" i="27"/>
  <c r="BO536" i="27"/>
  <c r="BN536" i="27"/>
  <c r="BM536" i="27"/>
  <c r="CL536" i="27" s="1"/>
  <c r="BL536" i="27"/>
  <c r="CK536" i="27" s="1"/>
  <c r="BK536" i="27"/>
  <c r="CJ536" i="27" s="1"/>
  <c r="BJ536" i="27"/>
  <c r="CI536" i="27" s="1"/>
  <c r="BI536" i="27"/>
  <c r="BH536" i="27"/>
  <c r="BG536" i="27"/>
  <c r="CD535" i="27"/>
  <c r="CC535" i="27"/>
  <c r="CB535" i="27"/>
  <c r="CA535" i="27"/>
  <c r="BZ535" i="27"/>
  <c r="BY535" i="27"/>
  <c r="BX535" i="27"/>
  <c r="BW535" i="27"/>
  <c r="BU535" i="27"/>
  <c r="BT535" i="27"/>
  <c r="BS535" i="27"/>
  <c r="BR535" i="27"/>
  <c r="BQ535" i="27"/>
  <c r="BP535" i="27"/>
  <c r="BO535" i="27"/>
  <c r="BN535" i="27"/>
  <c r="BM535" i="27"/>
  <c r="CL535" i="27" s="1"/>
  <c r="BL535" i="27"/>
  <c r="CK535" i="27" s="1"/>
  <c r="BK535" i="27"/>
  <c r="CJ535" i="27" s="1"/>
  <c r="BJ535" i="27"/>
  <c r="CI535" i="27" s="1"/>
  <c r="BI535" i="27"/>
  <c r="CH535" i="27" s="1"/>
  <c r="BH535" i="27"/>
  <c r="CG535" i="27" s="1"/>
  <c r="BG535" i="27"/>
  <c r="CF535" i="27" s="1"/>
  <c r="CD534" i="27"/>
  <c r="CC534" i="27"/>
  <c r="CB534" i="27"/>
  <c r="CA534" i="27"/>
  <c r="BZ534" i="27"/>
  <c r="BY534" i="27"/>
  <c r="BX534" i="27"/>
  <c r="BW534" i="27"/>
  <c r="BU534" i="27"/>
  <c r="BT534" i="27"/>
  <c r="BS534" i="27"/>
  <c r="BR534" i="27"/>
  <c r="BQ534" i="27"/>
  <c r="BP534" i="27"/>
  <c r="BO534" i="27"/>
  <c r="BN534" i="27"/>
  <c r="BM534" i="27"/>
  <c r="CL534" i="27" s="1"/>
  <c r="BL534" i="27"/>
  <c r="CK534" i="27" s="1"/>
  <c r="BK534" i="27"/>
  <c r="CJ534" i="27" s="1"/>
  <c r="BJ534" i="27"/>
  <c r="CI534" i="27" s="1"/>
  <c r="BI534" i="27"/>
  <c r="CH534" i="27" s="1"/>
  <c r="BH534" i="27"/>
  <c r="CG534" i="27" s="1"/>
  <c r="BG534" i="27"/>
  <c r="CF534" i="27" s="1"/>
  <c r="CD533" i="27"/>
  <c r="CC533" i="27"/>
  <c r="BZ533" i="27"/>
  <c r="BX533" i="27"/>
  <c r="BW533" i="27"/>
  <c r="BV533" i="27"/>
  <c r="BU533" i="27"/>
  <c r="BT533" i="27"/>
  <c r="BS533" i="27"/>
  <c r="BR533" i="27"/>
  <c r="BQ533" i="27"/>
  <c r="BP533" i="27"/>
  <c r="BO533" i="27"/>
  <c r="BN533" i="27"/>
  <c r="BM533" i="27"/>
  <c r="CL533" i="27" s="1"/>
  <c r="BL533" i="27"/>
  <c r="CK533" i="27" s="1"/>
  <c r="BK533" i="27"/>
  <c r="CJ533" i="27" s="1"/>
  <c r="BJ533" i="27"/>
  <c r="CI533" i="27" s="1"/>
  <c r="BI533" i="27"/>
  <c r="BH533" i="27"/>
  <c r="BG533" i="27"/>
  <c r="CD532" i="27"/>
  <c r="CC532" i="27"/>
  <c r="CB532" i="27"/>
  <c r="BZ532" i="27"/>
  <c r="BY532" i="27"/>
  <c r="BX532" i="27"/>
  <c r="BW532" i="27"/>
  <c r="BV532" i="27"/>
  <c r="BU532" i="27"/>
  <c r="BT532" i="27"/>
  <c r="BS532" i="27"/>
  <c r="BQ532" i="27"/>
  <c r="BP532" i="27"/>
  <c r="BO532" i="27"/>
  <c r="BN532" i="27"/>
  <c r="BM532" i="27"/>
  <c r="CL532" i="27" s="1"/>
  <c r="BL532" i="27"/>
  <c r="CK532" i="27" s="1"/>
  <c r="BK532" i="27"/>
  <c r="CJ532" i="27" s="1"/>
  <c r="BI532" i="27"/>
  <c r="CH532" i="27" s="1"/>
  <c r="BH532" i="27"/>
  <c r="CG532" i="27" s="1"/>
  <c r="BG532" i="27"/>
  <c r="CF532" i="27" s="1"/>
  <c r="CD531" i="27"/>
  <c r="CC531" i="27"/>
  <c r="CB531" i="27"/>
  <c r="BZ531" i="27"/>
  <c r="BY531" i="27"/>
  <c r="BX531" i="27"/>
  <c r="BW531" i="27"/>
  <c r="BU531" i="27"/>
  <c r="BT531" i="27"/>
  <c r="BS531" i="27"/>
  <c r="BQ531" i="27"/>
  <c r="BP531" i="27"/>
  <c r="BO531" i="27"/>
  <c r="BN531" i="27"/>
  <c r="BM531" i="27"/>
  <c r="CL531" i="27" s="1"/>
  <c r="BL531" i="27"/>
  <c r="CK531" i="27" s="1"/>
  <c r="BK531" i="27"/>
  <c r="CJ531" i="27" s="1"/>
  <c r="BI531" i="27"/>
  <c r="CH531" i="27" s="1"/>
  <c r="BH531" i="27"/>
  <c r="CG531" i="27" s="1"/>
  <c r="BG531" i="27"/>
  <c r="CF531" i="27" s="1"/>
  <c r="CD530" i="27"/>
  <c r="CC530" i="27"/>
  <c r="CB530" i="27"/>
  <c r="CA530" i="27"/>
  <c r="BZ530" i="27"/>
  <c r="BY530" i="27"/>
  <c r="BX530" i="27"/>
  <c r="BW530" i="27"/>
  <c r="BU530" i="27"/>
  <c r="BT530" i="27"/>
  <c r="BS530" i="27"/>
  <c r="BR530" i="27"/>
  <c r="BQ530" i="27"/>
  <c r="BP530" i="27"/>
  <c r="BO530" i="27"/>
  <c r="BN530" i="27"/>
  <c r="BM530" i="27"/>
  <c r="CL530" i="27" s="1"/>
  <c r="BL530" i="27"/>
  <c r="CK530" i="27" s="1"/>
  <c r="BK530" i="27"/>
  <c r="CJ530" i="27" s="1"/>
  <c r="BJ530" i="27"/>
  <c r="CI530" i="27" s="1"/>
  <c r="BI530" i="27"/>
  <c r="CH530" i="27" s="1"/>
  <c r="BH530" i="27"/>
  <c r="CG530" i="27" s="1"/>
  <c r="BG530" i="27"/>
  <c r="CF530" i="27" s="1"/>
  <c r="BF601" i="27"/>
  <c r="CE601" i="27" s="1"/>
  <c r="BF600" i="27"/>
  <c r="CE600" i="27" s="1"/>
  <c r="BF599" i="27"/>
  <c r="CE599" i="27" s="1"/>
  <c r="BF598" i="27"/>
  <c r="CE598" i="27" s="1"/>
  <c r="BF597" i="27"/>
  <c r="CE597" i="27" s="1"/>
  <c r="BF596" i="27"/>
  <c r="CE596" i="27" s="1"/>
  <c r="BF595" i="27"/>
  <c r="CE595" i="27" s="1"/>
  <c r="BF594" i="27"/>
  <c r="CE594" i="27" s="1"/>
  <c r="BF593" i="27"/>
  <c r="CE593" i="27" s="1"/>
  <c r="BF592" i="27"/>
  <c r="CE592" i="27" s="1"/>
  <c r="BF591" i="27"/>
  <c r="CE591" i="27" s="1"/>
  <c r="BF590" i="27"/>
  <c r="CE590" i="27" s="1"/>
  <c r="BF589" i="27"/>
  <c r="CE589" i="27" s="1"/>
  <c r="BF588" i="27"/>
  <c r="CE588" i="27" s="1"/>
  <c r="BF587" i="27"/>
  <c r="CE587" i="27" s="1"/>
  <c r="BF586" i="27"/>
  <c r="CE586" i="27" s="1"/>
  <c r="BF585" i="27"/>
  <c r="CE585" i="27" s="1"/>
  <c r="BF584" i="27"/>
  <c r="CE584" i="27" s="1"/>
  <c r="BF583" i="27"/>
  <c r="CE583" i="27" s="1"/>
  <c r="BF582" i="27"/>
  <c r="CE582" i="27" s="1"/>
  <c r="BF581" i="27"/>
  <c r="CE581" i="27" s="1"/>
  <c r="BF580" i="27"/>
  <c r="CE580" i="27" s="1"/>
  <c r="BF579" i="27"/>
  <c r="CE579" i="27" s="1"/>
  <c r="BF578" i="27"/>
  <c r="CE578" i="27" s="1"/>
  <c r="BF577" i="27"/>
  <c r="CE577" i="27" s="1"/>
  <c r="BF576" i="27"/>
  <c r="CE576" i="27" s="1"/>
  <c r="BF575" i="27"/>
  <c r="CE575" i="27" s="1"/>
  <c r="BF574" i="27"/>
  <c r="CE574" i="27" s="1"/>
  <c r="BF573" i="27"/>
  <c r="CE573" i="27" s="1"/>
  <c r="BF572" i="27"/>
  <c r="CE572" i="27" s="1"/>
  <c r="BF571" i="27"/>
  <c r="CE571" i="27" s="1"/>
  <c r="BF570" i="27"/>
  <c r="CE570" i="27" s="1"/>
  <c r="BF569" i="27"/>
  <c r="CE569" i="27" s="1"/>
  <c r="BF568" i="27"/>
  <c r="CE568" i="27" s="1"/>
  <c r="BF567" i="27"/>
  <c r="CE567" i="27" s="1"/>
  <c r="BF566" i="27"/>
  <c r="CE566" i="27" s="1"/>
  <c r="BF565" i="27"/>
  <c r="CE565" i="27" s="1"/>
  <c r="BF564" i="27"/>
  <c r="CE564" i="27" s="1"/>
  <c r="BF563" i="27"/>
  <c r="CE563" i="27" s="1"/>
  <c r="BF562" i="27"/>
  <c r="CE562" i="27" s="1"/>
  <c r="BF561" i="27"/>
  <c r="CE561" i="27" s="1"/>
  <c r="BF560" i="27"/>
  <c r="CE560" i="27" s="1"/>
  <c r="BF559" i="27"/>
  <c r="CE559" i="27" s="1"/>
  <c r="BF558" i="27"/>
  <c r="CE558" i="27" s="1"/>
  <c r="BF557" i="27"/>
  <c r="CE557" i="27" s="1"/>
  <c r="BF554" i="27"/>
  <c r="CE554" i="27" s="1"/>
  <c r="BF553" i="27"/>
  <c r="CE553" i="27" s="1"/>
  <c r="BF552" i="27"/>
  <c r="CE552" i="27" s="1"/>
  <c r="BF551" i="27"/>
  <c r="CE551" i="27" s="1"/>
  <c r="BF550" i="27"/>
  <c r="CE550" i="27" s="1"/>
  <c r="BF549" i="27"/>
  <c r="CE549" i="27" s="1"/>
  <c r="BF548" i="27"/>
  <c r="CE548" i="27" s="1"/>
  <c r="BF547" i="27"/>
  <c r="CE547" i="27" s="1"/>
  <c r="BF546" i="27"/>
  <c r="CE546" i="27" s="1"/>
  <c r="BF545" i="27"/>
  <c r="CE545" i="27" s="1"/>
  <c r="BF544" i="27"/>
  <c r="CE544" i="27" s="1"/>
  <c r="BF543" i="27"/>
  <c r="CE543" i="27" s="1"/>
  <c r="BF542" i="27"/>
  <c r="CE542" i="27" s="1"/>
  <c r="BF541" i="27"/>
  <c r="CE541" i="27" s="1"/>
  <c r="BF540" i="27"/>
  <c r="CE540" i="27" s="1"/>
  <c r="BF539" i="27"/>
  <c r="CE539" i="27" s="1"/>
  <c r="BF538" i="27"/>
  <c r="CE538" i="27" s="1"/>
  <c r="BF537" i="27"/>
  <c r="CE537" i="27" s="1"/>
  <c r="BF536" i="27"/>
  <c r="CE536" i="27" s="1"/>
  <c r="BF535" i="27"/>
  <c r="CE535" i="27" s="1"/>
  <c r="BF534" i="27"/>
  <c r="CE534" i="27" s="1"/>
  <c r="BF533" i="27"/>
  <c r="CE533" i="27" s="1"/>
  <c r="BF532" i="27"/>
  <c r="CE532" i="27" s="1"/>
  <c r="BF531" i="27"/>
  <c r="CE531" i="27" s="1"/>
  <c r="BF530" i="27"/>
  <c r="CE530" i="27" s="1"/>
  <c r="BE63" i="27"/>
  <c r="B16" i="25"/>
  <c r="BS83" i="27"/>
  <c r="BR83" i="27"/>
  <c r="BQ83" i="27"/>
  <c r="BP83" i="27"/>
  <c r="BN83" i="27"/>
  <c r="BM83" i="27"/>
  <c r="BL83" i="27"/>
  <c r="BJ83" i="27"/>
  <c r="BI83" i="27"/>
  <c r="BH83" i="27"/>
  <c r="BG83" i="27"/>
  <c r="BF83" i="27"/>
  <c r="BE83" i="27"/>
  <c r="BT82" i="27"/>
  <c r="BS82" i="27"/>
  <c r="BR82" i="27"/>
  <c r="BP82" i="27"/>
  <c r="BO82" i="27"/>
  <c r="BN82" i="27"/>
  <c r="BM82" i="27"/>
  <c r="BL82" i="27"/>
  <c r="BK82" i="27"/>
  <c r="BJ82" i="27"/>
  <c r="BI82" i="27"/>
  <c r="BH82" i="27"/>
  <c r="BG82" i="27"/>
  <c r="BF82" i="27"/>
  <c r="BE82" i="27"/>
  <c r="BT81" i="27"/>
  <c r="BS81" i="27"/>
  <c r="BR81" i="27"/>
  <c r="BP81" i="27"/>
  <c r="BO81" i="27"/>
  <c r="BN81" i="27"/>
  <c r="BM81" i="27"/>
  <c r="BL81" i="27"/>
  <c r="BK81" i="27"/>
  <c r="BJ81" i="27"/>
  <c r="BI81" i="27"/>
  <c r="BH81" i="27"/>
  <c r="BG81" i="27"/>
  <c r="BF81" i="27"/>
  <c r="BE81" i="27"/>
  <c r="BS80" i="27"/>
  <c r="BR80" i="27"/>
  <c r="BQ80" i="27"/>
  <c r="BP80" i="27"/>
  <c r="BO80" i="27"/>
  <c r="BN80" i="27"/>
  <c r="BM80" i="27"/>
  <c r="BL80" i="27"/>
  <c r="BK80" i="27"/>
  <c r="BJ80" i="27"/>
  <c r="BI80" i="27"/>
  <c r="BH80" i="27"/>
  <c r="BG80" i="27"/>
  <c r="BF80" i="27"/>
  <c r="BE80" i="27"/>
  <c r="BT79" i="27"/>
  <c r="BS79" i="27"/>
  <c r="BR79" i="27"/>
  <c r="BQ79" i="27"/>
  <c r="BP79" i="27"/>
  <c r="BO79" i="27"/>
  <c r="BN79" i="27"/>
  <c r="BL79" i="27"/>
  <c r="BK79" i="27"/>
  <c r="BJ79" i="27"/>
  <c r="BI79" i="27"/>
  <c r="BH79" i="27"/>
  <c r="BG79" i="27"/>
  <c r="BF79" i="27"/>
  <c r="BT78" i="27"/>
  <c r="BS78" i="27"/>
  <c r="BR78" i="27"/>
  <c r="BP78" i="27"/>
  <c r="BO78" i="27"/>
  <c r="BN78" i="27"/>
  <c r="BL78" i="27"/>
  <c r="BK78" i="27"/>
  <c r="BJ78" i="27"/>
  <c r="BI78" i="27"/>
  <c r="BH78" i="27"/>
  <c r="BG78" i="27"/>
  <c r="BF78" i="27"/>
  <c r="BT77" i="27"/>
  <c r="BS77" i="27"/>
  <c r="BR77" i="27"/>
  <c r="BP77" i="27"/>
  <c r="BO77" i="27"/>
  <c r="BN77" i="27"/>
  <c r="BM77" i="27"/>
  <c r="BL77" i="27"/>
  <c r="BK77" i="27"/>
  <c r="BJ77" i="27"/>
  <c r="BI77" i="27"/>
  <c r="BH77" i="27"/>
  <c r="BG77" i="27"/>
  <c r="BF77" i="27"/>
  <c r="BE77" i="27"/>
  <c r="BS76" i="27"/>
  <c r="BR76" i="27"/>
  <c r="BQ76" i="27"/>
  <c r="BP76" i="27"/>
  <c r="BO76" i="27"/>
  <c r="BN76" i="27"/>
  <c r="BM76" i="27"/>
  <c r="BL76" i="27"/>
  <c r="BK76" i="27"/>
  <c r="BJ76" i="27"/>
  <c r="BI76" i="27"/>
  <c r="BH76" i="27"/>
  <c r="BG76" i="27"/>
  <c r="BF76" i="27"/>
  <c r="BE76" i="27"/>
  <c r="BT75" i="27"/>
  <c r="BS75" i="27"/>
  <c r="BR75" i="27"/>
  <c r="BP75" i="27"/>
  <c r="BO75" i="27"/>
  <c r="BN75" i="27"/>
  <c r="BM75" i="27"/>
  <c r="BL75" i="27"/>
  <c r="BK75" i="27"/>
  <c r="BJ75" i="27"/>
  <c r="BI75" i="27"/>
  <c r="BH75" i="27"/>
  <c r="BG75" i="27"/>
  <c r="BF75" i="27"/>
  <c r="BE75" i="27"/>
  <c r="BT74" i="27"/>
  <c r="BS74" i="27"/>
  <c r="BR74" i="27"/>
  <c r="BP74" i="27"/>
  <c r="BN74" i="27"/>
  <c r="BM74" i="27"/>
  <c r="BL74" i="27"/>
  <c r="BK74" i="27"/>
  <c r="BJ74" i="27"/>
  <c r="BI74" i="27"/>
  <c r="BH74" i="27"/>
  <c r="BG74" i="27"/>
  <c r="BF74" i="27"/>
  <c r="BE74" i="27"/>
  <c r="BS73" i="27"/>
  <c r="BR73" i="27"/>
  <c r="BQ73" i="27"/>
  <c r="BP73" i="27"/>
  <c r="BN73" i="27"/>
  <c r="BM73" i="27"/>
  <c r="BL73" i="27"/>
  <c r="BK73" i="27"/>
  <c r="BJ73" i="27"/>
  <c r="BI73" i="27"/>
  <c r="BH73" i="27"/>
  <c r="BG73" i="27"/>
  <c r="BF73" i="27"/>
  <c r="BE73" i="27"/>
  <c r="BT72" i="27"/>
  <c r="BS72" i="27"/>
  <c r="BR72" i="27"/>
  <c r="BP72" i="27"/>
  <c r="BO72" i="27"/>
  <c r="BN72" i="27"/>
  <c r="BM72" i="27"/>
  <c r="BL72" i="27"/>
  <c r="BK72" i="27"/>
  <c r="BJ72" i="27"/>
  <c r="BH72" i="27"/>
  <c r="BG72" i="27"/>
  <c r="BF72" i="27"/>
  <c r="BE72" i="27"/>
  <c r="BT71" i="27"/>
  <c r="BS71" i="27"/>
  <c r="BR71" i="27"/>
  <c r="BP71" i="27"/>
  <c r="BO71" i="27"/>
  <c r="BN71" i="27"/>
  <c r="BM71" i="27"/>
  <c r="BL71" i="27"/>
  <c r="BK71" i="27"/>
  <c r="BJ71" i="27"/>
  <c r="BI71" i="27"/>
  <c r="BH71" i="27"/>
  <c r="BG71" i="27"/>
  <c r="BF71" i="27"/>
  <c r="BE71" i="27"/>
  <c r="BS70" i="27"/>
  <c r="BR70" i="27"/>
  <c r="BQ70" i="27"/>
  <c r="BP70" i="27"/>
  <c r="BO70" i="27"/>
  <c r="BN70" i="27"/>
  <c r="BM70" i="27"/>
  <c r="BL70" i="27"/>
  <c r="BK70" i="27"/>
  <c r="BJ70" i="27"/>
  <c r="BI70" i="27"/>
  <c r="BH70" i="27"/>
  <c r="BG70" i="27"/>
  <c r="BF70" i="27"/>
  <c r="BE70" i="27"/>
  <c r="BT69" i="27"/>
  <c r="BS69" i="27"/>
  <c r="BR69" i="27"/>
  <c r="BP69" i="27"/>
  <c r="BO69" i="27"/>
  <c r="BN69" i="27"/>
  <c r="BM69" i="27"/>
  <c r="BL69" i="27"/>
  <c r="BK69" i="27"/>
  <c r="BJ69" i="27"/>
  <c r="BI69" i="27"/>
  <c r="BH69" i="27"/>
  <c r="BG69" i="27"/>
  <c r="BF69" i="27"/>
  <c r="BE69" i="27"/>
  <c r="BT68" i="27"/>
  <c r="BS68" i="27"/>
  <c r="BR68" i="27"/>
  <c r="BP68" i="27"/>
  <c r="BO68" i="27"/>
  <c r="BN68" i="27"/>
  <c r="BM68" i="27"/>
  <c r="BL68" i="27"/>
  <c r="BK68" i="27"/>
  <c r="BJ68" i="27"/>
  <c r="BI68" i="27"/>
  <c r="BH68" i="27"/>
  <c r="BG68" i="27"/>
  <c r="BF68" i="27"/>
  <c r="BE68" i="27"/>
  <c r="BS67" i="27"/>
  <c r="BR67" i="27"/>
  <c r="BQ67" i="27"/>
  <c r="BP67" i="27"/>
  <c r="BO67" i="27"/>
  <c r="BN67" i="27"/>
  <c r="BM67" i="27"/>
  <c r="BL67" i="27"/>
  <c r="BK67" i="27"/>
  <c r="BJ67" i="27"/>
  <c r="BI67" i="27"/>
  <c r="BH67" i="27"/>
  <c r="BG67" i="27"/>
  <c r="BF67" i="27"/>
  <c r="BE67" i="27"/>
  <c r="BT66" i="27"/>
  <c r="BS66" i="27"/>
  <c r="BR66" i="27"/>
  <c r="BQ66" i="27"/>
  <c r="BP66" i="27"/>
  <c r="BO66" i="27"/>
  <c r="BN66" i="27"/>
  <c r="BM66" i="27"/>
  <c r="BL66" i="27"/>
  <c r="BK66" i="27"/>
  <c r="BJ66" i="27"/>
  <c r="BI66" i="27"/>
  <c r="BH66" i="27"/>
  <c r="BG66" i="27"/>
  <c r="BF66" i="27"/>
  <c r="BE66" i="27"/>
  <c r="BT65" i="27"/>
  <c r="BS65" i="27"/>
  <c r="BR65" i="27"/>
  <c r="BQ65" i="27"/>
  <c r="BP65" i="27"/>
  <c r="BO65" i="27"/>
  <c r="BN65" i="27"/>
  <c r="BM65" i="27"/>
  <c r="BL65" i="27"/>
  <c r="BJ65" i="27"/>
  <c r="BI65" i="27"/>
  <c r="BH65" i="27"/>
  <c r="BG65" i="27"/>
  <c r="BF65" i="27"/>
  <c r="BE65" i="27"/>
  <c r="BT64" i="27"/>
  <c r="BS64" i="27"/>
  <c r="BR64" i="27"/>
  <c r="BQ64" i="27"/>
  <c r="BP64" i="27"/>
  <c r="BO64" i="27"/>
  <c r="BN64" i="27"/>
  <c r="BM64" i="27"/>
  <c r="BL64" i="27"/>
  <c r="BJ64" i="27"/>
  <c r="BI64" i="27"/>
  <c r="BH64" i="27"/>
  <c r="BG64" i="27"/>
  <c r="BF64" i="27"/>
  <c r="BE64" i="27"/>
  <c r="BS63" i="27"/>
  <c r="BR63" i="27"/>
  <c r="BQ63" i="27"/>
  <c r="BP63" i="27"/>
  <c r="BO63" i="27"/>
  <c r="BN63" i="27"/>
  <c r="BM63" i="27"/>
  <c r="BL63" i="27"/>
  <c r="BK63" i="27"/>
  <c r="BJ63" i="27"/>
  <c r="BI63" i="27"/>
  <c r="BH63" i="27"/>
  <c r="BG63" i="27"/>
  <c r="BF63" i="27"/>
  <c r="B43" i="26"/>
  <c r="B44" i="26" s="1"/>
  <c r="B11" i="25"/>
  <c r="D56" i="30" l="1"/>
  <c r="C39" i="30"/>
  <c r="D39" i="30" s="1"/>
  <c r="C40" i="30"/>
  <c r="D40" i="30" s="1"/>
  <c r="C41" i="30"/>
  <c r="D41" i="30" s="1"/>
  <c r="C42" i="30"/>
  <c r="D42" i="30" s="1"/>
  <c r="C43" i="30"/>
  <c r="D43" i="30" s="1"/>
  <c r="C44" i="30"/>
  <c r="C45" i="30"/>
  <c r="D45" i="30" s="1"/>
  <c r="C46" i="30"/>
  <c r="C47" i="30"/>
  <c r="D47" i="30" s="1"/>
  <c r="C48" i="30"/>
  <c r="D48" i="30" s="1"/>
  <c r="C49" i="30"/>
  <c r="D49" i="30" s="1"/>
  <c r="C50" i="30"/>
  <c r="D50" i="30" s="1"/>
  <c r="C51" i="30"/>
  <c r="D51" i="30" s="1"/>
  <c r="C52" i="30"/>
  <c r="C53" i="30"/>
  <c r="D53" i="30" s="1"/>
  <c r="C54" i="30"/>
  <c r="C55" i="30"/>
  <c r="D55" i="30" s="1"/>
  <c r="C56" i="30"/>
  <c r="C57" i="30"/>
  <c r="D57" i="30" s="1"/>
  <c r="C58" i="30"/>
  <c r="D58" i="30" s="1"/>
  <c r="C59" i="30"/>
  <c r="D59" i="30" s="1"/>
  <c r="C60" i="30"/>
  <c r="C61" i="30"/>
  <c r="D61" i="30" s="1"/>
  <c r="C62" i="30"/>
  <c r="C63" i="30"/>
  <c r="D63" i="30" s="1"/>
  <c r="C64" i="30"/>
  <c r="D64" i="30" s="1"/>
  <c r="C65" i="30"/>
  <c r="D65" i="30" s="1"/>
  <c r="C66" i="30"/>
  <c r="D66" i="30" s="1"/>
  <c r="C67" i="30"/>
  <c r="D67" i="30" s="1"/>
  <c r="C68" i="30"/>
  <c r="D68" i="30" s="1"/>
  <c r="C69" i="30"/>
  <c r="D69" i="30" s="1"/>
  <c r="B39" i="30"/>
  <c r="B40" i="30"/>
  <c r="B41" i="30"/>
  <c r="B42" i="30"/>
  <c r="B43" i="30"/>
  <c r="B44" i="30"/>
  <c r="D44" i="30" s="1"/>
  <c r="B45" i="30"/>
  <c r="B46" i="30"/>
  <c r="D46" i="30" s="1"/>
  <c r="B47" i="30"/>
  <c r="B48" i="30"/>
  <c r="B49" i="30"/>
  <c r="B50" i="30"/>
  <c r="B51" i="30"/>
  <c r="B52" i="30"/>
  <c r="D52" i="30" s="1"/>
  <c r="B53" i="30"/>
  <c r="B54" i="30"/>
  <c r="D54" i="30" s="1"/>
  <c r="B55" i="30"/>
  <c r="B56" i="30"/>
  <c r="B57" i="30"/>
  <c r="B58" i="30"/>
  <c r="B59" i="30"/>
  <c r="B60" i="30"/>
  <c r="D60" i="30" s="1"/>
  <c r="B61" i="30"/>
  <c r="B62" i="30"/>
  <c r="D62" i="30" s="1"/>
  <c r="B63" i="30"/>
  <c r="B64" i="30"/>
  <c r="B65" i="30"/>
  <c r="B66" i="30"/>
  <c r="B67" i="30"/>
  <c r="B68" i="30"/>
  <c r="B69" i="30"/>
  <c r="C38" i="30"/>
  <c r="B38" i="30"/>
  <c r="C37" i="30"/>
  <c r="B37" i="30"/>
  <c r="C36" i="30"/>
  <c r="B36" i="30"/>
  <c r="C35" i="30"/>
  <c r="B35" i="30"/>
  <c r="C34" i="30"/>
  <c r="D34" i="30" s="1"/>
  <c r="B34" i="30"/>
  <c r="C33" i="30"/>
  <c r="B33" i="30"/>
  <c r="C32" i="30"/>
  <c r="B32" i="30"/>
  <c r="C31" i="30"/>
  <c r="D31" i="30" s="1"/>
  <c r="B31" i="30"/>
  <c r="C30" i="30"/>
  <c r="B30" i="30"/>
  <c r="C29" i="30"/>
  <c r="B29" i="30"/>
  <c r="C28" i="30"/>
  <c r="B28" i="30"/>
  <c r="C27" i="30"/>
  <c r="B27" i="30"/>
  <c r="C26" i="30"/>
  <c r="B26" i="30"/>
  <c r="C25" i="30"/>
  <c r="B25" i="30"/>
  <c r="C24" i="30"/>
  <c r="B24" i="30"/>
  <c r="C23" i="30"/>
  <c r="D23" i="30" s="1"/>
  <c r="B23" i="30"/>
  <c r="C22" i="30"/>
  <c r="D22" i="30" s="1"/>
  <c r="B22" i="30"/>
  <c r="C21" i="30"/>
  <c r="B21" i="30"/>
  <c r="C20" i="30"/>
  <c r="B20" i="30"/>
  <c r="C19" i="30"/>
  <c r="D19" i="30" s="1"/>
  <c r="B19" i="30"/>
  <c r="C18" i="30"/>
  <c r="D18" i="30" s="1"/>
  <c r="B18" i="30"/>
  <c r="C17" i="30"/>
  <c r="B17" i="30"/>
  <c r="C16" i="30"/>
  <c r="B16" i="30"/>
  <c r="C15" i="30"/>
  <c r="B15" i="30"/>
  <c r="C14" i="30"/>
  <c r="D14" i="30" s="1"/>
  <c r="B14" i="30"/>
  <c r="C13" i="30"/>
  <c r="B13" i="30"/>
  <c r="C12" i="30"/>
  <c r="B12" i="30"/>
  <c r="C11" i="30"/>
  <c r="B11" i="30"/>
  <c r="C10" i="30"/>
  <c r="D10" i="30" s="1"/>
  <c r="B10" i="30"/>
  <c r="C9" i="30"/>
  <c r="B9" i="30"/>
  <c r="C8" i="30"/>
  <c r="B8" i="30"/>
  <c r="C7" i="30"/>
  <c r="D7" i="30" s="1"/>
  <c r="B7" i="30"/>
  <c r="C6" i="30"/>
  <c r="B6" i="30"/>
  <c r="C5" i="30"/>
  <c r="B5" i="30"/>
  <c r="C4" i="30"/>
  <c r="B4" i="30"/>
  <c r="C3" i="30"/>
  <c r="D3" i="30" s="1"/>
  <c r="E22" i="28"/>
  <c r="E30" i="28"/>
  <c r="E38" i="28"/>
  <c r="E15" i="29"/>
  <c r="E24" i="29"/>
  <c r="E31" i="29"/>
  <c r="E32" i="29"/>
  <c r="E36" i="29"/>
  <c r="E40" i="29"/>
  <c r="E47" i="29"/>
  <c r="E48" i="29"/>
  <c r="E55" i="29"/>
  <c r="E56" i="29"/>
  <c r="E71" i="29"/>
  <c r="E72" i="29"/>
  <c r="E79" i="29"/>
  <c r="D15" i="29"/>
  <c r="D16" i="29"/>
  <c r="E16" i="29" s="1"/>
  <c r="D17" i="29"/>
  <c r="E17" i="29" s="1"/>
  <c r="D18" i="29"/>
  <c r="E18" i="29" s="1"/>
  <c r="D19" i="29"/>
  <c r="E19" i="29" s="1"/>
  <c r="D20" i="29"/>
  <c r="E20" i="29" s="1"/>
  <c r="D21" i="29"/>
  <c r="E21" i="29" s="1"/>
  <c r="D22" i="29"/>
  <c r="E22" i="29" s="1"/>
  <c r="D23" i="29"/>
  <c r="E23" i="29" s="1"/>
  <c r="D24" i="29"/>
  <c r="D25" i="29"/>
  <c r="E25" i="29" s="1"/>
  <c r="D26" i="29"/>
  <c r="E26" i="29" s="1"/>
  <c r="D27" i="29"/>
  <c r="E27" i="29" s="1"/>
  <c r="D28" i="29"/>
  <c r="E28" i="29" s="1"/>
  <c r="D29" i="29"/>
  <c r="E29" i="29" s="1"/>
  <c r="D30" i="29"/>
  <c r="E30" i="29" s="1"/>
  <c r="D31" i="29"/>
  <c r="D32" i="29"/>
  <c r="D33" i="29"/>
  <c r="E33" i="29" s="1"/>
  <c r="D34" i="29"/>
  <c r="E34" i="29" s="1"/>
  <c r="D35" i="29"/>
  <c r="E35" i="29" s="1"/>
  <c r="D36" i="29"/>
  <c r="D37" i="29"/>
  <c r="E37" i="29" s="1"/>
  <c r="D38" i="29"/>
  <c r="E38" i="29" s="1"/>
  <c r="D39" i="29"/>
  <c r="E39" i="29" s="1"/>
  <c r="D40" i="29"/>
  <c r="D41" i="29"/>
  <c r="E41" i="29" s="1"/>
  <c r="D42" i="29"/>
  <c r="E42" i="29" s="1"/>
  <c r="D43" i="29"/>
  <c r="E43" i="29" s="1"/>
  <c r="D44" i="29"/>
  <c r="E44" i="29" s="1"/>
  <c r="D45" i="29"/>
  <c r="E45" i="29" s="1"/>
  <c r="D46" i="29"/>
  <c r="E46" i="29" s="1"/>
  <c r="D47" i="29"/>
  <c r="D48" i="29"/>
  <c r="D49" i="29"/>
  <c r="E49" i="29" s="1"/>
  <c r="D50" i="29"/>
  <c r="E50" i="29" s="1"/>
  <c r="D51" i="29"/>
  <c r="E51" i="29" s="1"/>
  <c r="D52" i="29"/>
  <c r="E52" i="29" s="1"/>
  <c r="D53" i="29"/>
  <c r="E53" i="29" s="1"/>
  <c r="D54" i="29"/>
  <c r="E54" i="29" s="1"/>
  <c r="D55" i="29"/>
  <c r="D56" i="29"/>
  <c r="D57" i="29"/>
  <c r="E57" i="29" s="1"/>
  <c r="D58" i="29"/>
  <c r="E58" i="29" s="1"/>
  <c r="D59" i="29"/>
  <c r="E59" i="29" s="1"/>
  <c r="D60" i="29"/>
  <c r="E60" i="29" s="1"/>
  <c r="D61" i="29"/>
  <c r="E61" i="29" s="1"/>
  <c r="D62" i="29"/>
  <c r="E62" i="29" s="1"/>
  <c r="D63" i="29"/>
  <c r="E63" i="29" s="1"/>
  <c r="D64" i="29"/>
  <c r="E64" i="29" s="1"/>
  <c r="D65" i="29"/>
  <c r="E65" i="29" s="1"/>
  <c r="D66" i="29"/>
  <c r="E66" i="29" s="1"/>
  <c r="D67" i="29"/>
  <c r="E67" i="29" s="1"/>
  <c r="D68" i="29"/>
  <c r="E68" i="29" s="1"/>
  <c r="D69" i="29"/>
  <c r="E69" i="29" s="1"/>
  <c r="D70" i="29"/>
  <c r="E70" i="29" s="1"/>
  <c r="D71" i="29"/>
  <c r="D72" i="29"/>
  <c r="D73" i="29"/>
  <c r="E73" i="29" s="1"/>
  <c r="D74" i="29"/>
  <c r="E74" i="29" s="1"/>
  <c r="D75" i="29"/>
  <c r="E75" i="29" s="1"/>
  <c r="D76" i="29"/>
  <c r="E76" i="29" s="1"/>
  <c r="D77" i="29"/>
  <c r="E77" i="29" s="1"/>
  <c r="D78" i="29"/>
  <c r="E78" i="29" s="1"/>
  <c r="D79" i="29"/>
  <c r="D14" i="29"/>
  <c r="E14" i="29" s="1"/>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D15" i="28"/>
  <c r="E15" i="28" s="1"/>
  <c r="D16" i="28"/>
  <c r="E16" i="28" s="1"/>
  <c r="D17" i="28"/>
  <c r="E17" i="28" s="1"/>
  <c r="D18" i="28"/>
  <c r="E18" i="28" s="1"/>
  <c r="D19" i="28"/>
  <c r="E19" i="28" s="1"/>
  <c r="D20" i="28"/>
  <c r="E20" i="28" s="1"/>
  <c r="D21" i="28"/>
  <c r="E21" i="28" s="1"/>
  <c r="D22" i="28"/>
  <c r="D23" i="28"/>
  <c r="E23" i="28" s="1"/>
  <c r="D24" i="28"/>
  <c r="E24" i="28" s="1"/>
  <c r="D25" i="28"/>
  <c r="E25" i="28" s="1"/>
  <c r="D26" i="28"/>
  <c r="E26" i="28" s="1"/>
  <c r="D27" i="28"/>
  <c r="E27" i="28" s="1"/>
  <c r="D28" i="28"/>
  <c r="E28" i="28" s="1"/>
  <c r="D29" i="28"/>
  <c r="E29" i="28" s="1"/>
  <c r="D30" i="28"/>
  <c r="D31" i="28"/>
  <c r="E31" i="28" s="1"/>
  <c r="D32" i="28"/>
  <c r="E32" i="28" s="1"/>
  <c r="D33" i="28"/>
  <c r="E33" i="28" s="1"/>
  <c r="D34" i="28"/>
  <c r="E34" i="28" s="1"/>
  <c r="D35" i="28"/>
  <c r="E35" i="28" s="1"/>
  <c r="D36" i="28"/>
  <c r="E36" i="28" s="1"/>
  <c r="D37" i="28"/>
  <c r="E37" i="28" s="1"/>
  <c r="D38" i="28"/>
  <c r="D39" i="28"/>
  <c r="E39" i="28" s="1"/>
  <c r="D40" i="28"/>
  <c r="E40" i="28" s="1"/>
  <c r="D41" i="28"/>
  <c r="E41" i="28" s="1"/>
  <c r="D42" i="28"/>
  <c r="E42" i="28" s="1"/>
  <c r="D43" i="28"/>
  <c r="E43" i="28" s="1"/>
  <c r="D14" i="28"/>
  <c r="E14" i="28" s="1"/>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15" i="28"/>
  <c r="D32" i="30" l="1"/>
  <c r="D37" i="30"/>
  <c r="D36" i="30"/>
  <c r="D33" i="30"/>
  <c r="D5" i="30"/>
  <c r="D27" i="30"/>
  <c r="D4" i="30"/>
  <c r="D71" i="30" s="1"/>
  <c r="D8" i="30"/>
  <c r="D12" i="30"/>
  <c r="D16" i="30"/>
  <c r="D20" i="30"/>
  <c r="D35" i="30"/>
  <c r="D25" i="30"/>
  <c r="D15" i="30"/>
  <c r="D9" i="30"/>
  <c r="D13" i="30"/>
  <c r="D24" i="30"/>
  <c r="D28" i="30"/>
  <c r="D6" i="30"/>
  <c r="D17" i="30"/>
  <c r="D21" i="30"/>
  <c r="D29" i="30"/>
  <c r="D11" i="30"/>
  <c r="D26" i="30"/>
  <c r="D30" i="30"/>
  <c r="D38" i="30"/>
  <c r="C81" i="29"/>
  <c r="D81" i="29"/>
  <c r="E45" i="28"/>
  <c r="B9" i="28" s="1"/>
  <c r="D45" i="28"/>
  <c r="D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50" i="28"/>
  <c r="D51" i="28"/>
  <c r="D52" i="28"/>
  <c r="D53" i="28"/>
  <c r="D54" i="28"/>
  <c r="D55" i="28"/>
  <c r="D56" i="28"/>
  <c r="D57" i="28"/>
  <c r="D58" i="28"/>
  <c r="D59" i="28"/>
  <c r="D60" i="28"/>
  <c r="D61" i="28"/>
  <c r="D62" i="28"/>
  <c r="D63" i="28"/>
  <c r="D64" i="28"/>
  <c r="D65" i="28"/>
  <c r="E65" i="28" s="1"/>
  <c r="D66" i="28"/>
  <c r="D67" i="28"/>
  <c r="D68" i="28"/>
  <c r="D69" i="28"/>
  <c r="D70" i="28"/>
  <c r="D71" i="28"/>
  <c r="D72" i="28"/>
  <c r="D73" i="28"/>
  <c r="E73" i="28" s="1"/>
  <c r="D74" i="28"/>
  <c r="D75" i="28"/>
  <c r="D76" i="28"/>
  <c r="D77" i="28"/>
  <c r="D78" i="28"/>
  <c r="D79" i="28"/>
  <c r="D80" i="28"/>
  <c r="D81" i="28"/>
  <c r="E81" i="28" s="1"/>
  <c r="D82" i="28"/>
  <c r="D83" i="28"/>
  <c r="D84" i="28"/>
  <c r="D49" i="28"/>
  <c r="B263" i="5" l="1"/>
  <c r="E77" i="28"/>
  <c r="E69" i="28"/>
  <c r="E61" i="28"/>
  <c r="E53" i="28"/>
  <c r="E81" i="29"/>
  <c r="E56" i="28"/>
  <c r="E83" i="28"/>
  <c r="E75" i="28"/>
  <c r="E67" i="28"/>
  <c r="E59" i="28"/>
  <c r="E72" i="28"/>
  <c r="E64" i="28"/>
  <c r="E79" i="28"/>
  <c r="E71" i="28"/>
  <c r="E63" i="28"/>
  <c r="E55" i="28"/>
  <c r="E82" i="28"/>
  <c r="E74" i="28"/>
  <c r="E66" i="28"/>
  <c r="E58" i="28"/>
  <c r="E50" i="28"/>
  <c r="E80" i="28"/>
  <c r="E78" i="28"/>
  <c r="E70" i="28"/>
  <c r="E62" i="28"/>
  <c r="E54" i="28"/>
  <c r="D86" i="28"/>
  <c r="E76" i="28"/>
  <c r="E68" i="28"/>
  <c r="E60" i="28"/>
  <c r="E52" i="28"/>
  <c r="E84" i="28"/>
  <c r="E57" i="28"/>
  <c r="C86" i="28"/>
  <c r="E51" i="28"/>
  <c r="E49" i="28"/>
  <c r="B19" i="17"/>
  <c r="B21" i="17"/>
  <c r="E86" i="28" l="1"/>
  <c r="B8" i="28" s="1"/>
  <c r="B10" i="28" s="1"/>
  <c r="B266" i="5" s="1"/>
  <c r="B9" i="29"/>
  <c r="B10" i="29" s="1"/>
  <c r="B265" i="5" s="1"/>
  <c r="X413" i="27"/>
  <c r="X396" i="27"/>
  <c r="X383" i="27"/>
  <c r="X370" i="27"/>
  <c r="X357" i="27"/>
  <c r="X340" i="27"/>
  <c r="X327" i="27"/>
  <c r="X314" i="27"/>
  <c r="X301" i="27"/>
  <c r="X284" i="27"/>
  <c r="X271" i="27"/>
  <c r="X258" i="27"/>
  <c r="X245" i="27"/>
  <c r="X228" i="27"/>
  <c r="X215" i="27"/>
  <c r="X202" i="27"/>
  <c r="X189" i="27"/>
  <c r="X172" i="27"/>
  <c r="X159" i="27"/>
  <c r="X146" i="27"/>
  <c r="X133" i="27"/>
  <c r="X116" i="27"/>
  <c r="X103" i="27"/>
  <c r="X89" i="27"/>
  <c r="X76" i="27"/>
  <c r="X59" i="27"/>
  <c r="X46" i="27"/>
  <c r="X33" i="27"/>
  <c r="X20" i="27"/>
  <c r="X176" i="27"/>
  <c r="X120" i="27"/>
  <c r="X63" i="27"/>
  <c r="X7" i="27"/>
  <c r="X3" i="27"/>
  <c r="AA745" i="27" l="1"/>
  <c r="AA746" i="27"/>
  <c r="AA748" i="27"/>
  <c r="AA749" i="27"/>
  <c r="AA751" i="27"/>
  <c r="AA752" i="27"/>
  <c r="AA754" i="27"/>
  <c r="AA755" i="27"/>
  <c r="AA756" i="27"/>
  <c r="AA758" i="27"/>
  <c r="AA759" i="27"/>
  <c r="AA761" i="27"/>
  <c r="AA762" i="27"/>
  <c r="AA764" i="27"/>
  <c r="AA765" i="27"/>
  <c r="AA767" i="27"/>
  <c r="AA768" i="27"/>
  <c r="AA769" i="27"/>
  <c r="AA771" i="27"/>
  <c r="AA772" i="27"/>
  <c r="AA774" i="27"/>
  <c r="AA775" i="27"/>
  <c r="AA777" i="27"/>
  <c r="AA778" i="27"/>
  <c r="AA780" i="27"/>
  <c r="AA781" i="27"/>
  <c r="AA782" i="27"/>
  <c r="AA784" i="27"/>
  <c r="AA785" i="27"/>
  <c r="AA787" i="27"/>
  <c r="AA788" i="27"/>
  <c r="AA790" i="27"/>
  <c r="AA791" i="27"/>
  <c r="AA793" i="27"/>
  <c r="AA794" i="27"/>
  <c r="AA795" i="27"/>
  <c r="AA797" i="27"/>
  <c r="AA798" i="27"/>
  <c r="AA799" i="27"/>
  <c r="AA801" i="27"/>
  <c r="AA802" i="27"/>
  <c r="AA804" i="27"/>
  <c r="AA805" i="27"/>
  <c r="AA807" i="27"/>
  <c r="AA808" i="27"/>
  <c r="AA810" i="27"/>
  <c r="AA811" i="27"/>
  <c r="AA812" i="27"/>
  <c r="AA814" i="27"/>
  <c r="AA815" i="27"/>
  <c r="AA817" i="27"/>
  <c r="AA818" i="27"/>
  <c r="AA820" i="27"/>
  <c r="AA821" i="27"/>
  <c r="AA823" i="27"/>
  <c r="AA824" i="27"/>
  <c r="AA825" i="27"/>
  <c r="AA827" i="27"/>
  <c r="AA828" i="27"/>
  <c r="AA830" i="27"/>
  <c r="AA831" i="27"/>
  <c r="AA833" i="27"/>
  <c r="AA834" i="27"/>
  <c r="AA836" i="27"/>
  <c r="AA837" i="27"/>
  <c r="AA838" i="27"/>
  <c r="AA840" i="27"/>
  <c r="AA841" i="27"/>
  <c r="AA843" i="27"/>
  <c r="AA844" i="27"/>
  <c r="AA846" i="27"/>
  <c r="AA847" i="27"/>
  <c r="AA849" i="27"/>
  <c r="AA850" i="27"/>
  <c r="AA851" i="27"/>
  <c r="AA853" i="27"/>
  <c r="AA854" i="27"/>
  <c r="AA855" i="27"/>
  <c r="AA857" i="27"/>
  <c r="AA858" i="27"/>
  <c r="AA860" i="27"/>
  <c r="AA861" i="27"/>
  <c r="AA863" i="27"/>
  <c r="AA864" i="27"/>
  <c r="AA866" i="27"/>
  <c r="AA867" i="27"/>
  <c r="AA868" i="27"/>
  <c r="AA870" i="27"/>
  <c r="AA871" i="27"/>
  <c r="AA873" i="27"/>
  <c r="AA874" i="27"/>
  <c r="AA876" i="27"/>
  <c r="AA877" i="27"/>
  <c r="AA879" i="27"/>
  <c r="AA880" i="27"/>
  <c r="AA881" i="27"/>
  <c r="AA883" i="27"/>
  <c r="AA884" i="27"/>
  <c r="AA886" i="27"/>
  <c r="AA887" i="27"/>
  <c r="AA889" i="27"/>
  <c r="AA890" i="27"/>
  <c r="AA892" i="27"/>
  <c r="AA893" i="27"/>
  <c r="AA894" i="27"/>
  <c r="AA896" i="27"/>
  <c r="AA897" i="27"/>
  <c r="AA899" i="27"/>
  <c r="AA900" i="27"/>
  <c r="AA902" i="27"/>
  <c r="AA903" i="27"/>
  <c r="AA905" i="27"/>
  <c r="AA906" i="27"/>
  <c r="AA907" i="27"/>
  <c r="AA910" i="27"/>
  <c r="AA911" i="27"/>
  <c r="AA912" i="27"/>
  <c r="AA914" i="27"/>
  <c r="AA915" i="27"/>
  <c r="AA916" i="27"/>
  <c r="AA918" i="27"/>
  <c r="AA919" i="27"/>
  <c r="AA921" i="27"/>
  <c r="AA922" i="27"/>
  <c r="AA924" i="27"/>
  <c r="AA925" i="27"/>
  <c r="AA927" i="27"/>
  <c r="AA928" i="27"/>
  <c r="AA929" i="27"/>
  <c r="AA931" i="27"/>
  <c r="AA932" i="27"/>
  <c r="AA934" i="27"/>
  <c r="AA935" i="27"/>
  <c r="AA937" i="27"/>
  <c r="AA938" i="27"/>
  <c r="AA940" i="27"/>
  <c r="AA941" i="27"/>
  <c r="AA942" i="27"/>
  <c r="AA944" i="27"/>
  <c r="AA945" i="27"/>
  <c r="AA947" i="27"/>
  <c r="AA948" i="27"/>
  <c r="AA950" i="27"/>
  <c r="AA951" i="27"/>
  <c r="AA953" i="27"/>
  <c r="AA954" i="27"/>
  <c r="AA955" i="27"/>
  <c r="AA957" i="27"/>
  <c r="AA958" i="27"/>
  <c r="AA960" i="27"/>
  <c r="AA961" i="27"/>
  <c r="AA963" i="27"/>
  <c r="AA964" i="27"/>
  <c r="AA966" i="27"/>
  <c r="AA967" i="27"/>
  <c r="AA968" i="27"/>
  <c r="AA970" i="27"/>
  <c r="AA971" i="27"/>
  <c r="AA972" i="27"/>
  <c r="AA974" i="27"/>
  <c r="AA975" i="27"/>
  <c r="AA977" i="27"/>
  <c r="AA978" i="27"/>
  <c r="AA980" i="27"/>
  <c r="AA981" i="27"/>
  <c r="AA983" i="27"/>
  <c r="AA984" i="27"/>
  <c r="AA985" i="27"/>
  <c r="AA987" i="27"/>
  <c r="AA988" i="27"/>
  <c r="AA990" i="27"/>
  <c r="AA991" i="27"/>
  <c r="AA993" i="27"/>
  <c r="AA994" i="27"/>
  <c r="AA996" i="27"/>
  <c r="AA997" i="27"/>
  <c r="AA998" i="27"/>
  <c r="AA1000" i="27"/>
  <c r="AA1001" i="27"/>
  <c r="AA1003" i="27"/>
  <c r="AA1004" i="27"/>
  <c r="AA1006" i="27"/>
  <c r="AA1007" i="27"/>
  <c r="AA1009" i="27"/>
  <c r="AA1010" i="27"/>
  <c r="AA1011" i="27"/>
  <c r="AA1013" i="27"/>
  <c r="AA1014" i="27"/>
  <c r="AA1016" i="27"/>
  <c r="AA1017" i="27"/>
  <c r="AA1019" i="27"/>
  <c r="AA1020" i="27"/>
  <c r="AA1022" i="27"/>
  <c r="AA1023" i="27"/>
  <c r="AA1024" i="27"/>
  <c r="AA1026" i="27"/>
  <c r="AA1027" i="27"/>
  <c r="AA1028" i="27"/>
  <c r="AA1030" i="27"/>
  <c r="AA1031" i="27"/>
  <c r="AA1033" i="27"/>
  <c r="AA1034" i="27"/>
  <c r="AA1036" i="27"/>
  <c r="AA1037" i="27"/>
  <c r="AA1039" i="27"/>
  <c r="AA1040" i="27"/>
  <c r="AA1041" i="27"/>
  <c r="AA1043" i="27"/>
  <c r="AA1044" i="27"/>
  <c r="AA1046" i="27"/>
  <c r="AA1047" i="27"/>
  <c r="AA1049" i="27"/>
  <c r="AA1050" i="27"/>
  <c r="AA1052" i="27"/>
  <c r="AA1053" i="27"/>
  <c r="AA1054" i="27"/>
  <c r="AA1056" i="27"/>
  <c r="AA1057" i="27"/>
  <c r="AA1059" i="27"/>
  <c r="AA1060" i="27"/>
  <c r="AA1062" i="27"/>
  <c r="AA1063" i="27"/>
  <c r="AA1065" i="27"/>
  <c r="AA1066" i="27"/>
  <c r="AA1067" i="27"/>
  <c r="AA1069" i="27"/>
  <c r="AA1070" i="27"/>
  <c r="AA1072" i="27"/>
  <c r="AA1073" i="27"/>
  <c r="AA1075" i="27"/>
  <c r="AA1076" i="27"/>
  <c r="AA1078" i="27"/>
  <c r="AA1079" i="27"/>
  <c r="AA1080" i="27"/>
  <c r="AA1082" i="27"/>
  <c r="AA1083" i="27"/>
  <c r="AA1084" i="27"/>
  <c r="AA1086" i="27"/>
  <c r="AA1087" i="27"/>
  <c r="AA1089" i="27"/>
  <c r="AA1090" i="27"/>
  <c r="AA1092" i="27"/>
  <c r="AA1093" i="27"/>
  <c r="AA1095" i="27"/>
  <c r="AA1096" i="27"/>
  <c r="AA1097" i="27"/>
  <c r="AA1099" i="27"/>
  <c r="AA1100" i="27"/>
  <c r="AA1102" i="27"/>
  <c r="AA1103" i="27"/>
  <c r="AA1105" i="27"/>
  <c r="AA1106" i="27"/>
  <c r="AA1108" i="27"/>
  <c r="AA1109" i="27"/>
  <c r="AA1110" i="27"/>
  <c r="AA1112" i="27"/>
  <c r="AA1113" i="27"/>
  <c r="AA1115" i="27"/>
  <c r="AA1116" i="27"/>
  <c r="AA1118" i="27"/>
  <c r="AA1119" i="27"/>
  <c r="AA1121" i="27"/>
  <c r="AA1122" i="27"/>
  <c r="AA1123" i="27"/>
  <c r="AA1125" i="27"/>
  <c r="AA1126" i="27"/>
  <c r="AA1128" i="27"/>
  <c r="AA1129" i="27"/>
  <c r="AA1131" i="27"/>
  <c r="AA1132" i="27"/>
  <c r="AA1134" i="27"/>
  <c r="AA1135" i="27"/>
  <c r="AA1136" i="27"/>
  <c r="AA1138" i="27"/>
  <c r="AA1139" i="27"/>
  <c r="AA1140" i="27"/>
  <c r="AA1142" i="27"/>
  <c r="AA1143" i="27"/>
  <c r="AA1145" i="27"/>
  <c r="AA1146" i="27"/>
  <c r="AA1148" i="27"/>
  <c r="AA1149" i="27"/>
  <c r="AA1151" i="27"/>
  <c r="AA1152" i="27"/>
  <c r="AA1153" i="27"/>
  <c r="AA1155" i="27"/>
  <c r="AA1156" i="27"/>
  <c r="AA1158" i="27"/>
  <c r="AA1159" i="27"/>
  <c r="AA1161" i="27"/>
  <c r="AA1162" i="27"/>
  <c r="AA1164" i="27"/>
  <c r="AA1165" i="27"/>
  <c r="AA1166" i="27"/>
  <c r="AA1168" i="27"/>
  <c r="AA1169" i="27"/>
  <c r="AA1171" i="27"/>
  <c r="AA1172" i="27"/>
  <c r="AA1174" i="27"/>
  <c r="AA1175" i="27"/>
  <c r="AA1177" i="27"/>
  <c r="AA1178" i="27"/>
  <c r="AA1179" i="27"/>
  <c r="AA1181" i="27"/>
  <c r="AA1182" i="27"/>
  <c r="AA1184" i="27"/>
  <c r="AA1185" i="27"/>
  <c r="AA1187" i="27"/>
  <c r="AA1188" i="27"/>
  <c r="AA1190" i="27"/>
  <c r="AA1191" i="27"/>
  <c r="AA1192" i="27"/>
  <c r="AA1194" i="27"/>
  <c r="AA1195" i="27"/>
  <c r="AA1196" i="27"/>
  <c r="AA1198" i="27"/>
  <c r="AA1199" i="27"/>
  <c r="AA1201" i="27"/>
  <c r="AA1202" i="27"/>
  <c r="AA1204" i="27"/>
  <c r="AA1205" i="27"/>
  <c r="AA1207" i="27"/>
  <c r="AA1208" i="27"/>
  <c r="AA1209" i="27"/>
  <c r="AA1211" i="27"/>
  <c r="AA1212" i="27"/>
  <c r="AA1214" i="27"/>
  <c r="AA1215" i="27"/>
  <c r="AA1217" i="27"/>
  <c r="AA1218" i="27"/>
  <c r="AA1220" i="27"/>
  <c r="AA1221" i="27"/>
  <c r="AA1222" i="27"/>
  <c r="AA1224" i="27"/>
  <c r="AA1225" i="27"/>
  <c r="AA1227" i="27"/>
  <c r="AA1228" i="27"/>
  <c r="AA1230" i="27"/>
  <c r="AA1231" i="27"/>
  <c r="AA1233" i="27"/>
  <c r="AA1234" i="27"/>
  <c r="AA1235" i="27"/>
  <c r="AA1237" i="27"/>
  <c r="AA1238" i="27"/>
  <c r="AA1240" i="27"/>
  <c r="AA1241" i="27"/>
  <c r="AA1243" i="27"/>
  <c r="AA1244" i="27"/>
  <c r="AA1246" i="27"/>
  <c r="AA1247" i="27"/>
  <c r="AA1248" i="27"/>
  <c r="AA1250" i="27"/>
  <c r="AA1251" i="27"/>
  <c r="AA1252" i="27"/>
  <c r="AA1254" i="27"/>
  <c r="AA1255" i="27"/>
  <c r="AA1257" i="27"/>
  <c r="AA1258" i="27"/>
  <c r="AA1260" i="27"/>
  <c r="AA1261" i="27"/>
  <c r="AA1263" i="27"/>
  <c r="AA1264" i="27"/>
  <c r="AA1265" i="27"/>
  <c r="AA1267" i="27"/>
  <c r="AA1268" i="27"/>
  <c r="AA1270" i="27"/>
  <c r="AA1271" i="27"/>
  <c r="AA1273" i="27"/>
  <c r="AA1274" i="27"/>
  <c r="AA1276" i="27"/>
  <c r="AA1277" i="27"/>
  <c r="AA1278" i="27"/>
  <c r="AA1280" i="27"/>
  <c r="AA1281" i="27"/>
  <c r="AA1283" i="27"/>
  <c r="AA1284" i="27"/>
  <c r="AA1286" i="27"/>
  <c r="AA1287" i="27"/>
  <c r="AA1289" i="27"/>
  <c r="AA1290" i="27"/>
  <c r="AA1291" i="27"/>
  <c r="AA1293" i="27"/>
  <c r="AA1294" i="27"/>
  <c r="AA1296" i="27"/>
  <c r="AA1297" i="27"/>
  <c r="AA1299" i="27"/>
  <c r="AA1300" i="27"/>
  <c r="AA1302" i="27"/>
  <c r="AA1303" i="27"/>
  <c r="AA1304" i="27"/>
  <c r="AA1306" i="27"/>
  <c r="AA1307" i="27"/>
  <c r="AA1308" i="27"/>
  <c r="AA1310" i="27"/>
  <c r="AA1311" i="27"/>
  <c r="AA1313" i="27"/>
  <c r="AA1314" i="27"/>
  <c r="AA1316" i="27"/>
  <c r="AA1317" i="27"/>
  <c r="AA1319" i="27"/>
  <c r="AA1320" i="27"/>
  <c r="AA1321" i="27"/>
  <c r="AA1323" i="27"/>
  <c r="AA1324" i="27"/>
  <c r="AA1326" i="27"/>
  <c r="AA1327" i="27"/>
  <c r="AA1329" i="27"/>
  <c r="AA1330" i="27"/>
  <c r="AA1332" i="27"/>
  <c r="AA1333" i="27"/>
  <c r="AA1334" i="27"/>
  <c r="AA1336" i="27"/>
  <c r="AA1337" i="27"/>
  <c r="AA1339" i="27"/>
  <c r="AA1340" i="27"/>
  <c r="AA1342" i="27"/>
  <c r="AA1343" i="27"/>
  <c r="AA1345" i="27"/>
  <c r="AA1346" i="27"/>
  <c r="AA1347" i="27"/>
  <c r="AA1349" i="27"/>
  <c r="AA1350" i="27"/>
  <c r="AA1352" i="27"/>
  <c r="AA1353" i="27"/>
  <c r="AA1355" i="27"/>
  <c r="AA1356" i="27"/>
  <c r="AA1358" i="27"/>
  <c r="AA1359" i="27"/>
  <c r="AA1360" i="27"/>
  <c r="AA1362" i="27"/>
  <c r="AA1363" i="27"/>
  <c r="AA1364" i="27"/>
  <c r="AA1366" i="27"/>
  <c r="AA1367" i="27"/>
  <c r="AA1368" i="27"/>
  <c r="AA1370" i="27"/>
  <c r="AA1371" i="27"/>
  <c r="AA1373" i="27"/>
  <c r="AA1374" i="27"/>
  <c r="AA1376" i="27"/>
  <c r="AA1377" i="27"/>
  <c r="AA1379" i="27"/>
  <c r="AA1380" i="27"/>
  <c r="AA1381" i="27"/>
  <c r="AA1383" i="27"/>
  <c r="AA1384" i="27"/>
  <c r="AA1386" i="27"/>
  <c r="AA1387" i="27"/>
  <c r="AA1389" i="27"/>
  <c r="AA1390" i="27"/>
  <c r="AA1392" i="27"/>
  <c r="AA1393" i="27"/>
  <c r="AA1394" i="27"/>
  <c r="AA1396" i="27"/>
  <c r="AA1397" i="27"/>
  <c r="AA1399" i="27"/>
  <c r="AA1400" i="27"/>
  <c r="AA1402" i="27"/>
  <c r="AA1403" i="27"/>
  <c r="AA1405" i="27"/>
  <c r="AA1406" i="27"/>
  <c r="AA1407" i="27"/>
  <c r="AA1409" i="27"/>
  <c r="AA1410" i="27"/>
  <c r="AA1412" i="27"/>
  <c r="AA1413" i="27"/>
  <c r="AA1415" i="27"/>
  <c r="AA1416" i="27"/>
  <c r="AA1418" i="27"/>
  <c r="AA1419" i="27"/>
  <c r="AA1420" i="27"/>
  <c r="AA1422" i="27"/>
  <c r="AA1423" i="27"/>
  <c r="AA1424" i="27"/>
  <c r="AA1426" i="27"/>
  <c r="AA1427" i="27"/>
  <c r="AA1429" i="27"/>
  <c r="AA1430" i="27"/>
  <c r="AA1432" i="27"/>
  <c r="AA1433" i="27"/>
  <c r="AA1435" i="27"/>
  <c r="AA1436" i="27"/>
  <c r="AA1437" i="27"/>
  <c r="AA1439" i="27"/>
  <c r="AA1440" i="27"/>
  <c r="AA1442" i="27"/>
  <c r="AA1443" i="27"/>
  <c r="AA1445" i="27"/>
  <c r="AA1446" i="27"/>
  <c r="AA1448" i="27"/>
  <c r="AA1449" i="27"/>
  <c r="AA1450" i="27"/>
  <c r="AA1452" i="27"/>
  <c r="AA1453" i="27"/>
  <c r="AA1455" i="27"/>
  <c r="AA1456" i="27"/>
  <c r="AA1458" i="27"/>
  <c r="AA1459" i="27"/>
  <c r="AA1461" i="27"/>
  <c r="AA1462" i="27"/>
  <c r="AA1463" i="27"/>
  <c r="AA1465" i="27"/>
  <c r="AA1466" i="27"/>
  <c r="AA1468" i="27"/>
  <c r="AA1469" i="27"/>
  <c r="AA1471" i="27"/>
  <c r="AA1472" i="27"/>
  <c r="AA1474" i="27"/>
  <c r="AA1475" i="27"/>
  <c r="AA1476" i="27"/>
  <c r="AA1478" i="27"/>
  <c r="AA1479" i="27"/>
  <c r="AA1480" i="27"/>
  <c r="AA1482" i="27"/>
  <c r="AA1483" i="27"/>
  <c r="AA1485" i="27"/>
  <c r="AA1486" i="27"/>
  <c r="AA1488" i="27"/>
  <c r="AA1489" i="27"/>
  <c r="AA1491" i="27"/>
  <c r="AA1492" i="27"/>
  <c r="AA1493" i="27"/>
  <c r="AA1495" i="27"/>
  <c r="AA1496" i="27"/>
  <c r="AA1498" i="27"/>
  <c r="AA1499" i="27"/>
  <c r="AA1501" i="27"/>
  <c r="AA1502" i="27"/>
  <c r="AA1504" i="27"/>
  <c r="AA1505" i="27"/>
  <c r="AA1506" i="27"/>
  <c r="AA1508" i="27"/>
  <c r="AA1509" i="27"/>
  <c r="AA1511" i="27"/>
  <c r="AA1512" i="27"/>
  <c r="AA1514" i="27"/>
  <c r="AA1515" i="27"/>
  <c r="AA1517" i="27"/>
  <c r="AA1518" i="27"/>
  <c r="AA1519" i="27"/>
  <c r="AA1521" i="27"/>
  <c r="AA1522" i="27"/>
  <c r="AA1524" i="27"/>
  <c r="AA1525" i="27"/>
  <c r="AA1527" i="27"/>
  <c r="AA1528" i="27"/>
  <c r="AA1530" i="27"/>
  <c r="AA1531" i="27"/>
  <c r="AA1532" i="27"/>
  <c r="AA1534" i="27"/>
  <c r="AA1535" i="27"/>
  <c r="AA1536" i="27"/>
  <c r="AA1538" i="27"/>
  <c r="AA1539" i="27"/>
  <c r="AA1541" i="27"/>
  <c r="AA1542" i="27"/>
  <c r="AA1544" i="27"/>
  <c r="AA1545" i="27"/>
  <c r="AA1547" i="27"/>
  <c r="AA1548" i="27"/>
  <c r="AA1549" i="27"/>
  <c r="AA1551" i="27"/>
  <c r="AA1552" i="27"/>
  <c r="AA1554" i="27"/>
  <c r="AA1555" i="27"/>
  <c r="AA1557" i="27"/>
  <c r="AA1558" i="27"/>
  <c r="AA1560" i="27"/>
  <c r="AA1561" i="27"/>
  <c r="AA1562" i="27"/>
  <c r="AA1564" i="27"/>
  <c r="AA1565" i="27"/>
  <c r="AA1567" i="27"/>
  <c r="AA1568" i="27"/>
  <c r="AA1570" i="27"/>
  <c r="AA1571" i="27"/>
  <c r="AA1573" i="27"/>
  <c r="AA1574" i="27"/>
  <c r="AA1575" i="27"/>
  <c r="AA1577" i="27"/>
  <c r="AA1578" i="27"/>
  <c r="AA1580" i="27"/>
  <c r="AA1581" i="27"/>
  <c r="AA1583" i="27"/>
  <c r="AA1584" i="27"/>
  <c r="AA1586" i="27"/>
  <c r="AA1587" i="27"/>
  <c r="AA1588" i="27"/>
  <c r="AA1590" i="27"/>
  <c r="AA1591" i="27"/>
  <c r="AA1592" i="27"/>
  <c r="AA1594" i="27"/>
  <c r="AA1595" i="27"/>
  <c r="AA1597" i="27"/>
  <c r="AA1598" i="27"/>
  <c r="AA1600" i="27"/>
  <c r="AA1601" i="27"/>
  <c r="AA1603" i="27"/>
  <c r="AA1604" i="27"/>
  <c r="AA1605" i="27"/>
  <c r="AA1607" i="27"/>
  <c r="AA1608" i="27"/>
  <c r="AA1610" i="27"/>
  <c r="AA1611" i="27"/>
  <c r="AA1613" i="27"/>
  <c r="AA1614" i="27"/>
  <c r="AA1616" i="27"/>
  <c r="AA1617" i="27"/>
  <c r="AA1618" i="27"/>
  <c r="AA1620" i="27"/>
  <c r="AA1621" i="27"/>
  <c r="AA1623" i="27"/>
  <c r="AA1624" i="27"/>
  <c r="AA1626" i="27"/>
  <c r="AA1627" i="27"/>
  <c r="AA1629" i="27"/>
  <c r="AA1630" i="27"/>
  <c r="AA1631" i="27"/>
  <c r="AA1633" i="27"/>
  <c r="AA1634" i="27"/>
  <c r="AA1636" i="27"/>
  <c r="AA1637" i="27"/>
  <c r="AA1639" i="27"/>
  <c r="AA1640" i="27"/>
  <c r="AA1642" i="27"/>
  <c r="AA1643" i="27"/>
  <c r="AA1644" i="27"/>
  <c r="AA1646" i="27"/>
  <c r="AA1647" i="27"/>
  <c r="AA1648" i="27"/>
  <c r="AA1650" i="27"/>
  <c r="AA1651" i="27"/>
  <c r="AA1653" i="27"/>
  <c r="AA1654" i="27"/>
  <c r="AA1656" i="27"/>
  <c r="AA1657" i="27"/>
  <c r="AA1659" i="27"/>
  <c r="AA1660" i="27"/>
  <c r="AA1661" i="27"/>
  <c r="AA1663" i="27"/>
  <c r="AA1664" i="27"/>
  <c r="AA1666" i="27"/>
  <c r="AA1667" i="27"/>
  <c r="AA1669" i="27"/>
  <c r="AA1670" i="27"/>
  <c r="AA1672" i="27"/>
  <c r="AA1673" i="27"/>
  <c r="AA1674" i="27"/>
  <c r="AA1676" i="27"/>
  <c r="AA1677" i="27"/>
  <c r="AA1679" i="27"/>
  <c r="AA1680" i="27"/>
  <c r="AA1682" i="27"/>
  <c r="AA1683" i="27"/>
  <c r="AA1685" i="27"/>
  <c r="AA1686" i="27"/>
  <c r="AA1687" i="27"/>
  <c r="AA1689" i="27"/>
  <c r="AA1690" i="27"/>
  <c r="AA1692" i="27"/>
  <c r="AA1693" i="27"/>
  <c r="AA1695" i="27"/>
  <c r="AA1696" i="27"/>
  <c r="AA1698" i="27"/>
  <c r="AA1699" i="27"/>
  <c r="AA1700" i="27"/>
  <c r="AA1702" i="27"/>
  <c r="AA1703" i="27"/>
  <c r="AA1704" i="27"/>
  <c r="AA1706" i="27"/>
  <c r="AA1707" i="27"/>
  <c r="AA1709" i="27"/>
  <c r="AA1710" i="27"/>
  <c r="AA1712" i="27"/>
  <c r="AA1713" i="27"/>
  <c r="AA1715" i="27"/>
  <c r="AA1716" i="27"/>
  <c r="AA1717" i="27"/>
  <c r="AA1719" i="27"/>
  <c r="AA1720" i="27"/>
  <c r="AA1722" i="27"/>
  <c r="AA1723" i="27"/>
  <c r="AA1725" i="27"/>
  <c r="AA1726" i="27"/>
  <c r="AA1728" i="27"/>
  <c r="AA1729" i="27"/>
  <c r="AA1730" i="27"/>
  <c r="AA1732" i="27"/>
  <c r="AA1733" i="27"/>
  <c r="AA1735" i="27"/>
  <c r="AA1736" i="27"/>
  <c r="AA1738" i="27"/>
  <c r="AA1739" i="27"/>
  <c r="AA1741" i="27"/>
  <c r="AA1742" i="27"/>
  <c r="AA1743" i="27"/>
  <c r="AA1745" i="27"/>
  <c r="AA1746" i="27"/>
  <c r="AA1748" i="27"/>
  <c r="AA1749" i="27"/>
  <c r="AA1751" i="27"/>
  <c r="AA1752" i="27"/>
  <c r="AA1754" i="27"/>
  <c r="AA1755" i="27"/>
  <c r="AA1756" i="27"/>
  <c r="AA1758" i="27"/>
  <c r="AA1759" i="27"/>
  <c r="AA1760" i="27"/>
  <c r="AA1762" i="27"/>
  <c r="AA1763" i="27"/>
  <c r="AA1765" i="27"/>
  <c r="AA1766" i="27"/>
  <c r="AA1768" i="27"/>
  <c r="AA1769" i="27"/>
  <c r="AA1771" i="27"/>
  <c r="AA1772" i="27"/>
  <c r="AA1773" i="27"/>
  <c r="AA1775" i="27"/>
  <c r="AA1776" i="27"/>
  <c r="AA1778" i="27"/>
  <c r="AA1779" i="27"/>
  <c r="AA1781" i="27"/>
  <c r="AA1782" i="27"/>
  <c r="AA1784" i="27"/>
  <c r="AA1785" i="27"/>
  <c r="AA1786" i="27"/>
  <c r="AA1788" i="27"/>
  <c r="AA1789" i="27"/>
  <c r="AA1791" i="27"/>
  <c r="AA1792" i="27"/>
  <c r="AA1794" i="27"/>
  <c r="AA1795" i="27"/>
  <c r="AA1797" i="27"/>
  <c r="AA1798" i="27"/>
  <c r="AA1799" i="27"/>
  <c r="AA1801" i="27"/>
  <c r="AA1802" i="27"/>
  <c r="AA1804" i="27"/>
  <c r="AA1805" i="27"/>
  <c r="AA1807" i="27"/>
  <c r="AA1808" i="27"/>
  <c r="Z911" i="27"/>
  <c r="Z912" i="27"/>
  <c r="Z914" i="27"/>
  <c r="Z915" i="27"/>
  <c r="Z916" i="27"/>
  <c r="Z918" i="27"/>
  <c r="Z919" i="27"/>
  <c r="Z921" i="27"/>
  <c r="Z922" i="27"/>
  <c r="Z924" i="27"/>
  <c r="Z925" i="27"/>
  <c r="Z927" i="27"/>
  <c r="Z928" i="27"/>
  <c r="Z929" i="27"/>
  <c r="Z931" i="27"/>
  <c r="Z932" i="27"/>
  <c r="Z934" i="27"/>
  <c r="Z935" i="27"/>
  <c r="Z937" i="27"/>
  <c r="Z938" i="27"/>
  <c r="Z940" i="27"/>
  <c r="Z941" i="27"/>
  <c r="Z942" i="27"/>
  <c r="Z944" i="27"/>
  <c r="Z945" i="27"/>
  <c r="Z947" i="27"/>
  <c r="Z948" i="27"/>
  <c r="Z950" i="27"/>
  <c r="Z951" i="27"/>
  <c r="Z953" i="27"/>
  <c r="Z954" i="27"/>
  <c r="Z955" i="27"/>
  <c r="Z957" i="27"/>
  <c r="Z958" i="27"/>
  <c r="Z960" i="27"/>
  <c r="Z961" i="27"/>
  <c r="Z963" i="27"/>
  <c r="Z964" i="27"/>
  <c r="Z966" i="27"/>
  <c r="Z967" i="27"/>
  <c r="Z968" i="27"/>
  <c r="Z970" i="27"/>
  <c r="Z971" i="27"/>
  <c r="Z972" i="27"/>
  <c r="Z974" i="27"/>
  <c r="Z975" i="27"/>
  <c r="Z977" i="27"/>
  <c r="Z978" i="27"/>
  <c r="Z980" i="27"/>
  <c r="Z981" i="27"/>
  <c r="Z983" i="27"/>
  <c r="Z984" i="27"/>
  <c r="Z985" i="27"/>
  <c r="Z987" i="27"/>
  <c r="Z988" i="27"/>
  <c r="Z990" i="27"/>
  <c r="Z991" i="27"/>
  <c r="Z993" i="27"/>
  <c r="Z994" i="27"/>
  <c r="Z996" i="27"/>
  <c r="Z997" i="27"/>
  <c r="Z998" i="27"/>
  <c r="Z1000" i="27"/>
  <c r="Z1001" i="27"/>
  <c r="Z1003" i="27"/>
  <c r="Z1004" i="27"/>
  <c r="Z1006" i="27"/>
  <c r="Z1007" i="27"/>
  <c r="Z1009" i="27"/>
  <c r="Z1010" i="27"/>
  <c r="Z1011" i="27"/>
  <c r="Z1013" i="27"/>
  <c r="Z1014" i="27"/>
  <c r="Z1016" i="27"/>
  <c r="Z1017" i="27"/>
  <c r="Z1019" i="27"/>
  <c r="Z1020" i="27"/>
  <c r="Z1022" i="27"/>
  <c r="Z1023" i="27"/>
  <c r="Z1024" i="27"/>
  <c r="Z1026" i="27"/>
  <c r="Z1027" i="27"/>
  <c r="Z1028" i="27"/>
  <c r="Z1030" i="27"/>
  <c r="Z1031" i="27"/>
  <c r="Z1033" i="27"/>
  <c r="Z1034" i="27"/>
  <c r="Z1036" i="27"/>
  <c r="Z1037" i="27"/>
  <c r="Z1039" i="27"/>
  <c r="Z1040" i="27"/>
  <c r="Z1041" i="27"/>
  <c r="Z1043" i="27"/>
  <c r="Z1044" i="27"/>
  <c r="Z1046" i="27"/>
  <c r="Z1047" i="27"/>
  <c r="Z1049" i="27"/>
  <c r="Z1050" i="27"/>
  <c r="Z1052" i="27"/>
  <c r="Z1053" i="27"/>
  <c r="Z1054" i="27"/>
  <c r="Z1056" i="27"/>
  <c r="Z1057" i="27"/>
  <c r="Z1059" i="27"/>
  <c r="Z1060" i="27"/>
  <c r="Z1062" i="27"/>
  <c r="Z1063" i="27"/>
  <c r="Z1065" i="27"/>
  <c r="Z1066" i="27"/>
  <c r="Z1067" i="27"/>
  <c r="Z1069" i="27"/>
  <c r="Z1070" i="27"/>
  <c r="Z1072" i="27"/>
  <c r="Z1073" i="27"/>
  <c r="Z1075" i="27"/>
  <c r="Z1076" i="27"/>
  <c r="Z1078" i="27"/>
  <c r="Z1079" i="27"/>
  <c r="Z1080" i="27"/>
  <c r="Z1082" i="27"/>
  <c r="Z1083" i="27"/>
  <c r="Z1084" i="27"/>
  <c r="Z1086" i="27"/>
  <c r="Z1087" i="27"/>
  <c r="Z1089" i="27"/>
  <c r="Z1090" i="27"/>
  <c r="Z1092" i="27"/>
  <c r="Z1093" i="27"/>
  <c r="Z1095" i="27"/>
  <c r="Z1096" i="27"/>
  <c r="Z1097" i="27"/>
  <c r="Z1099" i="27"/>
  <c r="Z1100" i="27"/>
  <c r="Z1102" i="27"/>
  <c r="Z1103" i="27"/>
  <c r="Z1105" i="27"/>
  <c r="Z1106" i="27"/>
  <c r="Z1108" i="27"/>
  <c r="Z1109" i="27"/>
  <c r="Z1110" i="27"/>
  <c r="Z1112" i="27"/>
  <c r="Z1113" i="27"/>
  <c r="Z1115" i="27"/>
  <c r="Z1116" i="27"/>
  <c r="Z1118" i="27"/>
  <c r="Z1119" i="27"/>
  <c r="Z1121" i="27"/>
  <c r="Z1122" i="27"/>
  <c r="Z1123" i="27"/>
  <c r="Z1125" i="27"/>
  <c r="Z1126" i="27"/>
  <c r="Z1128" i="27"/>
  <c r="Z1129" i="27"/>
  <c r="Z1131" i="27"/>
  <c r="Z1132" i="27"/>
  <c r="Z1134" i="27"/>
  <c r="Z1135" i="27"/>
  <c r="Z1136" i="27"/>
  <c r="Z1138" i="27"/>
  <c r="Z1139" i="27"/>
  <c r="Z1140" i="27"/>
  <c r="Z1142" i="27"/>
  <c r="Z1143" i="27"/>
  <c r="Z1145" i="27"/>
  <c r="Z1146" i="27"/>
  <c r="Z1148" i="27"/>
  <c r="Z1149" i="27"/>
  <c r="Z1151" i="27"/>
  <c r="Z1152" i="27"/>
  <c r="Z1153" i="27"/>
  <c r="Z1155" i="27"/>
  <c r="Z1156" i="27"/>
  <c r="Z1158" i="27"/>
  <c r="Z1159" i="27"/>
  <c r="Z1161" i="27"/>
  <c r="Z1162" i="27"/>
  <c r="Z1164" i="27"/>
  <c r="Z1165" i="27"/>
  <c r="Z1166" i="27"/>
  <c r="Z1168" i="27"/>
  <c r="Z1169" i="27"/>
  <c r="Z1171" i="27"/>
  <c r="Z1172" i="27"/>
  <c r="Z1174" i="27"/>
  <c r="Z1175" i="27"/>
  <c r="Z1177" i="27"/>
  <c r="Z1178" i="27"/>
  <c r="Z1179" i="27"/>
  <c r="Z1181" i="27"/>
  <c r="Z1182" i="27"/>
  <c r="Z1184" i="27"/>
  <c r="Z1185" i="27"/>
  <c r="Z1187" i="27"/>
  <c r="Z1188" i="27"/>
  <c r="Z1190" i="27"/>
  <c r="Z1191" i="27"/>
  <c r="Z1192" i="27"/>
  <c r="Z1194" i="27"/>
  <c r="Z1195" i="27"/>
  <c r="Z1196" i="27"/>
  <c r="Z1198" i="27"/>
  <c r="Z1199" i="27"/>
  <c r="Z1201" i="27"/>
  <c r="Z1202" i="27"/>
  <c r="Z1204" i="27"/>
  <c r="Z1205" i="27"/>
  <c r="Z1207" i="27"/>
  <c r="Z1208" i="27"/>
  <c r="Z1209" i="27"/>
  <c r="Z1211" i="27"/>
  <c r="Z1212" i="27"/>
  <c r="Z1214" i="27"/>
  <c r="Z1215" i="27"/>
  <c r="Z1217" i="27"/>
  <c r="Z1218" i="27"/>
  <c r="Z1220" i="27"/>
  <c r="Z1221" i="27"/>
  <c r="Z1222" i="27"/>
  <c r="Z1224" i="27"/>
  <c r="Z1225" i="27"/>
  <c r="Z1227" i="27"/>
  <c r="Z1228" i="27"/>
  <c r="Z1230" i="27"/>
  <c r="Z1231" i="27"/>
  <c r="Z1233" i="27"/>
  <c r="Z1234" i="27"/>
  <c r="Z1235" i="27"/>
  <c r="Z1237" i="27"/>
  <c r="Z1238" i="27"/>
  <c r="Z1240" i="27"/>
  <c r="Z1241" i="27"/>
  <c r="Z1243" i="27"/>
  <c r="Z1244" i="27"/>
  <c r="Z1246" i="27"/>
  <c r="Z1247" i="27"/>
  <c r="Z1248" i="27"/>
  <c r="Z1250" i="27"/>
  <c r="Z1251" i="27"/>
  <c r="Z1252" i="27"/>
  <c r="Z1254" i="27"/>
  <c r="Z1255" i="27"/>
  <c r="Z1257" i="27"/>
  <c r="Z1258" i="27"/>
  <c r="Z1260" i="27"/>
  <c r="Z1261" i="27"/>
  <c r="Z1263" i="27"/>
  <c r="Z1264" i="27"/>
  <c r="Z1265" i="27"/>
  <c r="Z1267" i="27"/>
  <c r="Z1268" i="27"/>
  <c r="Z1270" i="27"/>
  <c r="Z1271" i="27"/>
  <c r="Z1273" i="27"/>
  <c r="Z1274" i="27"/>
  <c r="Z1276" i="27"/>
  <c r="Z1277" i="27"/>
  <c r="Z1278" i="27"/>
  <c r="Z1280" i="27"/>
  <c r="Z1281" i="27"/>
  <c r="Z1283" i="27"/>
  <c r="Z1284" i="27"/>
  <c r="Z1286" i="27"/>
  <c r="Z1287" i="27"/>
  <c r="Z1289" i="27"/>
  <c r="Z1290" i="27"/>
  <c r="Z1291" i="27"/>
  <c r="Z1293" i="27"/>
  <c r="Z1294" i="27"/>
  <c r="Z1296" i="27"/>
  <c r="Z1297" i="27"/>
  <c r="Z1299" i="27"/>
  <c r="Z1300" i="27"/>
  <c r="Z1302" i="27"/>
  <c r="Z1303" i="27"/>
  <c r="Z1304" i="27"/>
  <c r="Z1306" i="27"/>
  <c r="Z1307" i="27"/>
  <c r="Z1308" i="27"/>
  <c r="Z1310" i="27"/>
  <c r="Z1311" i="27"/>
  <c r="Z1313" i="27"/>
  <c r="Z1314" i="27"/>
  <c r="Z1316" i="27"/>
  <c r="Z1317" i="27"/>
  <c r="Z1319" i="27"/>
  <c r="Z1320" i="27"/>
  <c r="Z1321" i="27"/>
  <c r="Z1323" i="27"/>
  <c r="Z1324" i="27"/>
  <c r="Z1326" i="27"/>
  <c r="Z1327" i="27"/>
  <c r="Z1329" i="27"/>
  <c r="Z1330" i="27"/>
  <c r="Z1332" i="27"/>
  <c r="Z1333" i="27"/>
  <c r="Z1334" i="27"/>
  <c r="Z1336" i="27"/>
  <c r="Z1337" i="27"/>
  <c r="Z1339" i="27"/>
  <c r="Z1340" i="27"/>
  <c r="Z1342" i="27"/>
  <c r="Z1343" i="27"/>
  <c r="Z1345" i="27"/>
  <c r="Z1346" i="27"/>
  <c r="Z1347" i="27"/>
  <c r="Z1349" i="27"/>
  <c r="Z1350" i="27"/>
  <c r="Z1352" i="27"/>
  <c r="Z1353" i="27"/>
  <c r="Z1355" i="27"/>
  <c r="Z1356" i="27"/>
  <c r="Z1358" i="27"/>
  <c r="Z1359" i="27"/>
  <c r="Z1360" i="27"/>
  <c r="Z1362" i="27"/>
  <c r="Z1363" i="27"/>
  <c r="Z1364" i="27"/>
  <c r="Z1366" i="27"/>
  <c r="Z1367" i="27"/>
  <c r="Z1368" i="27"/>
  <c r="Z1370" i="27"/>
  <c r="Z1371" i="27"/>
  <c r="Z1373" i="27"/>
  <c r="Z1374" i="27"/>
  <c r="Z1376" i="27"/>
  <c r="Z1377" i="27"/>
  <c r="Z1379" i="27"/>
  <c r="Z1380" i="27"/>
  <c r="Z1381" i="27"/>
  <c r="Z1383" i="27"/>
  <c r="Z1384" i="27"/>
  <c r="Z1386" i="27"/>
  <c r="Z1387" i="27"/>
  <c r="Z1389" i="27"/>
  <c r="Z1390" i="27"/>
  <c r="Z1392" i="27"/>
  <c r="Z1393" i="27"/>
  <c r="Z1394" i="27"/>
  <c r="Z1396" i="27"/>
  <c r="Z1397" i="27"/>
  <c r="Z1399" i="27"/>
  <c r="Z1400" i="27"/>
  <c r="Z1402" i="27"/>
  <c r="Z1403" i="27"/>
  <c r="Z1405" i="27"/>
  <c r="Z1406" i="27"/>
  <c r="Z1407" i="27"/>
  <c r="Z1409" i="27"/>
  <c r="Z1410" i="27"/>
  <c r="Z1412" i="27"/>
  <c r="Z1413" i="27"/>
  <c r="Z1415" i="27"/>
  <c r="Z1416" i="27"/>
  <c r="Z1418" i="27"/>
  <c r="Z1419" i="27"/>
  <c r="Z1420" i="27"/>
  <c r="Z1422" i="27"/>
  <c r="Z1423" i="27"/>
  <c r="Z1424" i="27"/>
  <c r="Z1426" i="27"/>
  <c r="Z1427" i="27"/>
  <c r="Z1429" i="27"/>
  <c r="Z1430" i="27"/>
  <c r="Z1432" i="27"/>
  <c r="Z1433" i="27"/>
  <c r="Z1435" i="27"/>
  <c r="Z1436" i="27"/>
  <c r="Z1437" i="27"/>
  <c r="Z1439" i="27"/>
  <c r="Z1440" i="27"/>
  <c r="Z1442" i="27"/>
  <c r="Z1443" i="27"/>
  <c r="Z1445" i="27"/>
  <c r="Z1446" i="27"/>
  <c r="Z1448" i="27"/>
  <c r="Z1449" i="27"/>
  <c r="Z1450" i="27"/>
  <c r="Z1452" i="27"/>
  <c r="Z1453" i="27"/>
  <c r="Z1455" i="27"/>
  <c r="Z1456" i="27"/>
  <c r="Z1458" i="27"/>
  <c r="Z1459" i="27"/>
  <c r="Z1461" i="27"/>
  <c r="Z1462" i="27"/>
  <c r="Z1463" i="27"/>
  <c r="Z1465" i="27"/>
  <c r="Z1466" i="27"/>
  <c r="Z1468" i="27"/>
  <c r="Z1469" i="27"/>
  <c r="Z1471" i="27"/>
  <c r="Z1472" i="27"/>
  <c r="Z1474" i="27"/>
  <c r="Z1475" i="27"/>
  <c r="Z1476" i="27"/>
  <c r="Z1478" i="27"/>
  <c r="Z1479" i="27"/>
  <c r="Z1480" i="27"/>
  <c r="Z1482" i="27"/>
  <c r="Z1483" i="27"/>
  <c r="Z1485" i="27"/>
  <c r="Z1486" i="27"/>
  <c r="Z1488" i="27"/>
  <c r="Z1489" i="27"/>
  <c r="Z1491" i="27"/>
  <c r="Z1492" i="27"/>
  <c r="Z1493" i="27"/>
  <c r="Z1495" i="27"/>
  <c r="Z1496" i="27"/>
  <c r="Z1498" i="27"/>
  <c r="Z1499" i="27"/>
  <c r="Z1501" i="27"/>
  <c r="Z1502" i="27"/>
  <c r="Z1504" i="27"/>
  <c r="Z1505" i="27"/>
  <c r="Z1506" i="27"/>
  <c r="Z1508" i="27"/>
  <c r="Z1509" i="27"/>
  <c r="Z1511" i="27"/>
  <c r="Z1512" i="27"/>
  <c r="Z1514" i="27"/>
  <c r="Z1515" i="27"/>
  <c r="Z1517" i="27"/>
  <c r="Z1518" i="27"/>
  <c r="Z1519" i="27"/>
  <c r="Z1521" i="27"/>
  <c r="Z1522" i="27"/>
  <c r="Z1524" i="27"/>
  <c r="Z1525" i="27"/>
  <c r="Z1527" i="27"/>
  <c r="Z1528" i="27"/>
  <c r="Z1530" i="27"/>
  <c r="Z1531" i="27"/>
  <c r="Z1532" i="27"/>
  <c r="Z1534" i="27"/>
  <c r="Z1535" i="27"/>
  <c r="Z1536" i="27"/>
  <c r="Z1538" i="27"/>
  <c r="Z1539" i="27"/>
  <c r="Z1541" i="27"/>
  <c r="Z1542" i="27"/>
  <c r="Z1544" i="27"/>
  <c r="Z1545" i="27"/>
  <c r="Z1547" i="27"/>
  <c r="Z1548" i="27"/>
  <c r="Z1549" i="27"/>
  <c r="Z1551" i="27"/>
  <c r="Z1552" i="27"/>
  <c r="Z1554" i="27"/>
  <c r="Z1555" i="27"/>
  <c r="Z1557" i="27"/>
  <c r="Z1558" i="27"/>
  <c r="Z1560" i="27"/>
  <c r="Z1561" i="27"/>
  <c r="Z1562" i="27"/>
  <c r="Z1564" i="27"/>
  <c r="Z1565" i="27"/>
  <c r="Z1567" i="27"/>
  <c r="Z1568" i="27"/>
  <c r="Z1570" i="27"/>
  <c r="Z1571" i="27"/>
  <c r="Z1573" i="27"/>
  <c r="Z1574" i="27"/>
  <c r="Z1575" i="27"/>
  <c r="Z1577" i="27"/>
  <c r="Z1578" i="27"/>
  <c r="Z1580" i="27"/>
  <c r="Z1581" i="27"/>
  <c r="Z1583" i="27"/>
  <c r="Z1584" i="27"/>
  <c r="Z1586" i="27"/>
  <c r="Z1587" i="27"/>
  <c r="Z1588" i="27"/>
  <c r="Z1590" i="27"/>
  <c r="Z1591" i="27"/>
  <c r="Z1592" i="27"/>
  <c r="Z1594" i="27"/>
  <c r="Z1595" i="27"/>
  <c r="Z1597" i="27"/>
  <c r="Z1598" i="27"/>
  <c r="Z1600" i="27"/>
  <c r="Z1601" i="27"/>
  <c r="Z1603" i="27"/>
  <c r="Z1604" i="27"/>
  <c r="Z1605" i="27"/>
  <c r="Z1607" i="27"/>
  <c r="Z1608" i="27"/>
  <c r="Z1610" i="27"/>
  <c r="Z1611" i="27"/>
  <c r="Z1613" i="27"/>
  <c r="Z1614" i="27"/>
  <c r="Z1616" i="27"/>
  <c r="Z1617" i="27"/>
  <c r="Z1618" i="27"/>
  <c r="Z1620" i="27"/>
  <c r="Z1621" i="27"/>
  <c r="Z1623" i="27"/>
  <c r="Z1624" i="27"/>
  <c r="Z1626" i="27"/>
  <c r="Z1627" i="27"/>
  <c r="Z1629" i="27"/>
  <c r="Z1630" i="27"/>
  <c r="Z1631" i="27"/>
  <c r="Z1633" i="27"/>
  <c r="Z1634" i="27"/>
  <c r="Z1636" i="27"/>
  <c r="Z1637" i="27"/>
  <c r="Z1639" i="27"/>
  <c r="Z1640" i="27"/>
  <c r="Z1642" i="27"/>
  <c r="Z1643" i="27"/>
  <c r="Z1644" i="27"/>
  <c r="Z1646" i="27"/>
  <c r="Z1647" i="27"/>
  <c r="Z1648" i="27"/>
  <c r="Z1650" i="27"/>
  <c r="Z1651" i="27"/>
  <c r="Z1653" i="27"/>
  <c r="Z1654" i="27"/>
  <c r="Z1656" i="27"/>
  <c r="Z1657" i="27"/>
  <c r="Z1659" i="27"/>
  <c r="Z1660" i="27"/>
  <c r="Z1661" i="27"/>
  <c r="Z1663" i="27"/>
  <c r="Z1664" i="27"/>
  <c r="Z1666" i="27"/>
  <c r="Z1667" i="27"/>
  <c r="Z1669" i="27"/>
  <c r="Z1670" i="27"/>
  <c r="Z1672" i="27"/>
  <c r="Z1673" i="27"/>
  <c r="Z1674" i="27"/>
  <c r="Z1676" i="27"/>
  <c r="Z1677" i="27"/>
  <c r="Z1679" i="27"/>
  <c r="Z1680" i="27"/>
  <c r="Z1682" i="27"/>
  <c r="Z1683" i="27"/>
  <c r="Z1685" i="27"/>
  <c r="Z1686" i="27"/>
  <c r="Z1687" i="27"/>
  <c r="Z1689" i="27"/>
  <c r="Z1690" i="27"/>
  <c r="Z1692" i="27"/>
  <c r="Z1693" i="27"/>
  <c r="Z1695" i="27"/>
  <c r="Z1696" i="27"/>
  <c r="Z1698" i="27"/>
  <c r="Z1699" i="27"/>
  <c r="Z1700" i="27"/>
  <c r="Z1702" i="27"/>
  <c r="Z1703" i="27"/>
  <c r="Z1704" i="27"/>
  <c r="Z1706" i="27"/>
  <c r="Z1707" i="27"/>
  <c r="Z1709" i="27"/>
  <c r="Z1710" i="27"/>
  <c r="Z1712" i="27"/>
  <c r="Z1713" i="27"/>
  <c r="Z1715" i="27"/>
  <c r="Z1716" i="27"/>
  <c r="Z1717" i="27"/>
  <c r="Z1719" i="27"/>
  <c r="Z1720" i="27"/>
  <c r="Z1722" i="27"/>
  <c r="Z1723" i="27"/>
  <c r="Z1725" i="27"/>
  <c r="Z1726" i="27"/>
  <c r="Z1728" i="27"/>
  <c r="Z1729" i="27"/>
  <c r="Z1730" i="27"/>
  <c r="Z1732" i="27"/>
  <c r="Z1733" i="27"/>
  <c r="Z1735" i="27"/>
  <c r="Z1736" i="27"/>
  <c r="Z1738" i="27"/>
  <c r="Z1739" i="27"/>
  <c r="Z1741" i="27"/>
  <c r="Z1742" i="27"/>
  <c r="Z1743" i="27"/>
  <c r="Z1745" i="27"/>
  <c r="Z1746" i="27"/>
  <c r="Z1748" i="27"/>
  <c r="Z1749" i="27"/>
  <c r="Z1751" i="27"/>
  <c r="Z1752" i="27"/>
  <c r="Z1754" i="27"/>
  <c r="Z1755" i="27"/>
  <c r="Z1756" i="27"/>
  <c r="Z1758" i="27"/>
  <c r="Z1759" i="27"/>
  <c r="Z1760" i="27"/>
  <c r="Z1762" i="27"/>
  <c r="Z1763" i="27"/>
  <c r="Z1765" i="27"/>
  <c r="Z1766" i="27"/>
  <c r="Z1768" i="27"/>
  <c r="Z1769" i="27"/>
  <c r="Z1771" i="27"/>
  <c r="Z1772" i="27"/>
  <c r="Z1773" i="27"/>
  <c r="Z1775" i="27"/>
  <c r="Z1776" i="27"/>
  <c r="Z1778" i="27"/>
  <c r="Z1779" i="27"/>
  <c r="Z1781" i="27"/>
  <c r="Z1782" i="27"/>
  <c r="Z1784" i="27"/>
  <c r="Z1785" i="27"/>
  <c r="Z1786" i="27"/>
  <c r="Z1788" i="27"/>
  <c r="Z1789" i="27"/>
  <c r="Z1791" i="27"/>
  <c r="Z1792" i="27"/>
  <c r="Z1794" i="27"/>
  <c r="Z1795" i="27"/>
  <c r="Z1797" i="27"/>
  <c r="Z1798" i="27"/>
  <c r="Z1799" i="27"/>
  <c r="Z1801" i="27"/>
  <c r="Z1802" i="27"/>
  <c r="Z1804" i="27"/>
  <c r="Z1805" i="27"/>
  <c r="Z1807" i="27"/>
  <c r="Z1808" i="27"/>
  <c r="X1809" i="27"/>
  <c r="X1796" i="27"/>
  <c r="X1783" i="27"/>
  <c r="X1770" i="27"/>
  <c r="X1757" i="27"/>
  <c r="X1753" i="27"/>
  <c r="X1740" i="27"/>
  <c r="X1727" i="27"/>
  <c r="X1714" i="27"/>
  <c r="X1701" i="27"/>
  <c r="X1697" i="27"/>
  <c r="X1684" i="27"/>
  <c r="X1671" i="27"/>
  <c r="X1658" i="27"/>
  <c r="X1645" i="27"/>
  <c r="X1641" i="27"/>
  <c r="X1628" i="27"/>
  <c r="X1615" i="27"/>
  <c r="X1602" i="27"/>
  <c r="X1589" i="27"/>
  <c r="X1585" i="27"/>
  <c r="X1572" i="27"/>
  <c r="X1559" i="27"/>
  <c r="X1546" i="27"/>
  <c r="X1533" i="27"/>
  <c r="X1529" i="27"/>
  <c r="X1516" i="27"/>
  <c r="X1503" i="27"/>
  <c r="X1490" i="27"/>
  <c r="X1477" i="27"/>
  <c r="X1473" i="27"/>
  <c r="X1460" i="27"/>
  <c r="X1447" i="27"/>
  <c r="X1434" i="27"/>
  <c r="X1421" i="27"/>
  <c r="X1417" i="27"/>
  <c r="X1404" i="27"/>
  <c r="X1391" i="27"/>
  <c r="X1378" i="27"/>
  <c r="X1365" i="27"/>
  <c r="X1361" i="27"/>
  <c r="X1357" i="27"/>
  <c r="X1344" i="27"/>
  <c r="X1331" i="27"/>
  <c r="X1318" i="27"/>
  <c r="X1305" i="27"/>
  <c r="X1301" i="27"/>
  <c r="X1288" i="27"/>
  <c r="X1275" i="27"/>
  <c r="X1262" i="27"/>
  <c r="X1249" i="27"/>
  <c r="X1245" i="27"/>
  <c r="X1232" i="27"/>
  <c r="X1219" i="27"/>
  <c r="X1206" i="27"/>
  <c r="X1193" i="27"/>
  <c r="X1189" i="27"/>
  <c r="X1176" i="27"/>
  <c r="X1163" i="27"/>
  <c r="X1150" i="27"/>
  <c r="X1137" i="27"/>
  <c r="X1133" i="27"/>
  <c r="X1120" i="27"/>
  <c r="X1107" i="27"/>
  <c r="X1094" i="27"/>
  <c r="X1081" i="27"/>
  <c r="X1077" i="27"/>
  <c r="X1064" i="27"/>
  <c r="X1051" i="27"/>
  <c r="X1038" i="27"/>
  <c r="X1025" i="27"/>
  <c r="X1021" i="27"/>
  <c r="X1008" i="27"/>
  <c r="X995" i="27"/>
  <c r="X982" i="27"/>
  <c r="X969" i="27"/>
  <c r="X965" i="27"/>
  <c r="X952" i="27"/>
  <c r="X939" i="27"/>
  <c r="X909" i="27"/>
  <c r="X913" i="27"/>
  <c r="X926" i="27"/>
  <c r="X904" i="27"/>
  <c r="X891" i="27"/>
  <c r="X878" i="27"/>
  <c r="X865" i="27"/>
  <c r="X852" i="27"/>
  <c r="X848" i="27"/>
  <c r="X835" i="27"/>
  <c r="X822" i="27"/>
  <c r="X809" i="27"/>
  <c r="X796" i="27"/>
  <c r="X792" i="27"/>
  <c r="X779" i="27"/>
  <c r="X766" i="27"/>
  <c r="X740" i="27"/>
  <c r="X753" i="27"/>
  <c r="X736" i="27"/>
  <c r="X723" i="27"/>
  <c r="X710" i="27"/>
  <c r="X697" i="27"/>
  <c r="X684" i="27"/>
  <c r="X680" i="27"/>
  <c r="X667" i="27"/>
  <c r="X654" i="27"/>
  <c r="X641" i="27"/>
  <c r="X628" i="27"/>
  <c r="X624" i="27"/>
  <c r="X611" i="27"/>
  <c r="X598" i="27"/>
  <c r="CF598" i="27" s="1"/>
  <c r="X585" i="27"/>
  <c r="CF585" i="27" s="1"/>
  <c r="X572" i="27"/>
  <c r="CF572" i="27" s="1"/>
  <c r="X568" i="27"/>
  <c r="CF568" i="27" s="1"/>
  <c r="X555" i="27"/>
  <c r="CF555" i="27" s="1"/>
  <c r="X542" i="27"/>
  <c r="CF542" i="27" s="1"/>
  <c r="X529" i="27"/>
  <c r="X516" i="27"/>
  <c r="X512" i="27"/>
  <c r="X499" i="27"/>
  <c r="X486" i="27"/>
  <c r="X473" i="27"/>
  <c r="X460" i="27"/>
  <c r="X456" i="27"/>
  <c r="X452" i="27"/>
  <c r="X439" i="27"/>
  <c r="X426" i="27"/>
  <c r="X400" i="27"/>
  <c r="X344" i="27"/>
  <c r="X288" i="27"/>
  <c r="X232" i="27"/>
  <c r="B22" i="5" l="1"/>
  <c r="B78" i="5"/>
  <c r="B76" i="5"/>
  <c r="B77" i="5" s="1"/>
  <c r="I637" i="27" s="1"/>
  <c r="B24" i="5"/>
  <c r="B25" i="5" s="1"/>
  <c r="I297" i="27" s="1"/>
  <c r="B109" i="5"/>
  <c r="B108" i="5"/>
  <c r="B106" i="5"/>
  <c r="B104" i="5"/>
  <c r="B103" i="5"/>
  <c r="B99" i="5"/>
  <c r="O717" i="27" s="1"/>
  <c r="B97" i="5"/>
  <c r="B95" i="5"/>
  <c r="M775" i="27" s="1"/>
  <c r="B94" i="5"/>
  <c r="M699" i="27" s="1"/>
  <c r="B55" i="5"/>
  <c r="B54" i="5"/>
  <c r="B52" i="5"/>
  <c r="B50" i="5"/>
  <c r="O308" i="27" s="1"/>
  <c r="B49" i="5"/>
  <c r="O298" i="27" s="1"/>
  <c r="B163" i="5"/>
  <c r="B162" i="5"/>
  <c r="B45" i="5"/>
  <c r="O377" i="27" s="1"/>
  <c r="B43" i="5"/>
  <c r="O605" i="27" s="1"/>
  <c r="B41" i="5"/>
  <c r="B40" i="5"/>
  <c r="M415" i="27" s="1"/>
  <c r="B168" i="5"/>
  <c r="B167" i="5"/>
  <c r="B222" i="5"/>
  <c r="B221" i="5"/>
  <c r="B219" i="5"/>
  <c r="B217" i="5"/>
  <c r="B216" i="5"/>
  <c r="B212" i="5"/>
  <c r="B210" i="5"/>
  <c r="B208" i="5"/>
  <c r="B207" i="5"/>
  <c r="B192" i="5"/>
  <c r="I1654" i="27" s="1"/>
  <c r="B191" i="5"/>
  <c r="I1598" i="27" s="1"/>
  <c r="B190" i="5"/>
  <c r="I1542" i="27" s="1"/>
  <c r="B189" i="5"/>
  <c r="I1486" i="27" s="1"/>
  <c r="B95" i="26"/>
  <c r="B160" i="5" s="1"/>
  <c r="O1002" i="27" s="1"/>
  <c r="D165" i="5" l="1"/>
  <c r="O17" i="27"/>
  <c r="O130" i="27"/>
  <c r="O582" i="27"/>
  <c r="BT582" i="27" s="1"/>
  <c r="O1091" i="27"/>
  <c r="O242" i="27"/>
  <c r="M811" i="27"/>
  <c r="O354" i="27"/>
  <c r="M435" i="27"/>
  <c r="M267" i="27"/>
  <c r="M323" i="27"/>
  <c r="M1660" i="27"/>
  <c r="M1716" i="27"/>
  <c r="M1772" i="27"/>
  <c r="M1604" i="27"/>
  <c r="O1240" i="27"/>
  <c r="O1213" i="27"/>
  <c r="O1352" i="27"/>
  <c r="O1325" i="27"/>
  <c r="O493" i="27"/>
  <c r="O470" i="27"/>
  <c r="O1375" i="27"/>
  <c r="O1510" i="27"/>
  <c r="O1398" i="27"/>
  <c r="O1804" i="27"/>
  <c r="O1665" i="27"/>
  <c r="O1777" i="27"/>
  <c r="O1692" i="27"/>
  <c r="O447" i="27"/>
  <c r="O420" i="27"/>
  <c r="O335" i="27"/>
  <c r="O885" i="27"/>
  <c r="O773" i="27"/>
  <c r="O750" i="27"/>
  <c r="O862" i="27"/>
  <c r="B23" i="5"/>
  <c r="I185" i="27" s="1"/>
  <c r="I581" i="27"/>
  <c r="BN581" i="27" s="1"/>
  <c r="I129" i="27"/>
  <c r="M379" i="27"/>
  <c r="O1487" i="27"/>
  <c r="O1114" i="27"/>
  <c r="O979" i="27"/>
  <c r="O1711" i="27"/>
  <c r="O1599" i="27"/>
  <c r="O1734" i="27"/>
  <c r="O1622" i="27"/>
  <c r="O787" i="27"/>
  <c r="O872" i="27"/>
  <c r="O760" i="27"/>
  <c r="M303" i="27"/>
  <c r="O265" i="27"/>
  <c r="M755" i="27"/>
  <c r="M867" i="27"/>
  <c r="O1338" i="27"/>
  <c r="O1315" i="27"/>
  <c r="O1226" i="27"/>
  <c r="O1203" i="27"/>
  <c r="M887" i="27"/>
  <c r="M831" i="27"/>
  <c r="M719" i="27"/>
  <c r="O40" i="27"/>
  <c r="I241" i="27"/>
  <c r="M247" i="27"/>
  <c r="M359" i="27"/>
  <c r="O899" i="27"/>
  <c r="M1792" i="27"/>
  <c r="M1624" i="27"/>
  <c r="M1736" i="27"/>
  <c r="M1680" i="27"/>
  <c r="O1767" i="27"/>
  <c r="O1655" i="27"/>
  <c r="O1790" i="27"/>
  <c r="O1678" i="27"/>
  <c r="O410" i="27"/>
  <c r="O806" i="27"/>
  <c r="O694" i="27"/>
  <c r="O829" i="27"/>
  <c r="B79" i="5"/>
  <c r="I749" i="27" s="1"/>
  <c r="I693" i="27"/>
  <c r="O153" i="27"/>
  <c r="O321" i="27"/>
  <c r="O433" i="27"/>
  <c r="B101" i="5"/>
  <c r="B96" i="26"/>
  <c r="B47" i="5"/>
  <c r="D160" i="5" s="1"/>
  <c r="F160" i="5" s="1"/>
  <c r="B214" i="5"/>
  <c r="B165" i="5"/>
  <c r="B158" i="5"/>
  <c r="B156" i="5"/>
  <c r="B154" i="5"/>
  <c r="B153" i="5"/>
  <c r="B138" i="5"/>
  <c r="I1202" i="27" s="1"/>
  <c r="B137" i="5"/>
  <c r="I1146" i="27" s="1"/>
  <c r="B136" i="5"/>
  <c r="I1090" i="27" s="1"/>
  <c r="B135" i="5"/>
  <c r="I1034" i="27" s="1"/>
  <c r="G103" i="26"/>
  <c r="B103" i="26"/>
  <c r="B100" i="26"/>
  <c r="B92" i="26"/>
  <c r="G92" i="26"/>
  <c r="B81" i="26"/>
  <c r="H77" i="26"/>
  <c r="G77" i="26" s="1"/>
  <c r="H74" i="26"/>
  <c r="G74" i="26" s="1"/>
  <c r="C77" i="26"/>
  <c r="B77" i="26" s="1"/>
  <c r="C74" i="26"/>
  <c r="B74" i="26" s="1"/>
  <c r="B70" i="26"/>
  <c r="G60" i="26" s="1"/>
  <c r="B69" i="26"/>
  <c r="B55" i="26" s="1"/>
  <c r="B68" i="26"/>
  <c r="B67" i="26"/>
  <c r="B66" i="26"/>
  <c r="B65" i="26"/>
  <c r="B64" i="26"/>
  <c r="B63" i="26"/>
  <c r="G43" i="26"/>
  <c r="B52" i="26"/>
  <c r="G44" i="26" s="1"/>
  <c r="B51" i="26"/>
  <c r="B17" i="26"/>
  <c r="B16" i="26"/>
  <c r="B14" i="26"/>
  <c r="B13" i="26"/>
  <c r="B34" i="26"/>
  <c r="B33" i="26"/>
  <c r="B31" i="26"/>
  <c r="B30" i="26"/>
  <c r="B33" i="5" l="1"/>
  <c r="B87" i="5"/>
  <c r="B31" i="5"/>
  <c r="B85" i="5"/>
  <c r="B89" i="5"/>
  <c r="F35" i="5"/>
  <c r="B35" i="5"/>
  <c r="D148" i="5" s="1"/>
  <c r="B29" i="5"/>
  <c r="B83" i="5"/>
  <c r="F165" i="5"/>
  <c r="O638" i="27"/>
  <c r="O526" i="27"/>
  <c r="O661" i="27"/>
  <c r="O549" i="27"/>
  <c r="BT549" i="27" s="1"/>
  <c r="M1152" i="27"/>
  <c r="M1320" i="27"/>
  <c r="M1264" i="27"/>
  <c r="M1208" i="27"/>
  <c r="M1340" i="27"/>
  <c r="M1228" i="27"/>
  <c r="M1172" i="27"/>
  <c r="M1284" i="27"/>
  <c r="O1035" i="27"/>
  <c r="O1058" i="27"/>
  <c r="O923" i="27"/>
  <c r="O946" i="27"/>
  <c r="O1282" i="27"/>
  <c r="O1259" i="27"/>
  <c r="O1170" i="27"/>
  <c r="O1147" i="27"/>
  <c r="O1566" i="27"/>
  <c r="O1543" i="27"/>
  <c r="O1454" i="27"/>
  <c r="O209" i="27"/>
  <c r="O186" i="27"/>
  <c r="O97" i="27"/>
  <c r="O1431" i="27"/>
  <c r="O73" i="27"/>
  <c r="BO73" i="27" s="1"/>
  <c r="B75" i="26"/>
  <c r="B196" i="5"/>
  <c r="B104" i="26"/>
  <c r="B224" i="5"/>
  <c r="B57" i="5"/>
  <c r="B111" i="5"/>
  <c r="B200" i="5"/>
  <c r="B172" i="5"/>
  <c r="Q1273" i="27" s="1"/>
  <c r="B226" i="5"/>
  <c r="B59" i="5"/>
  <c r="B113" i="5"/>
  <c r="B198" i="5"/>
  <c r="B148" i="5"/>
  <c r="L401" i="27" s="1"/>
  <c r="B202" i="5"/>
  <c r="B151" i="5"/>
  <c r="B38" i="5"/>
  <c r="B205" i="5"/>
  <c r="B92" i="5"/>
  <c r="B130" i="5"/>
  <c r="G1170" i="27" s="1"/>
  <c r="B71" i="5"/>
  <c r="B184" i="5"/>
  <c r="G1622" i="27" s="1"/>
  <c r="B17" i="5"/>
  <c r="B166" i="5"/>
  <c r="B53" i="5"/>
  <c r="B107" i="5"/>
  <c r="B220" i="5"/>
  <c r="B129" i="5"/>
  <c r="G1055" i="27" s="1"/>
  <c r="B183" i="5"/>
  <c r="G1507" i="27" s="1"/>
  <c r="B159" i="5"/>
  <c r="B100" i="5"/>
  <c r="B46" i="5"/>
  <c r="B213" i="5"/>
  <c r="B161" i="5"/>
  <c r="B215" i="5"/>
  <c r="B48" i="5"/>
  <c r="B102" i="5"/>
  <c r="B140" i="5"/>
  <c r="B194" i="5"/>
  <c r="I1766" i="27" s="1"/>
  <c r="B128" i="5"/>
  <c r="G946" i="27" s="1"/>
  <c r="B15" i="5"/>
  <c r="G40" i="27" s="1"/>
  <c r="B69" i="5"/>
  <c r="B182" i="5"/>
  <c r="G1398" i="27" s="1"/>
  <c r="B35" i="26"/>
  <c r="B131" i="5"/>
  <c r="B185" i="5"/>
  <c r="G1731" i="27" s="1"/>
  <c r="B133" i="5"/>
  <c r="I922" i="27" s="1"/>
  <c r="B74" i="5"/>
  <c r="B187" i="5"/>
  <c r="I1374" i="27" s="1"/>
  <c r="B20" i="5"/>
  <c r="I16" i="27" s="1"/>
  <c r="B157" i="5"/>
  <c r="B98" i="5"/>
  <c r="B44" i="5"/>
  <c r="B211" i="5"/>
  <c r="G104" i="26"/>
  <c r="B146" i="5"/>
  <c r="B78" i="26"/>
  <c r="G75" i="26"/>
  <c r="B144" i="5"/>
  <c r="B170" i="5"/>
  <c r="B82" i="26"/>
  <c r="G59" i="26"/>
  <c r="B142" i="5"/>
  <c r="B32" i="26"/>
  <c r="G78" i="26"/>
  <c r="B56" i="26"/>
  <c r="B15" i="26"/>
  <c r="B18" i="26"/>
  <c r="B36" i="26"/>
  <c r="B27" i="26" s="1"/>
  <c r="B19" i="26"/>
  <c r="B9" i="26" s="1"/>
  <c r="B23" i="26"/>
  <c r="B40" i="26"/>
  <c r="C5" i="26"/>
  <c r="D5" i="26"/>
  <c r="B5" i="26"/>
  <c r="B5" i="5" s="1"/>
  <c r="B8" i="25"/>
  <c r="E11" i="17"/>
  <c r="E10" i="17"/>
  <c r="D11" i="17"/>
  <c r="D10" i="17"/>
  <c r="C11" i="17"/>
  <c r="C10" i="17"/>
  <c r="B11" i="17"/>
  <c r="B10" i="17"/>
  <c r="E35" i="5" l="1"/>
  <c r="D118" i="5"/>
  <c r="A103" i="27"/>
  <c r="B126" i="5"/>
  <c r="F302" i="27" s="1"/>
  <c r="Q1030" i="27"/>
  <c r="Q1148" i="27"/>
  <c r="Q980" i="27"/>
  <c r="Q299" i="27"/>
  <c r="I1314" i="27"/>
  <c r="J409" i="27"/>
  <c r="D137" i="5"/>
  <c r="D170" i="5"/>
  <c r="F170" i="5" s="1"/>
  <c r="Q355" i="27"/>
  <c r="Q131" i="27"/>
  <c r="Q243" i="27"/>
  <c r="Q74" i="27"/>
  <c r="BQ74" i="27" s="1"/>
  <c r="Q411" i="27"/>
  <c r="Q187" i="27"/>
  <c r="G1279" i="27"/>
  <c r="H374" i="27"/>
  <c r="M22" i="27"/>
  <c r="D151" i="5"/>
  <c r="F151" i="5" s="1"/>
  <c r="B6" i="5"/>
  <c r="A555" i="27" s="1"/>
  <c r="BF555" i="27" s="1"/>
  <c r="CE555" i="27" s="1"/>
  <c r="K741" i="27"/>
  <c r="B90" i="5"/>
  <c r="K853" i="27"/>
  <c r="K177" i="27"/>
  <c r="K64" i="27"/>
  <c r="BK64" i="27" s="1"/>
  <c r="B32" i="5"/>
  <c r="D145" i="5" s="1"/>
  <c r="K289" i="27"/>
  <c r="K401" i="27"/>
  <c r="M401" i="27" s="1"/>
  <c r="K629" i="27"/>
  <c r="K517" i="27"/>
  <c r="B86" i="5"/>
  <c r="B37" i="26"/>
  <c r="G27" i="26" s="1"/>
  <c r="B180" i="5" s="1"/>
  <c r="E1659" i="27" s="1"/>
  <c r="K461" i="27"/>
  <c r="B84" i="5"/>
  <c r="K480" i="27" s="1"/>
  <c r="K573" i="27"/>
  <c r="BP573" i="27" s="1"/>
  <c r="B30" i="5"/>
  <c r="K121" i="27"/>
  <c r="K8" i="27"/>
  <c r="K233" i="27"/>
  <c r="B34" i="5"/>
  <c r="K345" i="27"/>
  <c r="B6" i="29"/>
  <c r="B6" i="28"/>
  <c r="K797" i="27"/>
  <c r="K685" i="27"/>
  <c r="B88" i="5"/>
  <c r="Q1310" i="27"/>
  <c r="Q987" i="27"/>
  <c r="Q1161" i="27"/>
  <c r="K1422" i="27"/>
  <c r="K1534" i="27"/>
  <c r="O507" i="27"/>
  <c r="O480" i="27"/>
  <c r="O1553" i="27"/>
  <c r="O1468" i="27"/>
  <c r="O1441" i="27"/>
  <c r="O223" i="27"/>
  <c r="O196" i="27"/>
  <c r="O111" i="27"/>
  <c r="O1580" i="27"/>
  <c r="O83" i="27"/>
  <c r="BO83" i="27" s="1"/>
  <c r="Q873" i="27"/>
  <c r="Q761" i="27"/>
  <c r="Q649" i="27"/>
  <c r="Q537" i="27"/>
  <c r="BV537" i="27" s="1"/>
  <c r="Q899" i="27"/>
  <c r="Q787" i="27"/>
  <c r="Q675" i="27"/>
  <c r="Q563" i="27"/>
  <c r="BV563" i="27" s="1"/>
  <c r="Q817" i="27"/>
  <c r="Q705" i="27"/>
  <c r="Q593" i="27"/>
  <c r="BV593" i="27" s="1"/>
  <c r="Q843" i="27"/>
  <c r="Q731" i="27"/>
  <c r="Q619" i="27"/>
  <c r="Q507" i="27"/>
  <c r="Q481" i="27"/>
  <c r="Q678" i="27"/>
  <c r="Q708" i="27"/>
  <c r="Q560" i="27"/>
  <c r="BV560" i="27" s="1"/>
  <c r="Q540" i="27"/>
  <c r="BV540" i="27" s="1"/>
  <c r="Q616" i="27"/>
  <c r="Q646" i="27"/>
  <c r="Q510" i="27"/>
  <c r="Q566" i="27"/>
  <c r="BV566" i="27" s="1"/>
  <c r="Q596" i="27"/>
  <c r="BV596" i="27" s="1"/>
  <c r="Q896" i="27"/>
  <c r="Q876" i="27"/>
  <c r="Q652" i="27"/>
  <c r="Q504" i="27"/>
  <c r="Q534" i="27"/>
  <c r="BV534" i="27" s="1"/>
  <c r="Q846" i="27"/>
  <c r="Q814" i="27"/>
  <c r="Q902" i="27"/>
  <c r="Q484" i="27"/>
  <c r="Q478" i="27"/>
  <c r="Q784" i="27"/>
  <c r="Q764" i="27"/>
  <c r="Q790" i="27"/>
  <c r="Q672" i="27"/>
  <c r="Q728" i="27"/>
  <c r="Q622" i="27"/>
  <c r="Q590" i="27"/>
  <c r="BV590" i="27" s="1"/>
  <c r="Q840" i="27"/>
  <c r="Q870" i="27"/>
  <c r="Q734" i="27"/>
  <c r="Q702" i="27"/>
  <c r="Q820" i="27"/>
  <c r="Q758" i="27"/>
  <c r="Q1049" i="27"/>
  <c r="Q1099" i="27"/>
  <c r="Q1329" i="27"/>
  <c r="O592" i="27"/>
  <c r="BT592" i="27" s="1"/>
  <c r="O619" i="27"/>
  <c r="O140" i="27"/>
  <c r="O54" i="27"/>
  <c r="O27" i="27"/>
  <c r="O167" i="27"/>
  <c r="K1082" i="27"/>
  <c r="K970" i="27"/>
  <c r="O933" i="27"/>
  <c r="O960" i="27"/>
  <c r="O1045" i="27"/>
  <c r="O1072" i="27"/>
  <c r="M475" i="27"/>
  <c r="M643" i="27"/>
  <c r="M531" i="27"/>
  <c r="BR531" i="27" s="1"/>
  <c r="Q447" i="27"/>
  <c r="Q421" i="27"/>
  <c r="Q365" i="27"/>
  <c r="Q279" i="27"/>
  <c r="Q111" i="27"/>
  <c r="Q54" i="27"/>
  <c r="Q200" i="27"/>
  <c r="Q167" i="27"/>
  <c r="Q309" i="27"/>
  <c r="Q197" i="27"/>
  <c r="Q306" i="27"/>
  <c r="Q223" i="27"/>
  <c r="Q194" i="27"/>
  <c r="Q87" i="27"/>
  <c r="Q28" i="27"/>
  <c r="Q368" i="27"/>
  <c r="Q335" i="27"/>
  <c r="Q84" i="27"/>
  <c r="Q391" i="27"/>
  <c r="Q362" i="27"/>
  <c r="Q256" i="27"/>
  <c r="Q144" i="27"/>
  <c r="Q253" i="27"/>
  <c r="Q141" i="27"/>
  <c r="Q220" i="27"/>
  <c r="Q31" i="27"/>
  <c r="Q450" i="27"/>
  <c r="Q25" i="27"/>
  <c r="Q81" i="27"/>
  <c r="BQ81" i="27" s="1"/>
  <c r="Q394" i="27"/>
  <c r="Q170" i="27"/>
  <c r="Q51" i="27"/>
  <c r="Q424" i="27"/>
  <c r="Q138" i="27"/>
  <c r="Q338" i="27"/>
  <c r="Q226" i="27"/>
  <c r="Q418" i="27"/>
  <c r="Q250" i="27"/>
  <c r="Q388" i="27"/>
  <c r="Q332" i="27"/>
  <c r="Q164" i="27"/>
  <c r="Q444" i="27"/>
  <c r="Q108" i="27"/>
  <c r="Q57" i="27"/>
  <c r="Q282" i="27"/>
  <c r="Q312" i="27"/>
  <c r="Q114" i="27"/>
  <c r="Q276" i="27"/>
  <c r="K1478" i="27"/>
  <c r="K1366" i="27"/>
  <c r="Q1211" i="27"/>
  <c r="Q1267" i="27"/>
  <c r="Q1791" i="27"/>
  <c r="Q1712" i="27"/>
  <c r="Q1679" i="27"/>
  <c r="Q1600" i="27"/>
  <c r="Q1567" i="27"/>
  <c r="Q1488" i="27"/>
  <c r="Q1455" i="27"/>
  <c r="Q1738" i="27"/>
  <c r="Q1709" i="27"/>
  <c r="Q1626" i="27"/>
  <c r="Q1597" i="27"/>
  <c r="Q1514" i="27"/>
  <c r="Q1485" i="27"/>
  <c r="Q1376" i="27"/>
  <c r="Q1373" i="27"/>
  <c r="Q1768" i="27"/>
  <c r="Q1735" i="27"/>
  <c r="Q1656" i="27"/>
  <c r="Q1623" i="27"/>
  <c r="Q1544" i="27"/>
  <c r="Q1511" i="27"/>
  <c r="Q1432" i="27"/>
  <c r="Q1402" i="27"/>
  <c r="Q1794" i="27"/>
  <c r="Q1765" i="27"/>
  <c r="Q1682" i="27"/>
  <c r="Q1653" i="27"/>
  <c r="Q1570" i="27"/>
  <c r="Q1541" i="27"/>
  <c r="Q1458" i="27"/>
  <c r="Q1429" i="27"/>
  <c r="Q1399" i="27"/>
  <c r="Q1538" i="27"/>
  <c r="Q1482" i="27"/>
  <c r="Q1426" i="27"/>
  <c r="Q1370" i="27"/>
  <c r="Q1788" i="27"/>
  <c r="Q1732" i="27"/>
  <c r="Q1762" i="27"/>
  <c r="Q1676" i="27"/>
  <c r="Q1620" i="27"/>
  <c r="Q1650" i="27"/>
  <c r="Q1564" i="27"/>
  <c r="Q1508" i="27"/>
  <c r="Q1594" i="27"/>
  <c r="Q1452" i="27"/>
  <c r="Q1396" i="27"/>
  <c r="Q1706" i="27"/>
  <c r="Q1339" i="27"/>
  <c r="Q1260" i="27"/>
  <c r="Q1227" i="27"/>
  <c r="Q1115" i="27"/>
  <c r="Q1036" i="27"/>
  <c r="Q1003" i="27"/>
  <c r="Q921" i="27"/>
  <c r="Q1257" i="27"/>
  <c r="Q1145" i="27"/>
  <c r="Q1033" i="27"/>
  <c r="Q1316" i="27"/>
  <c r="Q1283" i="27"/>
  <c r="Q1204" i="27"/>
  <c r="Q1171" i="27"/>
  <c r="Q1092" i="27"/>
  <c r="Q1059" i="27"/>
  <c r="Q1313" i="27"/>
  <c r="Q1201" i="27"/>
  <c r="Q1089" i="27"/>
  <c r="Q977" i="27"/>
  <c r="Q947" i="27"/>
  <c r="Q924" i="27"/>
  <c r="Q1062" i="27"/>
  <c r="Q950" i="27"/>
  <c r="Q944" i="27"/>
  <c r="Q1000" i="27"/>
  <c r="Q1342" i="27"/>
  <c r="Q1280" i="27"/>
  <c r="Q1174" i="27"/>
  <c r="Q1112" i="27"/>
  <c r="Q1336" i="27"/>
  <c r="Q1230" i="27"/>
  <c r="Q1286" i="27"/>
  <c r="Q1168" i="27"/>
  <c r="Q1056" i="27"/>
  <c r="Q1006" i="27"/>
  <c r="Q1224" i="27"/>
  <c r="Q1118" i="27"/>
  <c r="B70" i="5"/>
  <c r="G493" i="27"/>
  <c r="O989" i="27"/>
  <c r="O1128" i="27"/>
  <c r="O1101" i="27"/>
  <c r="O1016" i="27"/>
  <c r="M1380" i="27"/>
  <c r="M1548" i="27"/>
  <c r="M1436" i="27"/>
  <c r="M1492" i="27"/>
  <c r="Q1386" i="27"/>
  <c r="Q1412" i="27"/>
  <c r="Q1722" i="27"/>
  <c r="Q1610" i="27"/>
  <c r="Q1498" i="27"/>
  <c r="Q1778" i="27"/>
  <c r="Q1692" i="27"/>
  <c r="Q1636" i="27"/>
  <c r="Q1554" i="27"/>
  <c r="Q1468" i="27"/>
  <c r="Q1804" i="27"/>
  <c r="Q1580" i="27"/>
  <c r="Q1666" i="27"/>
  <c r="Q1442" i="27"/>
  <c r="Q1748" i="27"/>
  <c r="Q1524" i="27"/>
  <c r="Q1689" i="27"/>
  <c r="Q1445" i="27"/>
  <c r="Q1807" i="27"/>
  <c r="Q1639" i="27"/>
  <c r="Q1383" i="27"/>
  <c r="Q1725" i="27"/>
  <c r="Q1577" i="27"/>
  <c r="Q1607" i="27"/>
  <c r="Q1669" i="27"/>
  <c r="Q1633" i="27"/>
  <c r="Q1751" i="27"/>
  <c r="Q1527" i="27"/>
  <c r="Q1521" i="27"/>
  <c r="Q1583" i="27"/>
  <c r="Q1465" i="27"/>
  <c r="Q1439" i="27"/>
  <c r="Q1501" i="27"/>
  <c r="Q1695" i="27"/>
  <c r="Q1613" i="27"/>
  <c r="Q1801" i="27"/>
  <c r="Q1745" i="27"/>
  <c r="Q1415" i="27"/>
  <c r="Q1781" i="27"/>
  <c r="Q1471" i="27"/>
  <c r="Q1495" i="27"/>
  <c r="Q1389" i="27"/>
  <c r="Q1409" i="27"/>
  <c r="Q1775" i="27"/>
  <c r="Q1551" i="27"/>
  <c r="Q1557" i="27"/>
  <c r="Q1719" i="27"/>
  <c r="Q1663" i="27"/>
  <c r="Q1217" i="27"/>
  <c r="Q1142" i="27"/>
  <c r="O648" i="27"/>
  <c r="O563" i="27"/>
  <c r="BT563" i="27" s="1"/>
  <c r="O536" i="27"/>
  <c r="BT536" i="27" s="1"/>
  <c r="O675" i="27"/>
  <c r="Q934" i="27"/>
  <c r="Q960" i="27"/>
  <c r="Q1270" i="27"/>
  <c r="Q1158" i="27"/>
  <c r="Q1046" i="27"/>
  <c r="Q1072" i="27"/>
  <c r="Q1184" i="27"/>
  <c r="Q1102" i="27"/>
  <c r="Q990" i="27"/>
  <c r="Q1352" i="27"/>
  <c r="Q1016" i="27"/>
  <c r="Q1296" i="27"/>
  <c r="Q1214" i="27"/>
  <c r="Q1128" i="27"/>
  <c r="Q1131" i="27"/>
  <c r="Q1240" i="27"/>
  <c r="Q1326" i="27"/>
  <c r="Q957" i="27"/>
  <c r="Q1243" i="27"/>
  <c r="Q1349" i="27"/>
  <c r="Q963" i="27"/>
  <c r="Q1069" i="27"/>
  <c r="Q1299" i="27"/>
  <c r="Q1355" i="27"/>
  <c r="Q1125" i="27"/>
  <c r="Q1075" i="27"/>
  <c r="Q1293" i="27"/>
  <c r="Q1237" i="27"/>
  <c r="Q1019" i="27"/>
  <c r="Q1187" i="27"/>
  <c r="Q1181" i="27"/>
  <c r="Q1013" i="27"/>
  <c r="Q937" i="27"/>
  <c r="Q993" i="27"/>
  <c r="Q1254" i="27"/>
  <c r="O1636" i="27"/>
  <c r="O1609" i="27"/>
  <c r="O1748" i="27"/>
  <c r="O1721" i="27"/>
  <c r="K1138" i="27"/>
  <c r="K1250" i="27"/>
  <c r="B75" i="5"/>
  <c r="I525" i="27" s="1"/>
  <c r="I469" i="27"/>
  <c r="O391" i="27"/>
  <c r="O279" i="27"/>
  <c r="O364" i="27"/>
  <c r="O252" i="27"/>
  <c r="M1040" i="27"/>
  <c r="M984" i="27"/>
  <c r="M1096" i="27"/>
  <c r="M928" i="27"/>
  <c r="K1590" i="27"/>
  <c r="K1702" i="27"/>
  <c r="Q1155" i="27"/>
  <c r="Q1105" i="27"/>
  <c r="Q974" i="27"/>
  <c r="M587" i="27"/>
  <c r="BR587" i="27" s="1"/>
  <c r="M191" i="27"/>
  <c r="M78" i="27"/>
  <c r="BM78" i="27" s="1"/>
  <c r="M135" i="27"/>
  <c r="K1026" i="27"/>
  <c r="K914" i="27"/>
  <c r="O843" i="27"/>
  <c r="O731" i="27"/>
  <c r="O816" i="27"/>
  <c r="O704" i="27"/>
  <c r="B18" i="5"/>
  <c r="G265" i="27"/>
  <c r="K1758" i="27"/>
  <c r="K1646" i="27"/>
  <c r="Q471" i="27"/>
  <c r="Q833" i="27"/>
  <c r="Q804" i="27"/>
  <c r="Q721" i="27"/>
  <c r="Q692" i="27"/>
  <c r="Q609" i="27"/>
  <c r="Q580" i="27"/>
  <c r="BV580" i="27" s="1"/>
  <c r="Q497" i="27"/>
  <c r="Q639" i="27"/>
  <c r="Q553" i="27"/>
  <c r="BV553" i="27" s="1"/>
  <c r="Q468" i="27"/>
  <c r="Q886" i="27"/>
  <c r="Q751" i="27"/>
  <c r="Q665" i="27"/>
  <c r="Q583" i="27"/>
  <c r="BV583" i="27" s="1"/>
  <c r="Q494" i="27"/>
  <c r="Q830" i="27"/>
  <c r="Q748" i="27"/>
  <c r="Q662" i="27"/>
  <c r="Q863" i="27"/>
  <c r="Q777" i="27"/>
  <c r="Q695" i="27"/>
  <c r="Q606" i="27"/>
  <c r="Q524" i="27"/>
  <c r="Q860" i="27"/>
  <c r="Q889" i="27"/>
  <c r="Q636" i="27"/>
  <c r="Q718" i="27"/>
  <c r="Q807" i="27"/>
  <c r="Q774" i="27"/>
  <c r="Q550" i="27"/>
  <c r="BV550" i="27" s="1"/>
  <c r="Q527" i="27"/>
  <c r="Q689" i="27"/>
  <c r="Q659" i="27"/>
  <c r="Q603" i="27"/>
  <c r="Q547" i="27"/>
  <c r="BV547" i="27" s="1"/>
  <c r="Q857" i="27"/>
  <c r="Q801" i="27"/>
  <c r="Q521" i="27"/>
  <c r="Q771" i="27"/>
  <c r="Q715" i="27"/>
  <c r="Q745" i="27"/>
  <c r="Q491" i="27"/>
  <c r="Q633" i="27"/>
  <c r="Q883" i="27"/>
  <c r="Q465" i="27"/>
  <c r="Q577" i="27"/>
  <c r="Q827" i="27"/>
  <c r="Q1043" i="27"/>
  <c r="Q1323" i="27"/>
  <c r="Q1086" i="27"/>
  <c r="B72" i="5"/>
  <c r="G826" i="27" s="1"/>
  <c r="G717" i="27"/>
  <c r="O1524" i="27"/>
  <c r="O1497" i="27"/>
  <c r="O1385" i="27"/>
  <c r="O1412" i="27"/>
  <c r="O1269" i="27"/>
  <c r="O1184" i="27"/>
  <c r="O1157" i="27"/>
  <c r="O1296" i="27"/>
  <c r="K1194" i="27"/>
  <c r="K1306" i="27"/>
  <c r="Q408" i="27"/>
  <c r="Q210" i="27"/>
  <c r="Q378" i="27"/>
  <c r="Q266" i="27"/>
  <c r="Q98" i="27"/>
  <c r="Q296" i="27"/>
  <c r="Q128" i="27"/>
  <c r="Q41" i="27"/>
  <c r="Q322" i="27"/>
  <c r="Q154" i="27"/>
  <c r="Q352" i="27"/>
  <c r="Q240" i="27"/>
  <c r="Q349" i="27"/>
  <c r="Q237" i="27"/>
  <c r="Q18" i="27"/>
  <c r="Q184" i="27"/>
  <c r="Q293" i="27"/>
  <c r="Q125" i="27"/>
  <c r="Q15" i="27"/>
  <c r="Q181" i="27"/>
  <c r="Q71" i="27"/>
  <c r="BQ71" i="27" s="1"/>
  <c r="Q434" i="27"/>
  <c r="Q68" i="27"/>
  <c r="BQ68" i="27" s="1"/>
  <c r="Q263" i="27"/>
  <c r="Q381" i="27"/>
  <c r="Q151" i="27"/>
  <c r="Q207" i="27"/>
  <c r="Q431" i="27"/>
  <c r="Q437" i="27"/>
  <c r="Q38" i="27"/>
  <c r="Q95" i="27"/>
  <c r="Q12" i="27"/>
  <c r="Q319" i="27"/>
  <c r="Q213" i="27"/>
  <c r="Q325" i="27"/>
  <c r="Q269" i="27"/>
  <c r="Q157" i="27"/>
  <c r="Q375" i="27"/>
  <c r="Q405" i="27"/>
  <c r="Q101" i="27"/>
  <c r="Q44" i="27"/>
  <c r="Q918" i="27"/>
  <c r="Q931" i="27"/>
  <c r="Q1198" i="27"/>
  <c r="X1744" i="27"/>
  <c r="X1718" i="27"/>
  <c r="X1507" i="27"/>
  <c r="X1481" i="27"/>
  <c r="X1348" i="27"/>
  <c r="X1322" i="27"/>
  <c r="X1111" i="27"/>
  <c r="X1085" i="27"/>
  <c r="X744" i="27"/>
  <c r="X714" i="27"/>
  <c r="X688" i="27"/>
  <c r="X503" i="27"/>
  <c r="X477" i="27"/>
  <c r="X219" i="27"/>
  <c r="X1688" i="27"/>
  <c r="X1662" i="27"/>
  <c r="X1632" i="27"/>
  <c r="X1606" i="27"/>
  <c r="X1395" i="27"/>
  <c r="X1369" i="27"/>
  <c r="X1236" i="27"/>
  <c r="X1210" i="27"/>
  <c r="X999" i="27"/>
  <c r="X973" i="27"/>
  <c r="X839" i="27"/>
  <c r="X813" i="27"/>
  <c r="X602" i="27"/>
  <c r="X576" i="27"/>
  <c r="CF576" i="27" s="1"/>
  <c r="X443" i="27"/>
  <c r="X417" i="27"/>
  <c r="X348" i="27"/>
  <c r="X1787" i="27"/>
  <c r="X1761" i="27"/>
  <c r="X1576" i="27"/>
  <c r="X1550" i="27"/>
  <c r="X1180" i="27"/>
  <c r="X1154" i="27"/>
  <c r="X943" i="27"/>
  <c r="X783" i="27"/>
  <c r="X757" i="27"/>
  <c r="X546" i="27"/>
  <c r="CF546" i="27" s="1"/>
  <c r="X520" i="27"/>
  <c r="X275" i="27"/>
  <c r="X206" i="27"/>
  <c r="X1675" i="27"/>
  <c r="X1649" i="27"/>
  <c r="X1464" i="27"/>
  <c r="X1438" i="27"/>
  <c r="X1279" i="27"/>
  <c r="X1253" i="27"/>
  <c r="X1068" i="27"/>
  <c r="X1042" i="27"/>
  <c r="X917" i="27"/>
  <c r="X882" i="27"/>
  <c r="X856" i="27"/>
  <c r="X671" i="27"/>
  <c r="X645" i="27"/>
  <c r="X404" i="27"/>
  <c r="X1619" i="27"/>
  <c r="X1593" i="27"/>
  <c r="X1408" i="27"/>
  <c r="X1382" i="27"/>
  <c r="X1223" i="27"/>
  <c r="X1197" i="27"/>
  <c r="X1012" i="27"/>
  <c r="X986" i="27"/>
  <c r="X826" i="27"/>
  <c r="X800" i="27"/>
  <c r="X615" i="27"/>
  <c r="X589" i="27"/>
  <c r="CF589" i="27" s="1"/>
  <c r="X430" i="27"/>
  <c r="X331" i="27"/>
  <c r="X262" i="27"/>
  <c r="X124" i="27"/>
  <c r="X11" i="27"/>
  <c r="X318" i="27"/>
  <c r="X249" i="27"/>
  <c r="X193" i="27"/>
  <c r="X80" i="27"/>
  <c r="X1705" i="27"/>
  <c r="X1266" i="27"/>
  <c r="X1800" i="27"/>
  <c r="X1520" i="27"/>
  <c r="X1335" i="27"/>
  <c r="X1292" i="27"/>
  <c r="X1098" i="27"/>
  <c r="X1055" i="27"/>
  <c r="X727" i="27"/>
  <c r="X490" i="27"/>
  <c r="X387" i="27"/>
  <c r="X305" i="27"/>
  <c r="X150" i="27"/>
  <c r="X37" i="27"/>
  <c r="X1537" i="27"/>
  <c r="X50" i="27"/>
  <c r="X1731" i="27"/>
  <c r="X1563" i="27"/>
  <c r="X1425" i="27"/>
  <c r="X1141" i="27"/>
  <c r="X956" i="27"/>
  <c r="X869" i="27"/>
  <c r="X770" i="27"/>
  <c r="X632" i="27"/>
  <c r="X533" i="27"/>
  <c r="CF533" i="27" s="1"/>
  <c r="X374" i="27"/>
  <c r="X292" i="27"/>
  <c r="X236" i="27"/>
  <c r="X107" i="27"/>
  <c r="X361" i="27"/>
  <c r="X180" i="27"/>
  <c r="X67" i="27"/>
  <c r="X1774" i="27"/>
  <c r="X137" i="27"/>
  <c r="X24" i="27"/>
  <c r="X1494" i="27"/>
  <c r="X1451" i="27"/>
  <c r="X1309" i="27"/>
  <c r="X1124" i="27"/>
  <c r="X895" i="27"/>
  <c r="X701" i="27"/>
  <c r="X658" i="27"/>
  <c r="X464" i="27"/>
  <c r="X94" i="27"/>
  <c r="X1167" i="27"/>
  <c r="X1029" i="27"/>
  <c r="X930" i="27"/>
  <c r="X559" i="27"/>
  <c r="CF559" i="27" s="1"/>
  <c r="X163" i="27"/>
  <c r="B16" i="5"/>
  <c r="B21" i="5"/>
  <c r="D134" i="5" s="1"/>
  <c r="B149" i="5"/>
  <c r="B203" i="5"/>
  <c r="B147" i="5"/>
  <c r="B201" i="5"/>
  <c r="B173" i="5"/>
  <c r="B227" i="5"/>
  <c r="B60" i="5"/>
  <c r="B114" i="5"/>
  <c r="B122" i="5"/>
  <c r="C910" i="27" s="1"/>
  <c r="B9" i="5"/>
  <c r="C4" i="27" s="1"/>
  <c r="B139" i="5"/>
  <c r="I1258" i="27" s="1"/>
  <c r="B26" i="5"/>
  <c r="B80" i="5"/>
  <c r="B193" i="5"/>
  <c r="I1710" i="27" s="1"/>
  <c r="B171" i="5"/>
  <c r="B225" i="5"/>
  <c r="B58" i="5"/>
  <c r="B112" i="5"/>
  <c r="B152" i="5"/>
  <c r="B206" i="5"/>
  <c r="B39" i="5"/>
  <c r="D152" i="5" s="1"/>
  <c r="F152" i="5" s="1"/>
  <c r="B93" i="5"/>
  <c r="B134" i="5"/>
  <c r="I978" i="27" s="1"/>
  <c r="B188" i="5"/>
  <c r="I1430" i="27" s="1"/>
  <c r="B145" i="5"/>
  <c r="B199" i="5"/>
  <c r="B143" i="5"/>
  <c r="B197" i="5"/>
  <c r="B20" i="26"/>
  <c r="G9" i="26" s="1"/>
  <c r="B6" i="26"/>
  <c r="B118" i="5"/>
  <c r="B26" i="26"/>
  <c r="B125" i="5" s="1"/>
  <c r="B10" i="26"/>
  <c r="E1207" i="27" l="1"/>
  <c r="F134" i="5"/>
  <c r="A1008" i="27"/>
  <c r="B103" i="27"/>
  <c r="C103" i="27" s="1"/>
  <c r="F118" i="5"/>
  <c r="F145" i="5"/>
  <c r="D143" i="5"/>
  <c r="F143" i="5" s="1"/>
  <c r="K27" i="27"/>
  <c r="Q586" i="27"/>
  <c r="BV586" i="27" s="1"/>
  <c r="BV577" i="27"/>
  <c r="Q927" i="27"/>
  <c r="G374" i="27"/>
  <c r="D131" i="5"/>
  <c r="F131" i="5" s="1"/>
  <c r="Q302" i="27"/>
  <c r="Q1276" i="27"/>
  <c r="Q1177" i="27"/>
  <c r="Q1319" i="27"/>
  <c r="Q1207" i="27"/>
  <c r="Q1246" i="27"/>
  <c r="Q754" i="27"/>
  <c r="Q285" i="27"/>
  <c r="U3" i="27"/>
  <c r="Q341" i="27"/>
  <c r="B4" i="29"/>
  <c r="B5" i="29"/>
  <c r="K196" i="27"/>
  <c r="K83" i="27"/>
  <c r="BK83" i="27" s="1"/>
  <c r="Q1461" i="27"/>
  <c r="K536" i="27"/>
  <c r="BP536" i="27" s="1"/>
  <c r="K648" i="27"/>
  <c r="G26" i="26"/>
  <c r="B66" i="5" s="1"/>
  <c r="Q1039" i="27"/>
  <c r="Q1573" i="27"/>
  <c r="Q625" i="27"/>
  <c r="Q905" i="27"/>
  <c r="K816" i="27"/>
  <c r="K704" i="27"/>
  <c r="K760" i="27"/>
  <c r="K872" i="27"/>
  <c r="Q1095" i="27"/>
  <c r="Q500" i="27"/>
  <c r="Q1491" i="27"/>
  <c r="Q315" i="27"/>
  <c r="Q1065" i="27"/>
  <c r="K140" i="27"/>
  <c r="K592" i="27"/>
  <c r="BP592" i="27" s="1"/>
  <c r="K364" i="27"/>
  <c r="K252" i="27"/>
  <c r="Q1121" i="27"/>
  <c r="Q229" i="27"/>
  <c r="Q134" i="27"/>
  <c r="Q698" i="27"/>
  <c r="Q780" i="27"/>
  <c r="Q1009" i="27"/>
  <c r="Q440" i="27"/>
  <c r="Q642" i="27"/>
  <c r="Q1220" i="27"/>
  <c r="Q599" i="27"/>
  <c r="BV599" i="27" s="1"/>
  <c r="Q668" i="27"/>
  <c r="Q1547" i="27"/>
  <c r="Q983" i="27"/>
  <c r="Q1358" i="27"/>
  <c r="Q1418" i="27"/>
  <c r="Q793" i="27"/>
  <c r="U909" i="27"/>
  <c r="Q530" i="27"/>
  <c r="BV530" i="27" s="1"/>
  <c r="Q1190" i="27"/>
  <c r="Q1530" i="27"/>
  <c r="Q1642" i="27"/>
  <c r="Q1151" i="27"/>
  <c r="Q1517" i="27"/>
  <c r="Q1164" i="27"/>
  <c r="Q1659" i="27"/>
  <c r="Q397" i="27"/>
  <c r="Q328" i="27"/>
  <c r="Q1784" i="27"/>
  <c r="Q1629" i="27"/>
  <c r="Q259" i="27"/>
  <c r="Q849" i="27"/>
  <c r="Q724" i="27"/>
  <c r="Q1560" i="27"/>
  <c r="Q1685" i="27"/>
  <c r="Q1108" i="27"/>
  <c r="Q1405" i="27"/>
  <c r="Q104" i="27"/>
  <c r="Q1603" i="27"/>
  <c r="K1213" i="27"/>
  <c r="K1325" i="27"/>
  <c r="Q569" i="27"/>
  <c r="BV569" i="27" s="1"/>
  <c r="K1441" i="27"/>
  <c r="K1553" i="27"/>
  <c r="K1665" i="27"/>
  <c r="K1777" i="27"/>
  <c r="Q272" i="27"/>
  <c r="Q190" i="27"/>
  <c r="Q612" i="27"/>
  <c r="Q996" i="27"/>
  <c r="Q1078" i="27"/>
  <c r="Q1474" i="27"/>
  <c r="Q1233" i="27"/>
  <c r="Q953" i="27"/>
  <c r="Q147" i="27"/>
  <c r="Q90" i="27"/>
  <c r="Q1052" i="27"/>
  <c r="Q681" i="27"/>
  <c r="K1101" i="27"/>
  <c r="K989" i="27"/>
  <c r="Q216" i="27"/>
  <c r="Q1586" i="27"/>
  <c r="Q1728" i="27"/>
  <c r="Q1715" i="27"/>
  <c r="Q60" i="27"/>
  <c r="Q823" i="27"/>
  <c r="Q513" i="27"/>
  <c r="Q47" i="27"/>
  <c r="Q384" i="27"/>
  <c r="Q836" i="27"/>
  <c r="Q1302" i="27"/>
  <c r="Q1134" i="27"/>
  <c r="Q1771" i="27"/>
  <c r="Q453" i="27"/>
  <c r="Q1741" i="27"/>
  <c r="Q34" i="27"/>
  <c r="Q737" i="27"/>
  <c r="Q767" i="27"/>
  <c r="M551" i="27"/>
  <c r="BR551" i="27" s="1"/>
  <c r="M663" i="27"/>
  <c r="M495" i="27"/>
  <c r="M607" i="27"/>
  <c r="M99" i="27"/>
  <c r="M42" i="27"/>
  <c r="M155" i="27"/>
  <c r="M211" i="27"/>
  <c r="B81" i="5"/>
  <c r="I861" i="27" s="1"/>
  <c r="I805" i="27"/>
  <c r="Q414" i="27"/>
  <c r="Q77" i="27"/>
  <c r="BQ77" i="27" s="1"/>
  <c r="Q474" i="27"/>
  <c r="Q810" i="27"/>
  <c r="Q1022" i="27"/>
  <c r="Q966" i="27"/>
  <c r="Q1616" i="27"/>
  <c r="Q1754" i="27"/>
  <c r="Q1810" i="27"/>
  <c r="Q1345" i="27"/>
  <c r="Q1797" i="27"/>
  <c r="Q427" i="27"/>
  <c r="Q655" i="27"/>
  <c r="Q543" i="27"/>
  <c r="BV543" i="27" s="1"/>
  <c r="G602" i="27"/>
  <c r="G150" i="27"/>
  <c r="K1497" i="27"/>
  <c r="K1385" i="27"/>
  <c r="M1456" i="27"/>
  <c r="M1512" i="27"/>
  <c r="M1568" i="27"/>
  <c r="M1400" i="27"/>
  <c r="B27" i="5"/>
  <c r="I409" i="27" s="1"/>
  <c r="K409" i="27" s="1"/>
  <c r="I353" i="27"/>
  <c r="K1721" i="27"/>
  <c r="K1609" i="27"/>
  <c r="Q246" i="27"/>
  <c r="Q892" i="27"/>
  <c r="Q866" i="27"/>
  <c r="Q1392" i="27"/>
  <c r="Q1698" i="27"/>
  <c r="Q1448" i="27"/>
  <c r="Q1379" i="27"/>
  <c r="Q371" i="27"/>
  <c r="Q1332" i="27"/>
  <c r="Q879" i="27"/>
  <c r="Q940" i="27"/>
  <c r="K1045" i="27"/>
  <c r="K933" i="27"/>
  <c r="M1116" i="27"/>
  <c r="M948" i="27"/>
  <c r="M1004" i="27"/>
  <c r="M1060" i="27"/>
  <c r="K1269" i="27"/>
  <c r="K1157" i="27"/>
  <c r="Q160" i="27"/>
  <c r="Q358" i="27"/>
  <c r="Q556" i="27"/>
  <c r="BV556" i="27" s="1"/>
  <c r="Q1263" i="27"/>
  <c r="Q1504" i="27"/>
  <c r="Q1672" i="27"/>
  <c r="Q1289" i="27"/>
  <c r="Q1435" i="27"/>
  <c r="Q117" i="27"/>
  <c r="Q173" i="27"/>
  <c r="Q203" i="27"/>
  <c r="Q487" i="27"/>
  <c r="Q711" i="27"/>
  <c r="I72" i="27"/>
  <c r="BI72" i="27" s="1"/>
  <c r="B119" i="5"/>
  <c r="A1460" i="27" s="1"/>
  <c r="B123" i="5"/>
  <c r="B10" i="5"/>
  <c r="B63" i="5"/>
  <c r="C457" i="27" s="1"/>
  <c r="U456" i="27" s="1"/>
  <c r="B176" i="5"/>
  <c r="C1362" i="27" s="1"/>
  <c r="E984" i="27"/>
  <c r="B12" i="5"/>
  <c r="E78" i="27" s="1"/>
  <c r="G10" i="26"/>
  <c r="D13" i="11"/>
  <c r="B245" i="5" s="1"/>
  <c r="K462" i="27" s="1"/>
  <c r="B179" i="5" l="1"/>
  <c r="E1436" i="27" s="1"/>
  <c r="C148" i="27"/>
  <c r="D123" i="5"/>
  <c r="F123" i="5" s="1"/>
  <c r="C1053" i="27"/>
  <c r="U1305" i="27" s="1"/>
  <c r="AA1305" i="27" s="1"/>
  <c r="D148" i="27"/>
  <c r="E148" i="27" s="1"/>
  <c r="AA3" i="27"/>
  <c r="AA456" i="27"/>
  <c r="I374" i="27"/>
  <c r="AA909" i="27"/>
  <c r="U1025" i="27"/>
  <c r="U969" i="27"/>
  <c r="U913" i="27"/>
  <c r="U1361" i="27"/>
  <c r="U923" i="27"/>
  <c r="U930" i="27"/>
  <c r="U946" i="27"/>
  <c r="U939" i="27"/>
  <c r="U965" i="27"/>
  <c r="U962" i="27"/>
  <c r="U995" i="27"/>
  <c r="U1015" i="27"/>
  <c r="U1012" i="27"/>
  <c r="U1002" i="27"/>
  <c r="U976" i="27"/>
  <c r="U999" i="27"/>
  <c r="U1051" i="27"/>
  <c r="U1042" i="27"/>
  <c r="U1032" i="27"/>
  <c r="U1048" i="27"/>
  <c r="U1045" i="27"/>
  <c r="U1029" i="27"/>
  <c r="U1091" i="27"/>
  <c r="U1114" i="27"/>
  <c r="U1088" i="27"/>
  <c r="U1101" i="27"/>
  <c r="U1124" i="27"/>
  <c r="U1133" i="27"/>
  <c r="U1189" i="27"/>
  <c r="U1180" i="27"/>
  <c r="U1170" i="27"/>
  <c r="U1154" i="27"/>
  <c r="U1173" i="27"/>
  <c r="U1150" i="27"/>
  <c r="U1351" i="27"/>
  <c r="U1357" i="27"/>
  <c r="U1348" i="27"/>
  <c r="U1338" i="27"/>
  <c r="U1312" i="27"/>
  <c r="U1335" i="27"/>
  <c r="K915" i="27"/>
  <c r="K1759" i="27"/>
  <c r="W1757" i="27" s="1"/>
  <c r="K1307" i="27"/>
  <c r="K854" i="27"/>
  <c r="K402" i="27"/>
  <c r="K1703" i="27"/>
  <c r="W1701" i="27" s="1"/>
  <c r="K1251" i="27"/>
  <c r="K798" i="27"/>
  <c r="K346" i="27"/>
  <c r="K1647" i="27"/>
  <c r="K1195" i="27"/>
  <c r="K742" i="27"/>
  <c r="K290" i="27"/>
  <c r="K1535" i="27"/>
  <c r="K630" i="27"/>
  <c r="K1027" i="27"/>
  <c r="K122" i="27"/>
  <c r="K1591" i="27"/>
  <c r="K1139" i="27"/>
  <c r="K686" i="27"/>
  <c r="K234" i="27"/>
  <c r="K1083" i="27"/>
  <c r="K178" i="27"/>
  <c r="K1479" i="27"/>
  <c r="K574" i="27"/>
  <c r="BP574" i="27" s="1"/>
  <c r="K1423" i="27"/>
  <c r="K971" i="27"/>
  <c r="K518" i="27"/>
  <c r="K65" i="27"/>
  <c r="BK65" i="27" s="1"/>
  <c r="K1367" i="27"/>
  <c r="C459" i="27"/>
  <c r="K9" i="27"/>
  <c r="U1282" i="27"/>
  <c r="U1298" i="27"/>
  <c r="U1301" i="27"/>
  <c r="U1262" i="27"/>
  <c r="U1259" i="27"/>
  <c r="U1253" i="27"/>
  <c r="U1213" i="27"/>
  <c r="U1236" i="27"/>
  <c r="U1210" i="27"/>
  <c r="U1226" i="27"/>
  <c r="U1200" i="27"/>
  <c r="U1223" i="27"/>
  <c r="B67" i="5"/>
  <c r="E754" i="27" s="1"/>
  <c r="E531" i="27"/>
  <c r="C5" i="27"/>
  <c r="C1363" i="27"/>
  <c r="W1361" i="27" s="1"/>
  <c r="C458" i="27"/>
  <c r="C911" i="27"/>
  <c r="B13" i="5"/>
  <c r="B177" i="5"/>
  <c r="C1505" i="27" s="1"/>
  <c r="U1569" i="27" s="1"/>
  <c r="B64" i="5"/>
  <c r="C600" i="27" s="1"/>
  <c r="BH600" i="27" s="1"/>
  <c r="CG600" i="27" s="1"/>
  <c r="U1245" i="27" l="1"/>
  <c r="U1206" i="27"/>
  <c r="U1256" i="27"/>
  <c r="U1292" i="27"/>
  <c r="U1331" i="27"/>
  <c r="U1344" i="27"/>
  <c r="AA1344" i="27" s="1"/>
  <c r="U1144" i="27"/>
  <c r="U1183" i="27"/>
  <c r="U1104" i="27"/>
  <c r="U1098" i="27"/>
  <c r="U1061" i="27"/>
  <c r="U1058" i="27"/>
  <c r="U986" i="27"/>
  <c r="U979" i="27"/>
  <c r="U949" i="27"/>
  <c r="U936" i="27"/>
  <c r="U1219" i="27"/>
  <c r="U1232" i="27"/>
  <c r="U1275" i="27"/>
  <c r="U1288" i="27"/>
  <c r="U1309" i="27"/>
  <c r="U1322" i="27"/>
  <c r="AA1322" i="27" s="1"/>
  <c r="U1147" i="27"/>
  <c r="U1186" i="27"/>
  <c r="U1107" i="27"/>
  <c r="U1130" i="27"/>
  <c r="U1071" i="27"/>
  <c r="U1038" i="27"/>
  <c r="AA1038" i="27" s="1"/>
  <c r="U973" i="27"/>
  <c r="AA973" i="27" s="1"/>
  <c r="U1005" i="27"/>
  <c r="U933" i="27"/>
  <c r="U920" i="27"/>
  <c r="V908" i="27" s="1"/>
  <c r="U1137" i="27"/>
  <c r="U1197" i="27"/>
  <c r="U1239" i="27"/>
  <c r="U1266" i="27"/>
  <c r="U1285" i="27"/>
  <c r="U1354" i="27"/>
  <c r="U1176" i="27"/>
  <c r="U1055" i="27"/>
  <c r="U917" i="27"/>
  <c r="U1216" i="27"/>
  <c r="U1203" i="27"/>
  <c r="U1272" i="27"/>
  <c r="U1269" i="27"/>
  <c r="U1325" i="27"/>
  <c r="U1341" i="27"/>
  <c r="U1141" i="27"/>
  <c r="AA1141" i="27" s="1"/>
  <c r="U1160" i="27"/>
  <c r="U1094" i="27"/>
  <c r="U1111" i="27"/>
  <c r="U1249" i="27"/>
  <c r="U1074" i="27"/>
  <c r="U1077" i="27"/>
  <c r="U1018" i="27"/>
  <c r="U1008" i="27"/>
  <c r="U943" i="27"/>
  <c r="U926" i="27"/>
  <c r="U1315" i="27"/>
  <c r="U1157" i="27"/>
  <c r="U1085" i="27"/>
  <c r="U1117" i="27"/>
  <c r="U1068" i="27"/>
  <c r="U989" i="27"/>
  <c r="U982" i="27"/>
  <c r="U952" i="27"/>
  <c r="U1193" i="27"/>
  <c r="AA1193" i="27" s="1"/>
  <c r="U1242" i="27"/>
  <c r="U1229" i="27"/>
  <c r="U1279" i="27"/>
  <c r="U1295" i="27"/>
  <c r="U1328" i="27"/>
  <c r="U1318" i="27"/>
  <c r="U1167" i="27"/>
  <c r="U1163" i="27"/>
  <c r="U1127" i="27"/>
  <c r="U1120" i="27"/>
  <c r="U1035" i="27"/>
  <c r="U1064" i="27"/>
  <c r="U992" i="27"/>
  <c r="U1021" i="27"/>
  <c r="U1081" i="27"/>
  <c r="U959" i="27"/>
  <c r="U956" i="27"/>
  <c r="U1457" i="27"/>
  <c r="BJ531" i="27"/>
  <c r="CI531" i="27" s="1"/>
  <c r="U552" i="27"/>
  <c r="U565" i="27"/>
  <c r="E302" i="27"/>
  <c r="U255" i="27" s="1"/>
  <c r="D126" i="5"/>
  <c r="F126" i="5" s="1"/>
  <c r="U67" i="27"/>
  <c r="BE78" i="27"/>
  <c r="AA1249" i="27"/>
  <c r="AA969" i="27"/>
  <c r="AA1361" i="27"/>
  <c r="AA1137" i="27"/>
  <c r="Z1361" i="27"/>
  <c r="U602" i="27"/>
  <c r="U133" i="27"/>
  <c r="U658" i="27"/>
  <c r="U635" i="27"/>
  <c r="U1582" i="27"/>
  <c r="U1770" i="27"/>
  <c r="U1454" i="27"/>
  <c r="U1780" i="27"/>
  <c r="U608" i="27"/>
  <c r="U611" i="27"/>
  <c r="U1470" i="27"/>
  <c r="U1526" i="27"/>
  <c r="U1675" i="27"/>
  <c r="U1507" i="27"/>
  <c r="U1408" i="27"/>
  <c r="U225" i="27"/>
  <c r="U100" i="27"/>
  <c r="U1411" i="27"/>
  <c r="U1662" i="27"/>
  <c r="U1718" i="27"/>
  <c r="U1602" i="27"/>
  <c r="U180" i="27"/>
  <c r="U110" i="27"/>
  <c r="U1744" i="27"/>
  <c r="U1622" i="27"/>
  <c r="U130" i="27"/>
  <c r="U1559" i="27"/>
  <c r="U704" i="27"/>
  <c r="U730" i="27"/>
  <c r="U723" i="27"/>
  <c r="U701" i="27"/>
  <c r="U707" i="27"/>
  <c r="U747" i="27"/>
  <c r="U744" i="27"/>
  <c r="U717" i="27"/>
  <c r="U727" i="27"/>
  <c r="U733" i="27"/>
  <c r="U779" i="27"/>
  <c r="U760" i="27"/>
  <c r="U684" i="27"/>
  <c r="U792" i="27"/>
  <c r="U773" i="27"/>
  <c r="U753" i="27"/>
  <c r="U740" i="27"/>
  <c r="U766" i="27"/>
  <c r="U776" i="27"/>
  <c r="U710" i="27"/>
  <c r="U763" i="27"/>
  <c r="U688" i="27"/>
  <c r="U694" i="27"/>
  <c r="U750" i="27"/>
  <c r="U789" i="27"/>
  <c r="U714" i="27"/>
  <c r="U720" i="27"/>
  <c r="U757" i="27"/>
  <c r="U691" i="27"/>
  <c r="U736" i="27"/>
  <c r="U697" i="27"/>
  <c r="U770" i="27"/>
  <c r="U786" i="27"/>
  <c r="U783" i="27"/>
  <c r="AA965" i="27"/>
  <c r="U813" i="27"/>
  <c r="U806" i="27"/>
  <c r="U1477" i="27"/>
  <c r="AA1357" i="27"/>
  <c r="U1649" i="27"/>
  <c r="U1688" i="27"/>
  <c r="U1783" i="27"/>
  <c r="U1796" i="27"/>
  <c r="AA1098" i="27"/>
  <c r="U1490" i="27"/>
  <c r="U1494" i="27"/>
  <c r="U1724" i="27"/>
  <c r="U1721" i="27"/>
  <c r="AA1064" i="27"/>
  <c r="AA1021" i="27"/>
  <c r="U59" i="27"/>
  <c r="U677" i="27"/>
  <c r="U595" i="27"/>
  <c r="U605" i="27"/>
  <c r="U579" i="27"/>
  <c r="U1375" i="27"/>
  <c r="U1382" i="27"/>
  <c r="U1606" i="27"/>
  <c r="U1632" i="27"/>
  <c r="AA939" i="27"/>
  <c r="U215" i="27"/>
  <c r="U212" i="27"/>
  <c r="U163" i="27"/>
  <c r="U166" i="27"/>
  <c r="U143" i="27"/>
  <c r="U888" i="27"/>
  <c r="U856" i="27"/>
  <c r="U1425" i="27"/>
  <c r="U1428" i="27"/>
  <c r="U107" i="27"/>
  <c r="U86" i="27"/>
  <c r="U1572" i="27"/>
  <c r="U1537" i="27"/>
  <c r="AA1253" i="27"/>
  <c r="AA1348" i="27"/>
  <c r="U829" i="27"/>
  <c r="AA1197" i="27"/>
  <c r="AA1262" i="27"/>
  <c r="U1652" i="27"/>
  <c r="U1665" i="27"/>
  <c r="U1761" i="27"/>
  <c r="U1774" i="27"/>
  <c r="AA1107" i="27"/>
  <c r="U1500" i="27"/>
  <c r="U1503" i="27"/>
  <c r="U1727" i="27"/>
  <c r="U1731" i="27"/>
  <c r="AA986" i="27"/>
  <c r="U671" i="27"/>
  <c r="U674" i="27"/>
  <c r="U592" i="27"/>
  <c r="U615" i="27"/>
  <c r="U628" i="27"/>
  <c r="U1372" i="27"/>
  <c r="U1417" i="27"/>
  <c r="U1609" i="27"/>
  <c r="U1641" i="27"/>
  <c r="AA917" i="27"/>
  <c r="AA952" i="27"/>
  <c r="U189" i="27"/>
  <c r="U186" i="27"/>
  <c r="U124" i="27"/>
  <c r="U127" i="27"/>
  <c r="U140" i="27"/>
  <c r="U865" i="27"/>
  <c r="U878" i="27"/>
  <c r="U1447" i="27"/>
  <c r="U1464" i="27"/>
  <c r="U70" i="27"/>
  <c r="U89" i="27"/>
  <c r="U1556" i="27"/>
  <c r="U1546" i="27"/>
  <c r="AA1301" i="27"/>
  <c r="U842" i="27"/>
  <c r="U1579" i="27"/>
  <c r="U43" i="27"/>
  <c r="U819" i="27"/>
  <c r="U816" i="27"/>
  <c r="U46" i="27"/>
  <c r="AA1266" i="27"/>
  <c r="U1678" i="27"/>
  <c r="U1691" i="27"/>
  <c r="AA1150" i="27"/>
  <c r="U1787" i="27"/>
  <c r="U1800" i="27"/>
  <c r="AA1133" i="27"/>
  <c r="U1516" i="27"/>
  <c r="U1487" i="27"/>
  <c r="U1753" i="27"/>
  <c r="U1734" i="27"/>
  <c r="U638" i="27"/>
  <c r="U621" i="27"/>
  <c r="U589" i="27"/>
  <c r="U641" i="27"/>
  <c r="U572" i="27"/>
  <c r="U1385" i="27"/>
  <c r="U1401" i="27"/>
  <c r="U1612" i="27"/>
  <c r="U1635" i="27"/>
  <c r="AA943" i="27"/>
  <c r="AA926" i="27"/>
  <c r="U202" i="27"/>
  <c r="U193" i="27"/>
  <c r="U150" i="27"/>
  <c r="U169" i="27"/>
  <c r="AA1025" i="27"/>
  <c r="U895" i="27"/>
  <c r="U904" i="27"/>
  <c r="U1460" i="27"/>
  <c r="U1444" i="27"/>
  <c r="U94" i="27"/>
  <c r="U80" i="27"/>
  <c r="U1540" i="27"/>
  <c r="U1566" i="27"/>
  <c r="AA1236" i="27"/>
  <c r="AA1335" i="27"/>
  <c r="AA1163" i="27"/>
  <c r="AA1008" i="27"/>
  <c r="U885" i="27"/>
  <c r="U845" i="27"/>
  <c r="U1668" i="27"/>
  <c r="U1655" i="27"/>
  <c r="U40" i="27"/>
  <c r="AA1180" i="27"/>
  <c r="U1764" i="27"/>
  <c r="U1803" i="27"/>
  <c r="AA1124" i="27"/>
  <c r="U1484" i="27"/>
  <c r="U1497" i="27"/>
  <c r="U1708" i="27"/>
  <c r="U1737" i="27"/>
  <c r="AA1029" i="27"/>
  <c r="AA999" i="27"/>
  <c r="AA1012" i="27"/>
  <c r="U624" i="27"/>
  <c r="U598" i="27"/>
  <c r="U645" i="27"/>
  <c r="U664" i="27"/>
  <c r="U1391" i="27"/>
  <c r="U1404" i="27"/>
  <c r="U1615" i="27"/>
  <c r="U1638" i="27"/>
  <c r="AA1081" i="27"/>
  <c r="AA956" i="27"/>
  <c r="U206" i="27"/>
  <c r="U199" i="27"/>
  <c r="U159" i="27"/>
  <c r="U137" i="27"/>
  <c r="U872" i="27"/>
  <c r="U875" i="27"/>
  <c r="U852" i="27"/>
  <c r="U1441" i="27"/>
  <c r="U76" i="27"/>
  <c r="U1585" i="27"/>
  <c r="U1553" i="27"/>
  <c r="U835" i="27"/>
  <c r="AA1167" i="27"/>
  <c r="AA1077" i="27"/>
  <c r="U1365" i="27"/>
  <c r="U7" i="27"/>
  <c r="U27" i="27"/>
  <c r="U11" i="27"/>
  <c r="U30" i="27"/>
  <c r="U50" i="27"/>
  <c r="U37" i="27"/>
  <c r="U24" i="27"/>
  <c r="U14" i="27"/>
  <c r="U17" i="27"/>
  <c r="U800" i="27"/>
  <c r="U822" i="27"/>
  <c r="U796" i="27"/>
  <c r="AA1245" i="27"/>
  <c r="AA1206" i="27"/>
  <c r="AA1279" i="27"/>
  <c r="AA1318" i="27"/>
  <c r="U1694" i="27"/>
  <c r="U1681" i="27"/>
  <c r="U33" i="27"/>
  <c r="AA1154" i="27"/>
  <c r="AA1189" i="27"/>
  <c r="U1790" i="27"/>
  <c r="U1806" i="27"/>
  <c r="U1510" i="27"/>
  <c r="U1481" i="27"/>
  <c r="U1705" i="27"/>
  <c r="U1747" i="27"/>
  <c r="AA1042" i="27"/>
  <c r="U648" i="27"/>
  <c r="U680" i="27"/>
  <c r="U661" i="27"/>
  <c r="U654" i="27"/>
  <c r="U1398" i="27"/>
  <c r="U1395" i="27"/>
  <c r="U1593" i="27"/>
  <c r="U1619" i="27"/>
  <c r="U196" i="27"/>
  <c r="U222" i="27"/>
  <c r="U146" i="27"/>
  <c r="U156" i="27"/>
  <c r="U869" i="27"/>
  <c r="U862" i="27"/>
  <c r="U1467" i="27"/>
  <c r="U1473" i="27"/>
  <c r="U116" i="27"/>
  <c r="U83" i="27"/>
  <c r="U1543" i="27"/>
  <c r="U1550" i="27"/>
  <c r="AA930" i="27"/>
  <c r="U891" i="27"/>
  <c r="U826" i="27"/>
  <c r="U1421" i="27"/>
  <c r="AA1232" i="27"/>
  <c r="AA1292" i="27"/>
  <c r="AA1331" i="27"/>
  <c r="U1671" i="27"/>
  <c r="U1658" i="27"/>
  <c r="AA1176" i="27"/>
  <c r="U1767" i="27"/>
  <c r="U1809" i="27"/>
  <c r="AA1085" i="27"/>
  <c r="U1520" i="27"/>
  <c r="U1513" i="27"/>
  <c r="U1711" i="27"/>
  <c r="U1750" i="27"/>
  <c r="AA1051" i="27"/>
  <c r="AA995" i="27"/>
  <c r="U632" i="27"/>
  <c r="U582" i="27"/>
  <c r="U585" i="27"/>
  <c r="U1414" i="27"/>
  <c r="U1369" i="27"/>
  <c r="U1599" i="27"/>
  <c r="U1625" i="27"/>
  <c r="U219" i="27"/>
  <c r="U228" i="27"/>
  <c r="U176" i="27"/>
  <c r="U120" i="27"/>
  <c r="U901" i="27"/>
  <c r="U859" i="27"/>
  <c r="U1451" i="27"/>
  <c r="U1434" i="27"/>
  <c r="U113" i="27"/>
  <c r="U97" i="27"/>
  <c r="U63" i="27"/>
  <c r="U53" i="27"/>
  <c r="U839" i="27"/>
  <c r="AA1120" i="27"/>
  <c r="U1701" i="27"/>
  <c r="U1589" i="27"/>
  <c r="U1645" i="27"/>
  <c r="U1757" i="27"/>
  <c r="U832" i="27"/>
  <c r="U803" i="27"/>
  <c r="AA1219" i="27"/>
  <c r="U809" i="27"/>
  <c r="U848" i="27"/>
  <c r="U529" i="27"/>
  <c r="U568" i="27"/>
  <c r="U496" i="27"/>
  <c r="U506" i="27"/>
  <c r="U533" i="27"/>
  <c r="U549" i="27"/>
  <c r="U542" i="27"/>
  <c r="U464" i="27"/>
  <c r="U480" i="27"/>
  <c r="U460" i="27"/>
  <c r="U523" i="27"/>
  <c r="U516" i="27"/>
  <c r="U470" i="27"/>
  <c r="U467" i="27"/>
  <c r="U536" i="27"/>
  <c r="U559" i="27"/>
  <c r="U486" i="27"/>
  <c r="U503" i="27"/>
  <c r="U555" i="27"/>
  <c r="U526" i="27"/>
  <c r="U546" i="27"/>
  <c r="U483" i="27"/>
  <c r="U493" i="27"/>
  <c r="U539" i="27"/>
  <c r="U520" i="27"/>
  <c r="U473" i="27"/>
  <c r="U512" i="27"/>
  <c r="U509" i="27"/>
  <c r="U499" i="27"/>
  <c r="U562" i="27"/>
  <c r="U490" i="27"/>
  <c r="U477" i="27"/>
  <c r="AA1223" i="27"/>
  <c r="AA1210" i="27"/>
  <c r="AA1275" i="27"/>
  <c r="AA1288" i="27"/>
  <c r="AA1309" i="27"/>
  <c r="U1697" i="27"/>
  <c r="U1684" i="27"/>
  <c r="U1777" i="27"/>
  <c r="U1793" i="27"/>
  <c r="AA1094" i="27"/>
  <c r="AA1111" i="27"/>
  <c r="U56" i="27"/>
  <c r="U1529" i="27"/>
  <c r="U1523" i="27"/>
  <c r="U1714" i="27"/>
  <c r="U1740" i="27"/>
  <c r="AA1055" i="27"/>
  <c r="AA1068" i="27"/>
  <c r="AA982" i="27"/>
  <c r="U651" i="27"/>
  <c r="U667" i="27"/>
  <c r="U618" i="27"/>
  <c r="U576" i="27"/>
  <c r="U1388" i="27"/>
  <c r="U1378" i="27"/>
  <c r="U1596" i="27"/>
  <c r="U1628" i="27"/>
  <c r="AA913" i="27"/>
  <c r="U183" i="27"/>
  <c r="U209" i="27"/>
  <c r="U172" i="27"/>
  <c r="U153" i="27"/>
  <c r="U898" i="27"/>
  <c r="U882" i="27"/>
  <c r="U1438" i="27"/>
  <c r="U1431" i="27"/>
  <c r="U73" i="27"/>
  <c r="U103" i="27"/>
  <c r="U1563" i="27"/>
  <c r="U1576" i="27"/>
  <c r="U1533" i="27"/>
  <c r="U239" i="27" l="1"/>
  <c r="U278" i="27"/>
  <c r="U242" i="27"/>
  <c r="U262" i="27"/>
  <c r="AA262" i="27" s="1"/>
  <c r="BY555" i="27"/>
  <c r="CA555" i="27"/>
  <c r="BY576" i="27"/>
  <c r="CA576" i="27"/>
  <c r="BY546" i="27"/>
  <c r="CA546" i="27"/>
  <c r="BY533" i="27"/>
  <c r="CA533" i="27"/>
  <c r="BY585" i="27"/>
  <c r="CA585" i="27"/>
  <c r="AA33" i="27"/>
  <c r="AA24" i="27"/>
  <c r="AA11" i="27"/>
  <c r="AA658" i="27"/>
  <c r="AA67" i="27"/>
  <c r="BY565" i="27"/>
  <c r="CA565" i="27"/>
  <c r="AA103" i="27"/>
  <c r="BY539" i="27"/>
  <c r="CA539" i="27"/>
  <c r="BY559" i="27"/>
  <c r="CA559" i="27"/>
  <c r="BY582" i="27"/>
  <c r="CA582" i="27"/>
  <c r="BT83" i="27"/>
  <c r="AA37" i="27"/>
  <c r="BT76" i="27"/>
  <c r="BY589" i="27"/>
  <c r="CA589" i="27"/>
  <c r="AA46" i="27"/>
  <c r="BY592" i="27"/>
  <c r="CA592" i="27"/>
  <c r="BY579" i="27"/>
  <c r="CA579" i="27"/>
  <c r="AA59" i="27"/>
  <c r="AA180" i="27"/>
  <c r="AA611" i="27"/>
  <c r="BY552" i="27"/>
  <c r="CA552" i="27"/>
  <c r="BY598" i="27"/>
  <c r="CA598" i="27"/>
  <c r="AA89" i="27"/>
  <c r="AA107" i="27"/>
  <c r="AA602" i="27"/>
  <c r="BT73" i="27"/>
  <c r="BY536" i="27"/>
  <c r="CA536" i="27"/>
  <c r="BY542" i="27"/>
  <c r="CA542" i="27"/>
  <c r="AA116" i="27"/>
  <c r="BY562" i="27"/>
  <c r="CA562" i="27"/>
  <c r="BY549" i="27"/>
  <c r="CA549" i="27"/>
  <c r="BY568" i="27"/>
  <c r="CA568" i="27"/>
  <c r="AA94" i="27"/>
  <c r="BY572" i="27"/>
  <c r="CA572" i="27"/>
  <c r="BT70" i="27"/>
  <c r="BY595" i="27"/>
  <c r="CA595" i="27"/>
  <c r="AA133" i="27"/>
  <c r="U232" i="27"/>
  <c r="U271" i="27"/>
  <c r="U258" i="27"/>
  <c r="U357" i="27"/>
  <c r="U265" i="27"/>
  <c r="U252" i="27"/>
  <c r="U249" i="27"/>
  <c r="U281" i="27"/>
  <c r="U236" i="27"/>
  <c r="U268" i="27"/>
  <c r="U396" i="27"/>
  <c r="U288" i="27"/>
  <c r="U284" i="27"/>
  <c r="U245" i="27"/>
  <c r="AA1662" i="27"/>
  <c r="U380" i="27"/>
  <c r="U275" i="27"/>
  <c r="U364" i="27"/>
  <c r="U387" i="27"/>
  <c r="U361" i="27"/>
  <c r="U377" i="27"/>
  <c r="U351" i="27"/>
  <c r="U367" i="27"/>
  <c r="BT67" i="27"/>
  <c r="U348" i="27"/>
  <c r="U393" i="27"/>
  <c r="U383" i="27"/>
  <c r="U354" i="27"/>
  <c r="U390" i="27"/>
  <c r="U374" i="27"/>
  <c r="U370" i="27"/>
  <c r="G302" i="27"/>
  <c r="U400" i="27"/>
  <c r="U344" i="27"/>
  <c r="AA63" i="27"/>
  <c r="BT63" i="27"/>
  <c r="AA80" i="27"/>
  <c r="BT80" i="27"/>
  <c r="AA1408" i="27"/>
  <c r="AA1645" i="27"/>
  <c r="AA1589" i="27"/>
  <c r="AA1365" i="27"/>
  <c r="AA1718" i="27"/>
  <c r="AA1507" i="27"/>
  <c r="AA1770" i="27"/>
  <c r="AA1701" i="27"/>
  <c r="AA1421" i="27"/>
  <c r="AA1559" i="27"/>
  <c r="AA1744" i="27"/>
  <c r="AA1602" i="27"/>
  <c r="AA1675" i="27"/>
  <c r="AA76" i="27"/>
  <c r="AA1671" i="27"/>
  <c r="AA172" i="27"/>
  <c r="AA1438" i="27"/>
  <c r="AA499" i="27"/>
  <c r="AA546" i="27"/>
  <c r="CH546" i="27" s="1"/>
  <c r="AA176" i="27"/>
  <c r="AA1658" i="27"/>
  <c r="AA146" i="27"/>
  <c r="AA796" i="27"/>
  <c r="AA1391" i="27"/>
  <c r="AA193" i="27"/>
  <c r="AA1516" i="27"/>
  <c r="AA124" i="27"/>
  <c r="AA1425" i="27"/>
  <c r="AA1649" i="27"/>
  <c r="AA736" i="27"/>
  <c r="AA688" i="27"/>
  <c r="AA792" i="27"/>
  <c r="AA533" i="27"/>
  <c r="CH533" i="27" s="1"/>
  <c r="AA228" i="27"/>
  <c r="AA654" i="27"/>
  <c r="AA852" i="27"/>
  <c r="AA684" i="27"/>
  <c r="AA1533" i="27"/>
  <c r="AA1740" i="27"/>
  <c r="AA1684" i="27"/>
  <c r="AA512" i="27"/>
  <c r="AA555" i="27"/>
  <c r="CH555" i="27" s="1"/>
  <c r="AA516" i="27"/>
  <c r="AA219" i="27"/>
  <c r="AA891" i="27"/>
  <c r="AA800" i="27"/>
  <c r="AA645" i="27"/>
  <c r="AA904" i="27"/>
  <c r="AA572" i="27"/>
  <c r="CH572" i="27" s="1"/>
  <c r="AA1464" i="27"/>
  <c r="AA189" i="27"/>
  <c r="AA1783" i="27"/>
  <c r="AA757" i="27"/>
  <c r="AA710" i="27"/>
  <c r="AA701" i="27"/>
  <c r="AA822" i="27"/>
  <c r="AA1417" i="27"/>
  <c r="AA1576" i="27"/>
  <c r="AA1628" i="27"/>
  <c r="AA1714" i="27"/>
  <c r="AA1697" i="27"/>
  <c r="AA473" i="27"/>
  <c r="AA503" i="27"/>
  <c r="AA1434" i="27"/>
  <c r="AA632" i="27"/>
  <c r="AA1473" i="27"/>
  <c r="AA680" i="27"/>
  <c r="AA1705" i="27"/>
  <c r="AA7" i="27"/>
  <c r="AA835" i="27"/>
  <c r="AA598" i="27"/>
  <c r="CH598" i="27" s="1"/>
  <c r="AA895" i="27"/>
  <c r="AA641" i="27"/>
  <c r="AA1447" i="27"/>
  <c r="AA628" i="27"/>
  <c r="AA1537" i="27"/>
  <c r="AA1632" i="27"/>
  <c r="AA779" i="27"/>
  <c r="AA723" i="27"/>
  <c r="Z1757" i="27"/>
  <c r="AA1757" i="27"/>
  <c r="AA202" i="27"/>
  <c r="AA477" i="27"/>
  <c r="AA520" i="27"/>
  <c r="AA486" i="27"/>
  <c r="AA460" i="27"/>
  <c r="AA568" i="27"/>
  <c r="CH568" i="27" s="1"/>
  <c r="AA1451" i="27"/>
  <c r="AA1481" i="27"/>
  <c r="AA137" i="27"/>
  <c r="AA624" i="27"/>
  <c r="AA589" i="27"/>
  <c r="CH589" i="27" s="1"/>
  <c r="AA1800" i="27"/>
  <c r="AA878" i="27"/>
  <c r="AA615" i="27"/>
  <c r="AA1774" i="27"/>
  <c r="AA1572" i="27"/>
  <c r="AA1606" i="27"/>
  <c r="AA1494" i="27"/>
  <c r="AA1477" i="27"/>
  <c r="AA783" i="27"/>
  <c r="AA714" i="27"/>
  <c r="AA766" i="27"/>
  <c r="AA882" i="27"/>
  <c r="AA856" i="27"/>
  <c r="AA1378" i="27"/>
  <c r="AA1529" i="27"/>
  <c r="AA490" i="27"/>
  <c r="AA559" i="27"/>
  <c r="CH559" i="27" s="1"/>
  <c r="AA529" i="27"/>
  <c r="AA1520" i="27"/>
  <c r="AA1619" i="27"/>
  <c r="AA1585" i="27"/>
  <c r="AA159" i="27"/>
  <c r="AA1787" i="27"/>
  <c r="AA865" i="27"/>
  <c r="AA1731" i="27"/>
  <c r="AA1761" i="27"/>
  <c r="AA163" i="27"/>
  <c r="AA1382" i="27"/>
  <c r="AA1490" i="27"/>
  <c r="AA740" i="27"/>
  <c r="AA727" i="27"/>
  <c r="AA585" i="27"/>
  <c r="CH585" i="27" s="1"/>
  <c r="AA1796" i="27"/>
  <c r="AA1563" i="27"/>
  <c r="AA464" i="27"/>
  <c r="AA848" i="27"/>
  <c r="AA839" i="27"/>
  <c r="Z1701" i="27"/>
  <c r="AA869" i="27"/>
  <c r="AA1593" i="27"/>
  <c r="AA1615" i="27"/>
  <c r="AA1753" i="27"/>
  <c r="AA1546" i="27"/>
  <c r="AA1727" i="27"/>
  <c r="AA813" i="27"/>
  <c r="AA770" i="27"/>
  <c r="AA753" i="27"/>
  <c r="AA667" i="27"/>
  <c r="AA1809" i="27"/>
  <c r="AA1460" i="27"/>
  <c r="U1813" i="27"/>
  <c r="AA576" i="27"/>
  <c r="CH576" i="27" s="1"/>
  <c r="AA542" i="27"/>
  <c r="CH542" i="27" s="1"/>
  <c r="AA809" i="27"/>
  <c r="AA120" i="27"/>
  <c r="AA1369" i="27"/>
  <c r="AA826" i="27"/>
  <c r="AA1550" i="27"/>
  <c r="AA1395" i="27"/>
  <c r="AA50" i="27"/>
  <c r="AA206" i="27"/>
  <c r="AA1404" i="27"/>
  <c r="AA150" i="27"/>
  <c r="AA1641" i="27"/>
  <c r="AA671" i="27"/>
  <c r="AA1503" i="27"/>
  <c r="AA215" i="27"/>
  <c r="AA1688" i="27"/>
  <c r="AA697" i="27"/>
  <c r="AA744" i="27"/>
  <c r="D76" i="11"/>
  <c r="B252" i="5" s="1"/>
  <c r="D77" i="11"/>
  <c r="B253" i="5" s="1"/>
  <c r="AA271" i="27" l="1"/>
  <c r="AA400" i="27"/>
  <c r="AA348" i="27"/>
  <c r="AA275" i="27"/>
  <c r="AA361" i="27"/>
  <c r="AA284" i="27"/>
  <c r="AA236" i="27"/>
  <c r="AA232" i="27"/>
  <c r="AA370" i="27"/>
  <c r="AA383" i="27"/>
  <c r="AA387" i="27"/>
  <c r="AA288" i="27"/>
  <c r="AA344" i="27"/>
  <c r="AA374" i="27"/>
  <c r="AA396" i="27"/>
  <c r="AA249" i="27"/>
  <c r="AA258" i="27"/>
  <c r="AA357" i="27"/>
  <c r="AA245" i="27"/>
  <c r="E12" i="17"/>
  <c r="C12" i="17"/>
  <c r="D12" i="17"/>
  <c r="B12" i="17"/>
  <c r="D57" i="11"/>
  <c r="D59" i="11"/>
  <c r="D60" i="11"/>
  <c r="D61" i="11"/>
  <c r="D62" i="11"/>
  <c r="D58" i="11"/>
  <c r="D66" i="11"/>
  <c r="B249" i="5" s="1"/>
  <c r="D71" i="11"/>
  <c r="D45" i="11"/>
  <c r="D17" i="11"/>
  <c r="B248" i="5" l="1"/>
  <c r="X1691" i="27"/>
  <c r="AA1691" i="27" s="1"/>
  <c r="X1665" i="27"/>
  <c r="AA1665" i="27" s="1"/>
  <c r="X1454" i="27"/>
  <c r="AA1454" i="27" s="1"/>
  <c r="X1428" i="27"/>
  <c r="AA1428" i="27" s="1"/>
  <c r="X1295" i="27"/>
  <c r="AA1295" i="27" s="1"/>
  <c r="X1269" i="27"/>
  <c r="AA1269" i="27" s="1"/>
  <c r="X1058" i="27"/>
  <c r="AA1058" i="27" s="1"/>
  <c r="X1032" i="27"/>
  <c r="AA1032" i="27" s="1"/>
  <c r="X898" i="27"/>
  <c r="AA898" i="27" s="1"/>
  <c r="X872" i="27"/>
  <c r="AA872" i="27" s="1"/>
  <c r="X661" i="27"/>
  <c r="AA661" i="27" s="1"/>
  <c r="X635" i="27"/>
  <c r="AA635" i="27" s="1"/>
  <c r="X390" i="27"/>
  <c r="AA390" i="27" s="1"/>
  <c r="X321" i="27"/>
  <c r="X252" i="27"/>
  <c r="AA252" i="27" s="1"/>
  <c r="X1635" i="27"/>
  <c r="AA1635" i="27" s="1"/>
  <c r="X1609" i="27"/>
  <c r="AA1609" i="27" s="1"/>
  <c r="X1790" i="27"/>
  <c r="AA1790" i="27" s="1"/>
  <c r="X1764" i="27"/>
  <c r="AA1764" i="27" s="1"/>
  <c r="X1579" i="27"/>
  <c r="AA1579" i="27" s="1"/>
  <c r="X1553" i="27"/>
  <c r="AA1553" i="27" s="1"/>
  <c r="X1183" i="27"/>
  <c r="AA1183" i="27" s="1"/>
  <c r="X1157" i="27"/>
  <c r="AA1157" i="27" s="1"/>
  <c r="X946" i="27"/>
  <c r="AA946" i="27" s="1"/>
  <c r="X786" i="27"/>
  <c r="AA786" i="27" s="1"/>
  <c r="X760" i="27"/>
  <c r="AA760" i="27" s="1"/>
  <c r="X549" i="27"/>
  <c r="X523" i="27"/>
  <c r="AA523" i="27" s="1"/>
  <c r="X1734" i="27"/>
  <c r="AA1734" i="27" s="1"/>
  <c r="X1708" i="27"/>
  <c r="AA1708" i="27" s="1"/>
  <c r="X1523" i="27"/>
  <c r="AA1523" i="27" s="1"/>
  <c r="X1497" i="27"/>
  <c r="AA1497" i="27" s="1"/>
  <c r="X1338" i="27"/>
  <c r="AA1338" i="27" s="1"/>
  <c r="X1312" i="27"/>
  <c r="AA1312" i="27" s="1"/>
  <c r="X1127" i="27"/>
  <c r="AA1127" i="27" s="1"/>
  <c r="X1101" i="27"/>
  <c r="AA1101" i="27" s="1"/>
  <c r="X730" i="27"/>
  <c r="AA730" i="27" s="1"/>
  <c r="X704" i="27"/>
  <c r="AA704" i="27" s="1"/>
  <c r="X493" i="27"/>
  <c r="AA493" i="27" s="1"/>
  <c r="X467" i="27"/>
  <c r="AA467" i="27" s="1"/>
  <c r="X377" i="27"/>
  <c r="AA377" i="27" s="1"/>
  <c r="X308" i="27"/>
  <c r="X239" i="27"/>
  <c r="AA239" i="27" s="1"/>
  <c r="X1622" i="27"/>
  <c r="AA1622" i="27" s="1"/>
  <c r="X1596" i="27"/>
  <c r="AA1596" i="27" s="1"/>
  <c r="X1411" i="27"/>
  <c r="AA1411" i="27" s="1"/>
  <c r="X1385" i="27"/>
  <c r="AA1385" i="27" s="1"/>
  <c r="X1226" i="27"/>
  <c r="AA1226" i="27" s="1"/>
  <c r="X1200" i="27"/>
  <c r="AA1200" i="27" s="1"/>
  <c r="X1015" i="27"/>
  <c r="AA1015" i="27" s="1"/>
  <c r="X989" i="27"/>
  <c r="AA989" i="27" s="1"/>
  <c r="X829" i="27"/>
  <c r="AA829" i="27" s="1"/>
  <c r="X803" i="27"/>
  <c r="AA803" i="27" s="1"/>
  <c r="X618" i="27"/>
  <c r="AA618" i="27" s="1"/>
  <c r="X592" i="27"/>
  <c r="X433" i="27"/>
  <c r="X334" i="27"/>
  <c r="X265" i="27"/>
  <c r="AA265" i="27" s="1"/>
  <c r="X196" i="27"/>
  <c r="AA196" i="27" s="1"/>
  <c r="X1803" i="27"/>
  <c r="AA1803" i="27" s="1"/>
  <c r="X1777" i="27"/>
  <c r="AA1777" i="27" s="1"/>
  <c r="X1566" i="27"/>
  <c r="AA1566" i="27" s="1"/>
  <c r="X1540" i="27"/>
  <c r="AA1540" i="27" s="1"/>
  <c r="X1170" i="27"/>
  <c r="AA1170" i="27" s="1"/>
  <c r="X1144" i="27"/>
  <c r="AA1144" i="27" s="1"/>
  <c r="X959" i="27"/>
  <c r="AA959" i="27" s="1"/>
  <c r="X933" i="27"/>
  <c r="AA933" i="27" s="1"/>
  <c r="X773" i="27"/>
  <c r="AA773" i="27" s="1"/>
  <c r="X562" i="27"/>
  <c r="X536" i="27"/>
  <c r="X364" i="27"/>
  <c r="AA364" i="27" s="1"/>
  <c r="X295" i="27"/>
  <c r="X1652" i="27"/>
  <c r="AA1652" i="27" s="1"/>
  <c r="X1484" i="27"/>
  <c r="AA1484" i="27" s="1"/>
  <c r="X1441" i="27"/>
  <c r="AA1441" i="27" s="1"/>
  <c r="X1398" i="27"/>
  <c r="AA1398" i="27" s="1"/>
  <c r="X1351" i="27"/>
  <c r="AA1351" i="27" s="1"/>
  <c r="X1213" i="27"/>
  <c r="AA1213" i="27" s="1"/>
  <c r="X1114" i="27"/>
  <c r="AA1114" i="27" s="1"/>
  <c r="X976" i="27"/>
  <c r="AA976" i="27" s="1"/>
  <c r="X885" i="27"/>
  <c r="AA885" i="27" s="1"/>
  <c r="X842" i="27"/>
  <c r="AA842" i="27" s="1"/>
  <c r="X747" i="27"/>
  <c r="AA747" i="27" s="1"/>
  <c r="X691" i="27"/>
  <c r="AA691" i="27" s="1"/>
  <c r="X648" i="27"/>
  <c r="AA648" i="27" s="1"/>
  <c r="X605" i="27"/>
  <c r="AA605" i="27" s="1"/>
  <c r="X506" i="27"/>
  <c r="AA506" i="27" s="1"/>
  <c r="X83" i="27"/>
  <c r="AA83" i="27" s="1"/>
  <c r="X1747" i="27"/>
  <c r="AA1747" i="27" s="1"/>
  <c r="X1256" i="27"/>
  <c r="AA1256" i="27" s="1"/>
  <c r="X153" i="27"/>
  <c r="AA153" i="27" s="1"/>
  <c r="X40" i="27"/>
  <c r="AA40" i="27" s="1"/>
  <c r="X1071" i="27"/>
  <c r="AA1071" i="27" s="1"/>
  <c r="X127" i="27"/>
  <c r="AA127" i="27" s="1"/>
  <c r="X14" i="27"/>
  <c r="X446" i="27"/>
  <c r="X110" i="27"/>
  <c r="AA110" i="27" s="1"/>
  <c r="X183" i="27"/>
  <c r="AA183" i="27" s="1"/>
  <c r="X1467" i="27"/>
  <c r="AA1467" i="27" s="1"/>
  <c r="X920" i="27"/>
  <c r="X674" i="27"/>
  <c r="AA674" i="27" s="1"/>
  <c r="X70" i="27"/>
  <c r="AA70" i="27" s="1"/>
  <c r="X209" i="27"/>
  <c r="AA209" i="27" s="1"/>
  <c r="X1678" i="27"/>
  <c r="AA1678" i="27" s="1"/>
  <c r="X1510" i="27"/>
  <c r="AA1510" i="27" s="1"/>
  <c r="X1372" i="27"/>
  <c r="AA1372" i="27" s="1"/>
  <c r="X1325" i="27"/>
  <c r="AA1325" i="27" s="1"/>
  <c r="X1282" i="27"/>
  <c r="AA1282" i="27" s="1"/>
  <c r="X1239" i="27"/>
  <c r="AA1239" i="27" s="1"/>
  <c r="X1088" i="27"/>
  <c r="AA1088" i="27" s="1"/>
  <c r="X1045" i="27"/>
  <c r="AA1045" i="27" s="1"/>
  <c r="X1002" i="27"/>
  <c r="AA1002" i="27" s="1"/>
  <c r="X816" i="27"/>
  <c r="AA816" i="27" s="1"/>
  <c r="X717" i="27"/>
  <c r="AA717" i="27" s="1"/>
  <c r="X579" i="27"/>
  <c r="X480" i="27"/>
  <c r="AA480" i="27" s="1"/>
  <c r="X140" i="27"/>
  <c r="AA140" i="27" s="1"/>
  <c r="X27" i="27"/>
  <c r="AA27" i="27" s="1"/>
  <c r="X1721" i="27"/>
  <c r="AA1721" i="27" s="1"/>
  <c r="X859" i="27"/>
  <c r="AA859" i="27" s="1"/>
  <c r="X351" i="27"/>
  <c r="AA351" i="27" s="1"/>
  <c r="X222" i="27"/>
  <c r="AA222" i="27" s="1"/>
  <c r="X97" i="27"/>
  <c r="AA97" i="27" s="1"/>
  <c r="X420" i="27"/>
  <c r="X278" i="27"/>
  <c r="AA278" i="27" s="1"/>
  <c r="X166" i="27"/>
  <c r="AA166" i="27" s="1"/>
  <c r="X53" i="27"/>
  <c r="AA53" i="27" s="1"/>
  <c r="X407" i="27"/>
  <c r="X962" i="27"/>
  <c r="AA962" i="27" s="1"/>
  <c r="X1556" i="27"/>
  <c r="AA1556" i="27" s="1"/>
  <c r="X17" i="27"/>
  <c r="AA17" i="27" s="1"/>
  <c r="X819" i="27"/>
  <c r="AA819" i="27" s="1"/>
  <c r="X1582" i="27"/>
  <c r="AA1582" i="27" s="1"/>
  <c r="X1681" i="27"/>
  <c r="AA1681" i="27" s="1"/>
  <c r="X539" i="27"/>
  <c r="X1117" i="27"/>
  <c r="AA1117" i="27" s="1"/>
  <c r="X694" i="27"/>
  <c r="AA694" i="27" s="1"/>
  <c r="X1625" i="27"/>
  <c r="AA1625" i="27" s="1"/>
  <c r="X1091" i="27"/>
  <c r="AA1091" i="27" s="1"/>
  <c r="X1186" i="27"/>
  <c r="AA1186" i="27" s="1"/>
  <c r="X1612" i="27"/>
  <c r="AA1612" i="27" s="1"/>
  <c r="X1216" i="27"/>
  <c r="AA1216" i="27" s="1"/>
  <c r="X354" i="27"/>
  <c r="AA354" i="27" s="1"/>
  <c r="X1711" i="27"/>
  <c r="AA1711" i="27" s="1"/>
  <c r="X1315" i="27"/>
  <c r="AA1315" i="27" s="1"/>
  <c r="X1074" i="27"/>
  <c r="AA1074" i="27" s="1"/>
  <c r="X677" i="27"/>
  <c r="AA677" i="27" s="1"/>
  <c r="X1780" i="27"/>
  <c r="AA1780" i="27" s="1"/>
  <c r="X367" i="27"/>
  <c r="AA367" i="27" s="1"/>
  <c r="X255" i="27"/>
  <c r="AA255" i="27" s="1"/>
  <c r="X1160" i="27"/>
  <c r="AA1160" i="27" s="1"/>
  <c r="X113" i="27"/>
  <c r="AA113" i="27" s="1"/>
  <c r="X1431" i="27"/>
  <c r="AA1431" i="27" s="1"/>
  <c r="X875" i="27"/>
  <c r="AA875" i="27" s="1"/>
  <c r="X242" i="27"/>
  <c r="AA242" i="27" s="1"/>
  <c r="X949" i="27"/>
  <c r="AA949" i="27" s="1"/>
  <c r="X56" i="27"/>
  <c r="AA56" i="27" s="1"/>
  <c r="X1229" i="27"/>
  <c r="AA1229" i="27" s="1"/>
  <c r="X621" i="27"/>
  <c r="AA621" i="27" s="1"/>
  <c r="X608" i="27"/>
  <c r="AA608" i="27" s="1"/>
  <c r="X1793" i="27"/>
  <c r="AA1793" i="27" s="1"/>
  <c r="X707" i="27"/>
  <c r="AA707" i="27" s="1"/>
  <c r="X1470" i="27"/>
  <c r="AA1470" i="27" s="1"/>
  <c r="X1147" i="27"/>
  <c r="AA1147" i="27" s="1"/>
  <c r="X1750" i="27"/>
  <c r="AA1750" i="27" s="1"/>
  <c r="X100" i="27"/>
  <c r="AA100" i="27" s="1"/>
  <c r="X1668" i="27"/>
  <c r="AA1668" i="27" s="1"/>
  <c r="X1005" i="27"/>
  <c r="AA1005" i="27" s="1"/>
  <c r="X582" i="27"/>
  <c r="X1767" i="27"/>
  <c r="AA1767" i="27" s="1"/>
  <c r="X923" i="27"/>
  <c r="AA923" i="27" s="1"/>
  <c r="X1569" i="27"/>
  <c r="AA1569" i="27" s="1"/>
  <c r="X638" i="27"/>
  <c r="AA638" i="27" s="1"/>
  <c r="X664" i="27"/>
  <c r="AA664" i="27" s="1"/>
  <c r="X992" i="27"/>
  <c r="AA992" i="27" s="1"/>
  <c r="X337" i="27"/>
  <c r="X1242" i="27"/>
  <c r="AA1242" i="27" s="1"/>
  <c r="X733" i="27"/>
  <c r="AA733" i="27" s="1"/>
  <c r="X380" i="27"/>
  <c r="AA380" i="27" s="1"/>
  <c r="X1048" i="27"/>
  <c r="AA1048" i="27" s="1"/>
  <c r="X651" i="27"/>
  <c r="AA651" i="27" s="1"/>
  <c r="X1173" i="27"/>
  <c r="AA1173" i="27" s="1"/>
  <c r="X298" i="27"/>
  <c r="X509" i="27"/>
  <c r="AA509" i="27" s="1"/>
  <c r="X199" i="27"/>
  <c r="AA199" i="27" s="1"/>
  <c r="X1061" i="27"/>
  <c r="AA1061" i="27" s="1"/>
  <c r="X1388" i="27"/>
  <c r="AA1388" i="27" s="1"/>
  <c r="X832" i="27"/>
  <c r="AA832" i="27" s="1"/>
  <c r="X186" i="27"/>
  <c r="AA186" i="27" s="1"/>
  <c r="X901" i="27"/>
  <c r="AA901" i="27" s="1"/>
  <c r="X776" i="27"/>
  <c r="AA776" i="27" s="1"/>
  <c r="X1354" i="27"/>
  <c r="AA1354" i="27" s="1"/>
  <c r="X156" i="27"/>
  <c r="AA156" i="27" s="1"/>
  <c r="X789" i="27"/>
  <c r="AA789" i="27" s="1"/>
  <c r="X763" i="27"/>
  <c r="AA763" i="27" s="1"/>
  <c r="X212" i="27"/>
  <c r="AA212" i="27" s="1"/>
  <c r="X1401" i="27"/>
  <c r="AA1401" i="27" s="1"/>
  <c r="X1130" i="27"/>
  <c r="AA1130" i="27" s="1"/>
  <c r="X311" i="27"/>
  <c r="X1444" i="27"/>
  <c r="AA1444" i="27" s="1"/>
  <c r="X1724" i="27"/>
  <c r="AA1724" i="27" s="1"/>
  <c r="X1328" i="27"/>
  <c r="AA1328" i="27" s="1"/>
  <c r="X73" i="27"/>
  <c r="AA73" i="27" s="1"/>
  <c r="X1457" i="27"/>
  <c r="AA1457" i="27" s="1"/>
  <c r="X1599" i="27"/>
  <c r="AA1599" i="27" s="1"/>
  <c r="X1638" i="27"/>
  <c r="AA1638" i="27" s="1"/>
  <c r="X1806" i="27"/>
  <c r="AA1806" i="27" s="1"/>
  <c r="X1487" i="27"/>
  <c r="AA1487" i="27" s="1"/>
  <c r="X1298" i="27"/>
  <c r="AA1298" i="27" s="1"/>
  <c r="X1018" i="27"/>
  <c r="AA1018" i="27" s="1"/>
  <c r="X436" i="27"/>
  <c r="X1272" i="27"/>
  <c r="AA1272" i="27" s="1"/>
  <c r="X483" i="27"/>
  <c r="AA483" i="27" s="1"/>
  <c r="X1035" i="27"/>
  <c r="AA1035" i="27" s="1"/>
  <c r="X1526" i="27"/>
  <c r="AA1526" i="27" s="1"/>
  <c r="X552" i="27"/>
  <c r="X143" i="27"/>
  <c r="AA143" i="27" s="1"/>
  <c r="X130" i="27"/>
  <c r="AA130" i="27" s="1"/>
  <c r="X1694" i="27"/>
  <c r="AA1694" i="27" s="1"/>
  <c r="X169" i="27"/>
  <c r="AA169" i="27" s="1"/>
  <c r="X423" i="27"/>
  <c r="X324" i="27"/>
  <c r="X1375" i="27"/>
  <c r="AA1375" i="27" s="1"/>
  <c r="X979" i="27"/>
  <c r="AA979" i="27" s="1"/>
  <c r="X1500" i="27"/>
  <c r="AA1500" i="27" s="1"/>
  <c r="X1104" i="27"/>
  <c r="AA1104" i="27" s="1"/>
  <c r="X1285" i="27"/>
  <c r="AA1285" i="27" s="1"/>
  <c r="X888" i="27"/>
  <c r="AA888" i="27" s="1"/>
  <c r="X410" i="27"/>
  <c r="X1543" i="27"/>
  <c r="AA1543" i="27" s="1"/>
  <c r="X750" i="27"/>
  <c r="AA750" i="27" s="1"/>
  <c r="X43" i="27"/>
  <c r="AA43" i="27" s="1"/>
  <c r="X393" i="27"/>
  <c r="AA393" i="27" s="1"/>
  <c r="X268" i="27"/>
  <c r="AA268" i="27" s="1"/>
  <c r="X1203" i="27"/>
  <c r="AA1203" i="27" s="1"/>
  <c r="X595" i="27"/>
  <c r="X526" i="27"/>
  <c r="AA526" i="27" s="1"/>
  <c r="X86" i="27"/>
  <c r="AA86" i="27" s="1"/>
  <c r="X845" i="27"/>
  <c r="AA845" i="27" s="1"/>
  <c r="X496" i="27"/>
  <c r="AA496" i="27" s="1"/>
  <c r="X1259" i="27"/>
  <c r="AA1259" i="27" s="1"/>
  <c r="X862" i="27"/>
  <c r="AA862" i="27" s="1"/>
  <c r="X565" i="27"/>
  <c r="X720" i="27"/>
  <c r="AA720" i="27" s="1"/>
  <c r="X30" i="27"/>
  <c r="AA30" i="27" s="1"/>
  <c r="X281" i="27"/>
  <c r="AA281" i="27" s="1"/>
  <c r="X1414" i="27"/>
  <c r="AA1414" i="27" s="1"/>
  <c r="X806" i="27"/>
  <c r="AA806" i="27" s="1"/>
  <c r="X449" i="27"/>
  <c r="X470" i="27"/>
  <c r="AA470" i="27" s="1"/>
  <c r="X936" i="27"/>
  <c r="AA936" i="27" s="1"/>
  <c r="X1513" i="27"/>
  <c r="AA1513" i="27" s="1"/>
  <c r="X225" i="27"/>
  <c r="AA225" i="27" s="1"/>
  <c r="X1737" i="27"/>
  <c r="AA1737" i="27" s="1"/>
  <c r="X1341" i="27"/>
  <c r="AA1341" i="27" s="1"/>
  <c r="X1655" i="27"/>
  <c r="AA1655" i="27" s="1"/>
  <c r="O115" i="15"/>
  <c r="O100" i="15"/>
  <c r="O85" i="15"/>
  <c r="O70" i="15"/>
  <c r="O52" i="15"/>
  <c r="O37" i="15"/>
  <c r="O22" i="15"/>
  <c r="O7" i="15"/>
  <c r="J21" i="15"/>
  <c r="J20" i="15"/>
  <c r="J23" i="15" s="1"/>
  <c r="J51" i="15"/>
  <c r="J50" i="15"/>
  <c r="J53" i="15" s="1"/>
  <c r="J114" i="15"/>
  <c r="J113" i="15"/>
  <c r="J116" i="15" s="1"/>
  <c r="J35" i="15"/>
  <c r="J38" i="15" s="1"/>
  <c r="J5" i="15"/>
  <c r="J8" i="15" s="1"/>
  <c r="J98" i="15"/>
  <c r="J101" i="15" s="1"/>
  <c r="J84" i="15"/>
  <c r="J83" i="15"/>
  <c r="J86" i="15" s="1"/>
  <c r="J68" i="15"/>
  <c r="J71" i="15" s="1"/>
  <c r="H4" i="13"/>
  <c r="G7" i="13" s="1"/>
  <c r="J6" i="15" l="1"/>
  <c r="J69" i="15"/>
  <c r="J99" i="15"/>
  <c r="J36" i="15"/>
  <c r="AA552" i="27"/>
  <c r="CH552" i="27" s="1"/>
  <c r="CF552" i="27"/>
  <c r="AA565" i="27"/>
  <c r="CH565" i="27" s="1"/>
  <c r="CF565" i="27"/>
  <c r="AA539" i="27"/>
  <c r="CH539" i="27" s="1"/>
  <c r="CF539" i="27"/>
  <c r="AA579" i="27"/>
  <c r="CH579" i="27" s="1"/>
  <c r="CF579" i="27"/>
  <c r="AA592" i="27"/>
  <c r="CH592" i="27" s="1"/>
  <c r="CF592" i="27"/>
  <c r="AA549" i="27"/>
  <c r="CH549" i="27" s="1"/>
  <c r="CF549" i="27"/>
  <c r="AA595" i="27"/>
  <c r="CH595" i="27" s="1"/>
  <c r="CF595" i="27"/>
  <c r="AA536" i="27"/>
  <c r="CH536" i="27" s="1"/>
  <c r="CF536" i="27"/>
  <c r="AA582" i="27"/>
  <c r="CH582" i="27" s="1"/>
  <c r="CF582" i="27"/>
  <c r="AA562" i="27"/>
  <c r="CH562" i="27" s="1"/>
  <c r="CF562" i="27"/>
  <c r="AA920" i="27"/>
  <c r="AA1813" i="27" s="1"/>
  <c r="E4" i="16" s="1"/>
  <c r="X1813" i="27"/>
  <c r="AA14" i="27"/>
  <c r="X908" i="27"/>
  <c r="G69" i="13"/>
  <c r="G68" i="13"/>
  <c r="G60" i="13"/>
  <c r="G52" i="13"/>
  <c r="G44" i="13"/>
  <c r="G36" i="13"/>
  <c r="G28" i="13"/>
  <c r="G20" i="13"/>
  <c r="G12" i="13"/>
  <c r="G67" i="13"/>
  <c r="G59" i="13"/>
  <c r="G51" i="13"/>
  <c r="G43" i="13"/>
  <c r="G35" i="13"/>
  <c r="G27" i="13"/>
  <c r="G19" i="13"/>
  <c r="G11" i="13"/>
  <c r="G54" i="13"/>
  <c r="G30" i="13"/>
  <c r="G14" i="13"/>
  <c r="G5" i="13"/>
  <c r="G45" i="13"/>
  <c r="G29" i="13"/>
  <c r="G13" i="13"/>
  <c r="G58" i="13"/>
  <c r="G34" i="13"/>
  <c r="G10" i="13"/>
  <c r="G57" i="13"/>
  <c r="G33" i="13"/>
  <c r="G8" i="13"/>
  <c r="G62" i="13"/>
  <c r="G46" i="13"/>
  <c r="G38" i="13"/>
  <c r="G22" i="13"/>
  <c r="G6" i="13"/>
  <c r="G61" i="13"/>
  <c r="G53" i="13"/>
  <c r="G37" i="13"/>
  <c r="G21" i="13"/>
  <c r="G66" i="13"/>
  <c r="G50" i="13"/>
  <c r="G42" i="13"/>
  <c r="G26" i="13"/>
  <c r="G18" i="13"/>
  <c r="G65" i="13"/>
  <c r="G49" i="13"/>
  <c r="G41" i="13"/>
  <c r="G25" i="13"/>
  <c r="G17" i="13"/>
  <c r="G9" i="13"/>
  <c r="G64" i="13"/>
  <c r="G56" i="13"/>
  <c r="G48" i="13"/>
  <c r="G40" i="13"/>
  <c r="G32" i="13"/>
  <c r="G24" i="13"/>
  <c r="G16" i="13"/>
  <c r="G63" i="13"/>
  <c r="G55" i="13"/>
  <c r="G47" i="13"/>
  <c r="G39" i="13"/>
  <c r="G31" i="13"/>
  <c r="G23" i="13"/>
  <c r="G15" i="13"/>
  <c r="O124" i="15"/>
  <c r="O121" i="15"/>
  <c r="O118" i="15"/>
  <c r="O109" i="15"/>
  <c r="O106" i="15"/>
  <c r="O103" i="15"/>
  <c r="O94" i="15"/>
  <c r="O91" i="15"/>
  <c r="O88" i="15"/>
  <c r="O79" i="15"/>
  <c r="O76" i="15"/>
  <c r="O73" i="15"/>
  <c r="O61" i="15"/>
  <c r="O58" i="15"/>
  <c r="O55" i="15"/>
  <c r="O46" i="15"/>
  <c r="O43" i="15"/>
  <c r="O40" i="15"/>
  <c r="O31" i="15"/>
  <c r="O28" i="15"/>
  <c r="O25" i="15"/>
  <c r="O16" i="15"/>
  <c r="O13" i="15"/>
  <c r="O10" i="15"/>
  <c r="D9" i="11"/>
  <c r="H86" i="15"/>
  <c r="H89" i="15" s="1"/>
  <c r="H116" i="15"/>
  <c r="H119" i="15" s="1"/>
  <c r="H53" i="15"/>
  <c r="H56" i="15" s="1"/>
  <c r="F119" i="15"/>
  <c r="F104" i="15"/>
  <c r="F110" i="15" s="1"/>
  <c r="F89" i="15"/>
  <c r="F74" i="15"/>
  <c r="F80" i="15" s="1"/>
  <c r="D110" i="15"/>
  <c r="D123" i="15" s="1"/>
  <c r="H107" i="15"/>
  <c r="H101" i="15"/>
  <c r="H77" i="15"/>
  <c r="H71" i="15"/>
  <c r="H44" i="15"/>
  <c r="H38" i="15"/>
  <c r="H14" i="15"/>
  <c r="H23" i="15"/>
  <c r="H26" i="15" s="1"/>
  <c r="H8" i="15"/>
  <c r="D14" i="15"/>
  <c r="D77" i="15"/>
  <c r="B22" i="15"/>
  <c r="F56" i="15"/>
  <c r="D44" i="15"/>
  <c r="D60" i="15" s="1"/>
  <c r="F41" i="15"/>
  <c r="F47" i="15" s="1"/>
  <c r="B86" i="15"/>
  <c r="B241" i="5" l="1"/>
  <c r="O97" i="15"/>
  <c r="O34" i="15"/>
  <c r="O4" i="15"/>
  <c r="O67" i="15"/>
  <c r="B119" i="15"/>
  <c r="M109" i="15" s="1"/>
  <c r="M70" i="15"/>
  <c r="M67" i="15"/>
  <c r="B10" i="13"/>
  <c r="G70" i="13"/>
  <c r="B5" i="13" s="1"/>
  <c r="G71" i="13"/>
  <c r="B6" i="13" s="1"/>
  <c r="B15" i="13"/>
  <c r="F11" i="15"/>
  <c r="F17" i="15" s="1"/>
  <c r="M16" i="15" s="1"/>
  <c r="B52" i="15"/>
  <c r="D93" i="15"/>
  <c r="M82" i="15" s="1"/>
  <c r="M79" i="15"/>
  <c r="F95" i="15"/>
  <c r="F92" i="15" s="1"/>
  <c r="M76" i="15"/>
  <c r="F32" i="15"/>
  <c r="F26" i="15"/>
  <c r="F62" i="15"/>
  <c r="F59" i="15" s="1"/>
  <c r="F125" i="15"/>
  <c r="H41" i="15"/>
  <c r="H74" i="15"/>
  <c r="M73" i="15" s="1"/>
  <c r="H104" i="15"/>
  <c r="H11" i="15"/>
  <c r="D28" i="15"/>
  <c r="D19" i="11"/>
  <c r="A1009" i="27" l="1"/>
  <c r="B87" i="15"/>
  <c r="N94" i="15" s="1"/>
  <c r="B23" i="15"/>
  <c r="M118" i="15"/>
  <c r="Q118" i="15" s="1"/>
  <c r="M22" i="15"/>
  <c r="M85" i="15"/>
  <c r="M7" i="15"/>
  <c r="M4" i="15"/>
  <c r="M112" i="15"/>
  <c r="M97" i="15"/>
  <c r="Q97" i="15" s="1"/>
  <c r="M100" i="15"/>
  <c r="Q100" i="15" s="1"/>
  <c r="M115" i="15"/>
  <c r="M103" i="15"/>
  <c r="Q103" i="15" s="1"/>
  <c r="M106" i="15"/>
  <c r="Q106" i="15" s="1"/>
  <c r="M19" i="15"/>
  <c r="M49" i="15"/>
  <c r="M34" i="15"/>
  <c r="Q34" i="15" s="1"/>
  <c r="M37" i="15"/>
  <c r="M52" i="15"/>
  <c r="M124" i="15"/>
  <c r="P124" i="15" s="1"/>
  <c r="Q67" i="15"/>
  <c r="Q70" i="15"/>
  <c r="M10" i="15"/>
  <c r="Q10" i="15" s="1"/>
  <c r="M13" i="15"/>
  <c r="Q13" i="15" s="1"/>
  <c r="Q79" i="15"/>
  <c r="Q109" i="15"/>
  <c r="Q73" i="15"/>
  <c r="M31" i="15"/>
  <c r="Q31" i="15" s="1"/>
  <c r="M88" i="15"/>
  <c r="F122" i="15"/>
  <c r="M121" i="15" s="1"/>
  <c r="Q76" i="15"/>
  <c r="M25" i="15"/>
  <c r="M91" i="15"/>
  <c r="F29" i="15"/>
  <c r="M28" i="15" s="1"/>
  <c r="M58" i="15"/>
  <c r="M46" i="15"/>
  <c r="M43" i="15"/>
  <c r="M55" i="15"/>
  <c r="M40" i="15"/>
  <c r="M61" i="15"/>
  <c r="M94" i="15"/>
  <c r="Q16" i="15"/>
  <c r="D48" i="11"/>
  <c r="D46" i="11"/>
  <c r="D20" i="11"/>
  <c r="B242" i="5" s="1"/>
  <c r="D39" i="11"/>
  <c r="D40" i="11"/>
  <c r="D41" i="11"/>
  <c r="D47" i="11"/>
  <c r="D52" i="11"/>
  <c r="D53" i="11"/>
  <c r="D70" i="11"/>
  <c r="B250" i="5" s="1"/>
  <c r="D72" i="11"/>
  <c r="B251" i="5" s="1"/>
  <c r="D4" i="11"/>
  <c r="Q1798" i="27" l="1"/>
  <c r="Q1772" i="27"/>
  <c r="Q1742" i="27"/>
  <c r="Q1716" i="27"/>
  <c r="Q1686" i="27"/>
  <c r="Q1660" i="27"/>
  <c r="Q1630" i="27"/>
  <c r="Q1604" i="27"/>
  <c r="Q1574" i="27"/>
  <c r="Q1548" i="27"/>
  <c r="Q1518" i="27"/>
  <c r="Q1492" i="27"/>
  <c r="Q1462" i="27"/>
  <c r="Q1436" i="27"/>
  <c r="Q1406" i="27"/>
  <c r="Q1380" i="27"/>
  <c r="Q1346" i="27"/>
  <c r="Q1320" i="27"/>
  <c r="Q1290" i="27"/>
  <c r="Q1264" i="27"/>
  <c r="Q1234" i="27"/>
  <c r="Q1208" i="27"/>
  <c r="Q1178" i="27"/>
  <c r="Q1152" i="27"/>
  <c r="Q1122" i="27"/>
  <c r="Q1096" i="27"/>
  <c r="Q1066" i="27"/>
  <c r="Q1040" i="27"/>
  <c r="Q1010" i="27"/>
  <c r="Q984" i="27"/>
  <c r="Q954" i="27"/>
  <c r="Q928" i="27"/>
  <c r="Q893" i="27"/>
  <c r="Q867" i="27"/>
  <c r="Q837" i="27"/>
  <c r="Q811" i="27"/>
  <c r="Q781" i="27"/>
  <c r="Q755" i="27"/>
  <c r="Q725" i="27"/>
  <c r="Q699" i="27"/>
  <c r="Q669" i="27"/>
  <c r="Q643" i="27"/>
  <c r="Q613" i="27"/>
  <c r="Q587" i="27"/>
  <c r="Q557" i="27"/>
  <c r="Q531" i="27"/>
  <c r="BV531" i="27" s="1"/>
  <c r="Q501" i="27"/>
  <c r="Q475" i="27"/>
  <c r="Q441" i="27"/>
  <c r="Q415" i="27"/>
  <c r="Q385" i="27"/>
  <c r="Q359" i="27"/>
  <c r="Q329" i="27"/>
  <c r="Q303" i="27"/>
  <c r="Q273" i="27"/>
  <c r="Q247" i="27"/>
  <c r="Q217" i="27"/>
  <c r="Q191" i="27"/>
  <c r="Q161" i="27"/>
  <c r="Q135" i="27"/>
  <c r="Q105" i="27"/>
  <c r="Q78" i="27"/>
  <c r="Q48" i="27"/>
  <c r="Q22" i="27"/>
  <c r="Q1811" i="27"/>
  <c r="Q1785" i="27"/>
  <c r="Q1755" i="27"/>
  <c r="Q1729" i="27"/>
  <c r="Q1699" i="27"/>
  <c r="Q1673" i="27"/>
  <c r="Q1643" i="27"/>
  <c r="Q1617" i="27"/>
  <c r="Q1587" i="27"/>
  <c r="Q1561" i="27"/>
  <c r="Q1531" i="27"/>
  <c r="Q1505" i="27"/>
  <c r="Q1475" i="27"/>
  <c r="Q1449" i="27"/>
  <c r="Q1419" i="27"/>
  <c r="Q1393" i="27"/>
  <c r="Q1359" i="27"/>
  <c r="Q1333" i="27"/>
  <c r="Q1303" i="27"/>
  <c r="Q1277" i="27"/>
  <c r="Q1247" i="27"/>
  <c r="Q1221" i="27"/>
  <c r="Q1191" i="27"/>
  <c r="Q1165" i="27"/>
  <c r="Q1135" i="27"/>
  <c r="Q1109" i="27"/>
  <c r="Q1079" i="27"/>
  <c r="Q1053" i="27"/>
  <c r="Q1023" i="27"/>
  <c r="Q997" i="27"/>
  <c r="Q967" i="27"/>
  <c r="Q941" i="27"/>
  <c r="Q906" i="27"/>
  <c r="Q880" i="27"/>
  <c r="Q850" i="27"/>
  <c r="Q824" i="27"/>
  <c r="Q794" i="27"/>
  <c r="Q768" i="27"/>
  <c r="Q738" i="27"/>
  <c r="Q712" i="27"/>
  <c r="Q682" i="27"/>
  <c r="Q656" i="27"/>
  <c r="Q626" i="27"/>
  <c r="Q600" i="27"/>
  <c r="Q570" i="27"/>
  <c r="Q544" i="27"/>
  <c r="BV544" i="27" s="1"/>
  <c r="Q514" i="27"/>
  <c r="Q488" i="27"/>
  <c r="Q454" i="27"/>
  <c r="Q428" i="27"/>
  <c r="Q398" i="27"/>
  <c r="Q372" i="27"/>
  <c r="Q342" i="27"/>
  <c r="Q316" i="27"/>
  <c r="Q286" i="27"/>
  <c r="Q260" i="27"/>
  <c r="Q230" i="27"/>
  <c r="Q204" i="27"/>
  <c r="Q174" i="27"/>
  <c r="Q148" i="27"/>
  <c r="Q118" i="27"/>
  <c r="Q91" i="27"/>
  <c r="Q61" i="27"/>
  <c r="Q35" i="27"/>
  <c r="Q1805" i="27"/>
  <c r="Q1598" i="27"/>
  <c r="Q1374" i="27"/>
  <c r="Q1146" i="27"/>
  <c r="Q922" i="27"/>
  <c r="Q693" i="27"/>
  <c r="Q469" i="27"/>
  <c r="Q241" i="27"/>
  <c r="Q16" i="27"/>
  <c r="Q198" i="27"/>
  <c r="Q1667" i="27"/>
  <c r="Q280" i="27"/>
  <c r="Q482" i="27"/>
  <c r="Q1387" i="27"/>
  <c r="Q112" i="27"/>
  <c r="Q1779" i="27"/>
  <c r="Q1172" i="27"/>
  <c r="Q847" i="27"/>
  <c r="Q425" i="27"/>
  <c r="Q1792" i="27"/>
  <c r="Q1568" i="27"/>
  <c r="Q1340" i="27"/>
  <c r="Q1116" i="27"/>
  <c r="Q887" i="27"/>
  <c r="Q663" i="27"/>
  <c r="Q435" i="27"/>
  <c r="Q211" i="27"/>
  <c r="Q448" i="27"/>
  <c r="Q1297" i="27"/>
  <c r="Q366" i="27"/>
  <c r="Q900" i="27"/>
  <c r="Q1443" i="27"/>
  <c r="Q29" i="27"/>
  <c r="Q1159" i="27"/>
  <c r="Q874" i="27"/>
  <c r="Q1258" i="27"/>
  <c r="Q805" i="27"/>
  <c r="Q129" i="27"/>
  <c r="Q762" i="27"/>
  <c r="Q1073" i="27"/>
  <c r="Q1749" i="27"/>
  <c r="Q1456" i="27"/>
  <c r="Q1004" i="27"/>
  <c r="Q323" i="27"/>
  <c r="Q1020" i="27"/>
  <c r="Q1047" i="27"/>
  <c r="Q1185" i="27"/>
  <c r="Q653" i="27"/>
  <c r="Q538" i="27"/>
  <c r="Q844" i="27"/>
  <c r="Q709" i="27"/>
  <c r="Q1624" i="27"/>
  <c r="Q719" i="27"/>
  <c r="Q42" i="27"/>
  <c r="Q1446" i="27"/>
  <c r="Q1752" i="27"/>
  <c r="Q1327" i="27"/>
  <c r="Q422" i="27"/>
  <c r="Q257" i="27"/>
  <c r="Q1766" i="27"/>
  <c r="Q1542" i="27"/>
  <c r="Q1314" i="27"/>
  <c r="Q1090" i="27"/>
  <c r="Q861" i="27"/>
  <c r="Q637" i="27"/>
  <c r="Q409" i="27"/>
  <c r="Q185" i="27"/>
  <c r="Q1723" i="27"/>
  <c r="Q1693" i="27"/>
  <c r="Q1555" i="27"/>
  <c r="Q1215" i="27"/>
  <c r="Q55" i="27"/>
  <c r="Q1103" i="27"/>
  <c r="Q935" i="27"/>
  <c r="Q1581" i="27"/>
  <c r="Q392" i="27"/>
  <c r="Q1486" i="27"/>
  <c r="Q1034" i="27"/>
  <c r="Q581" i="27"/>
  <c r="BV581" i="27" s="1"/>
  <c r="Q1271" i="27"/>
  <c r="Q620" i="27"/>
  <c r="Q564" i="27"/>
  <c r="Q1680" i="27"/>
  <c r="Q775" i="27"/>
  <c r="Q99" i="27"/>
  <c r="Q1528" i="27"/>
  <c r="Q1050" i="27"/>
  <c r="Q339" i="27"/>
  <c r="Q313" i="27"/>
  <c r="Q485" i="27"/>
  <c r="Q1654" i="27"/>
  <c r="Q1202" i="27"/>
  <c r="Q978" i="27"/>
  <c r="Q72" i="27"/>
  <c r="BQ72" i="27" s="1"/>
  <c r="Q903" i="27"/>
  <c r="Q964" i="27"/>
  <c r="Q818" i="27"/>
  <c r="Q788" i="27"/>
  <c r="Q1525" i="27"/>
  <c r="Q85" i="27"/>
  <c r="Q395" i="27"/>
  <c r="Q948" i="27"/>
  <c r="Q1274" i="27"/>
  <c r="Q594" i="27"/>
  <c r="BV594" i="27" s="1"/>
  <c r="Q115" i="27"/>
  <c r="Q171" i="27"/>
  <c r="Q1736" i="27"/>
  <c r="Q1512" i="27"/>
  <c r="Q1284" i="27"/>
  <c r="Q1060" i="27"/>
  <c r="Q831" i="27"/>
  <c r="Q607" i="27"/>
  <c r="Q379" i="27"/>
  <c r="Q155" i="27"/>
  <c r="Q1499" i="27"/>
  <c r="Q224" i="27"/>
  <c r="Q1469" i="27"/>
  <c r="Q142" i="27"/>
  <c r="Q706" i="27"/>
  <c r="Q991" i="27"/>
  <c r="Q1413" i="27"/>
  <c r="Q732" i="27"/>
  <c r="Q1353" i="27"/>
  <c r="Q168" i="27"/>
  <c r="Q1710" i="27"/>
  <c r="Q353" i="27"/>
  <c r="Q1241" i="27"/>
  <c r="Q650" i="27"/>
  <c r="Q1129" i="27"/>
  <c r="Q1228" i="27"/>
  <c r="Q551" i="27"/>
  <c r="Q1558" i="27"/>
  <c r="Q821" i="27"/>
  <c r="Q1017" i="27"/>
  <c r="Q1637" i="27"/>
  <c r="Q623" i="27"/>
  <c r="Q1430" i="27"/>
  <c r="Q749" i="27"/>
  <c r="Q525" i="27"/>
  <c r="Q297" i="27"/>
  <c r="Q1472" i="27"/>
  <c r="Q1356" i="27"/>
  <c r="Q254" i="27"/>
  <c r="Q567" i="27"/>
  <c r="BV567" i="27" s="1"/>
  <c r="Q508" i="27"/>
  <c r="Q961" i="27"/>
  <c r="Q336" i="27"/>
  <c r="Q451" i="27"/>
  <c r="Q1400" i="27"/>
  <c r="Q495" i="27"/>
  <c r="Q267" i="27"/>
  <c r="Q791" i="27"/>
  <c r="Q676" i="27"/>
  <c r="Q310" i="27"/>
  <c r="Q1611" i="27"/>
  <c r="Q227" i="27"/>
  <c r="Q1782" i="27"/>
  <c r="Q877" i="27"/>
  <c r="Q1726" i="27"/>
  <c r="Q1416" i="27"/>
  <c r="Q1720" i="27"/>
  <c r="Q1496" i="27"/>
  <c r="Q1268" i="27"/>
  <c r="Q1044" i="27"/>
  <c r="Q815" i="27"/>
  <c r="Q591" i="27"/>
  <c r="BV591" i="27" s="1"/>
  <c r="Q363" i="27"/>
  <c r="Q139" i="27"/>
  <c r="Q1657" i="27"/>
  <c r="Q1287" i="27"/>
  <c r="Q890" i="27"/>
  <c r="Q1377" i="27"/>
  <c r="Q808" i="27"/>
  <c r="Q1621" i="27"/>
  <c r="Q1397" i="27"/>
  <c r="Q1169" i="27"/>
  <c r="Q945" i="27"/>
  <c r="Q716" i="27"/>
  <c r="Q492" i="27"/>
  <c r="Q264" i="27"/>
  <c r="Q39" i="27"/>
  <c r="Q610" i="27"/>
  <c r="Q19" i="27"/>
  <c r="Q640" i="27"/>
  <c r="Q765" i="27"/>
  <c r="Q1640" i="27"/>
  <c r="Q1707" i="27"/>
  <c r="Q802" i="27"/>
  <c r="Q554" i="27"/>
  <c r="Q511" i="27"/>
  <c r="Q1162" i="27"/>
  <c r="Q1776" i="27"/>
  <c r="Q1552" i="27"/>
  <c r="Q1100" i="27"/>
  <c r="Q871" i="27"/>
  <c r="Q195" i="27"/>
  <c r="Q925" i="27"/>
  <c r="Q1225" i="27"/>
  <c r="Q320" i="27"/>
  <c r="Q498" i="27"/>
  <c r="Q1244" i="27"/>
  <c r="Q1522" i="27"/>
  <c r="Q617" i="27"/>
  <c r="Q1683" i="27"/>
  <c r="Q864" i="27"/>
  <c r="Q975" i="27"/>
  <c r="Q69" i="27"/>
  <c r="BQ69" i="27" s="1"/>
  <c r="Q244" i="27"/>
  <c r="Q1076" i="27"/>
  <c r="Q1614" i="27"/>
  <c r="Q58" i="27"/>
  <c r="Q1106" i="27"/>
  <c r="Q1690" i="27"/>
  <c r="Q1466" i="27"/>
  <c r="Q785" i="27"/>
  <c r="Q561" i="27"/>
  <c r="BV561" i="27" s="1"/>
  <c r="Q1601" i="27"/>
  <c r="Q1261" i="27"/>
  <c r="Q834" i="27"/>
  <c r="Q1205" i="27"/>
  <c r="Q778" i="27"/>
  <c r="Q1595" i="27"/>
  <c r="Q1371" i="27"/>
  <c r="Q1143" i="27"/>
  <c r="Q919" i="27"/>
  <c r="Q690" i="27"/>
  <c r="Q466" i="27"/>
  <c r="Q238" i="27"/>
  <c r="Q13" i="27"/>
  <c r="Q666" i="27"/>
  <c r="Q696" i="27"/>
  <c r="Q412" i="27"/>
  <c r="Q1502" i="27"/>
  <c r="Q994" i="27"/>
  <c r="Q201" i="27"/>
  <c r="Q419" i="27"/>
  <c r="Q1739" i="27"/>
  <c r="Q1007" i="27"/>
  <c r="Q1677" i="27"/>
  <c r="Q1001" i="27"/>
  <c r="Q548" i="27"/>
  <c r="Q96" i="27"/>
  <c r="Q45" i="27"/>
  <c r="Q735" i="27"/>
  <c r="Q1317" i="27"/>
  <c r="Q1433" i="27"/>
  <c r="Q1427" i="27"/>
  <c r="Q746" i="27"/>
  <c r="Q472" i="27"/>
  <c r="Q541" i="27"/>
  <c r="Q283" i="27"/>
  <c r="Q145" i="27"/>
  <c r="Q1808" i="27"/>
  <c r="Q1664" i="27"/>
  <c r="Q1440" i="27"/>
  <c r="Q1212" i="27"/>
  <c r="Q988" i="27"/>
  <c r="Q759" i="27"/>
  <c r="Q535" i="27"/>
  <c r="Q307" i="27"/>
  <c r="Q82" i="27"/>
  <c r="Q1545" i="27"/>
  <c r="Q1231" i="27"/>
  <c r="Q1795" i="27"/>
  <c r="Q1149" i="27"/>
  <c r="Q1789" i="27"/>
  <c r="Q1565" i="27"/>
  <c r="Q1337" i="27"/>
  <c r="Q1113" i="27"/>
  <c r="Q884" i="27"/>
  <c r="Q660" i="27"/>
  <c r="Q432" i="27"/>
  <c r="Q208" i="27"/>
  <c r="Q528" i="27"/>
  <c r="Q438" i="27"/>
  <c r="Q382" i="27"/>
  <c r="Q188" i="27"/>
  <c r="Q1188" i="27"/>
  <c r="Q1802" i="27"/>
  <c r="Q673" i="27"/>
  <c r="Q1769" i="27"/>
  <c r="Q1063" i="27"/>
  <c r="Q981" i="27"/>
  <c r="Q1255" i="27"/>
  <c r="Q1031" i="27"/>
  <c r="Q350" i="27"/>
  <c r="Q126" i="27"/>
  <c r="Q132" i="27"/>
  <c r="Q1218" i="27"/>
  <c r="Q369" i="27"/>
  <c r="Q1132" i="27"/>
  <c r="Q1330" i="27"/>
  <c r="Q1634" i="27"/>
  <c r="Q1410" i="27"/>
  <c r="Q729" i="27"/>
  <c r="Q505" i="27"/>
  <c r="Q1489" i="27"/>
  <c r="Q1175" i="27"/>
  <c r="Q1713" i="27"/>
  <c r="Q1093" i="27"/>
  <c r="Q1763" i="27"/>
  <c r="Q1539" i="27"/>
  <c r="Q1311" i="27"/>
  <c r="Q1087" i="27"/>
  <c r="Q858" i="27"/>
  <c r="Q634" i="27"/>
  <c r="Q406" i="27"/>
  <c r="Q182" i="27"/>
  <c r="Q300" i="27"/>
  <c r="Q214" i="27"/>
  <c r="Q584" i="27"/>
  <c r="BV584" i="27" s="1"/>
  <c r="Q722" i="27"/>
  <c r="Q679" i="27"/>
  <c r="Q32" i="27"/>
  <c r="Q1578" i="27"/>
  <c r="Q897" i="27"/>
  <c r="Q1403" i="27"/>
  <c r="Q1571" i="27"/>
  <c r="Q1483" i="27"/>
  <c r="Q578" i="27"/>
  <c r="BV578" i="27" s="1"/>
  <c r="Q270" i="27"/>
  <c r="Q1696" i="27"/>
  <c r="Q1324" i="27"/>
  <c r="Q647" i="27"/>
  <c r="Q1343" i="27"/>
  <c r="Q1515" i="27"/>
  <c r="Q1453" i="27"/>
  <c r="Q772" i="27"/>
  <c r="Q102" i="27"/>
  <c r="Q88" i="27"/>
  <c r="Q1670" i="27"/>
  <c r="Q1746" i="27"/>
  <c r="Q841" i="27"/>
  <c r="Q951" i="27"/>
  <c r="Q1651" i="27"/>
  <c r="Q1199" i="27"/>
  <c r="Q522" i="27"/>
  <c r="Q294" i="27"/>
  <c r="Q326" i="27"/>
  <c r="Q597" i="27"/>
  <c r="Q938" i="27"/>
  <c r="Q1300" i="27"/>
  <c r="Q1584" i="27"/>
  <c r="Q1608" i="27"/>
  <c r="Q1384" i="27"/>
  <c r="Q1156" i="27"/>
  <c r="Q932" i="27"/>
  <c r="Q703" i="27"/>
  <c r="Q479" i="27"/>
  <c r="Q251" i="27"/>
  <c r="Q26" i="27"/>
  <c r="Q1459" i="27"/>
  <c r="Q1119" i="27"/>
  <c r="Q1627" i="27"/>
  <c r="Q1037" i="27"/>
  <c r="Q1733" i="27"/>
  <c r="Q1509" i="27"/>
  <c r="Q1281" i="27"/>
  <c r="Q1057" i="27"/>
  <c r="Q828" i="27"/>
  <c r="Q604" i="27"/>
  <c r="Q376" i="27"/>
  <c r="Q152" i="27"/>
  <c r="Q75" i="27"/>
  <c r="Q752" i="27"/>
  <c r="Q356" i="27"/>
  <c r="Q158" i="27"/>
  <c r="Q1390" i="27"/>
  <c r="B246" i="5"/>
  <c r="G718" i="27"/>
  <c r="B239" i="5"/>
  <c r="A556" i="27" s="1"/>
  <c r="E79" i="27"/>
  <c r="E1437" i="27"/>
  <c r="E532" i="27"/>
  <c r="BJ532" i="27" s="1"/>
  <c r="CI532" i="27" s="1"/>
  <c r="E985" i="27"/>
  <c r="G1623" i="27"/>
  <c r="G947" i="27"/>
  <c r="G1171" i="27"/>
  <c r="G494" i="27"/>
  <c r="BV554" i="27"/>
  <c r="BQ82" i="27"/>
  <c r="BV597" i="27"/>
  <c r="BV538" i="27"/>
  <c r="BV564" i="27"/>
  <c r="BQ75" i="27"/>
  <c r="BV551" i="27"/>
  <c r="BV548" i="27"/>
  <c r="BV541" i="27"/>
  <c r="BV535" i="27"/>
  <c r="W1249" i="27"/>
  <c r="W1305" i="27"/>
  <c r="W909" i="27"/>
  <c r="BV600" i="27"/>
  <c r="BV570" i="27"/>
  <c r="BV587" i="27"/>
  <c r="BQ78" i="27"/>
  <c r="BV557" i="27"/>
  <c r="A104" i="27"/>
  <c r="W3" i="27" s="1"/>
  <c r="G266" i="27"/>
  <c r="B247" i="5"/>
  <c r="A29" i="15"/>
  <c r="B16" i="13"/>
  <c r="B11" i="13"/>
  <c r="Q124" i="15"/>
  <c r="O112" i="15"/>
  <c r="Q112" i="15" s="1"/>
  <c r="O49" i="15"/>
  <c r="Q49" i="15" s="1"/>
  <c r="O82" i="15"/>
  <c r="O19" i="15"/>
  <c r="M127" i="15"/>
  <c r="M64" i="15"/>
  <c r="Q4" i="15"/>
  <c r="F81" i="15"/>
  <c r="F18" i="15"/>
  <c r="Q7" i="15"/>
  <c r="Q61" i="15"/>
  <c r="D15" i="15"/>
  <c r="F123" i="15"/>
  <c r="N121" i="15" s="1"/>
  <c r="P121" i="15" s="1"/>
  <c r="F93" i="15"/>
  <c r="N91" i="15" s="1"/>
  <c r="P91" i="15" s="1"/>
  <c r="H27" i="15"/>
  <c r="H120" i="15"/>
  <c r="N118" i="15" s="1"/>
  <c r="P118" i="15" s="1"/>
  <c r="H90" i="15"/>
  <c r="N88" i="15" s="1"/>
  <c r="P88" i="15" s="1"/>
  <c r="F60" i="15"/>
  <c r="F111" i="15"/>
  <c r="H57" i="15"/>
  <c r="F48" i="15"/>
  <c r="F30" i="15"/>
  <c r="H12" i="15"/>
  <c r="H42" i="15"/>
  <c r="H105" i="15"/>
  <c r="H75" i="15"/>
  <c r="Q88" i="15"/>
  <c r="Q121" i="15"/>
  <c r="Q55" i="15"/>
  <c r="Q43" i="15"/>
  <c r="Q46" i="15"/>
  <c r="P94" i="15"/>
  <c r="Q94" i="15"/>
  <c r="Q58" i="15"/>
  <c r="Q91" i="15"/>
  <c r="Q28" i="15"/>
  <c r="Q37" i="15"/>
  <c r="Q25" i="15"/>
  <c r="Q40" i="15"/>
  <c r="O18" i="27" l="1"/>
  <c r="Q445" i="27"/>
  <c r="Q1070" i="27"/>
  <c r="Q1238" i="27"/>
  <c r="Q1014" i="27"/>
  <c r="Q333" i="27"/>
  <c r="W331" i="27" s="1"/>
  <c r="Q109" i="27"/>
  <c r="Q1126" i="27"/>
  <c r="Q1294" i="27"/>
  <c r="Q389" i="27"/>
  <c r="Q1350" i="27"/>
  <c r="Q1182" i="27"/>
  <c r="Q958" i="27"/>
  <c r="Q277" i="27"/>
  <c r="Q52" i="27"/>
  <c r="Q221" i="27"/>
  <c r="Q165" i="27"/>
  <c r="BF556" i="27"/>
  <c r="CE556" i="27" s="1"/>
  <c r="W796" i="27"/>
  <c r="Z796" i="27" s="1"/>
  <c r="W456" i="27"/>
  <c r="Z456" i="27" s="1"/>
  <c r="W852" i="27"/>
  <c r="Z852" i="27" s="1"/>
  <c r="W904" i="27"/>
  <c r="Z904" i="27" s="1"/>
  <c r="W901" i="27"/>
  <c r="Z901" i="27" s="1"/>
  <c r="W895" i="27"/>
  <c r="Z895" i="27" s="1"/>
  <c r="W842" i="27"/>
  <c r="Z842" i="27" s="1"/>
  <c r="W848" i="27"/>
  <c r="Z848" i="27" s="1"/>
  <c r="W845" i="27"/>
  <c r="Z845" i="27" s="1"/>
  <c r="W839" i="27"/>
  <c r="Z839" i="27" s="1"/>
  <c r="W898" i="27"/>
  <c r="Z898" i="27" s="1"/>
  <c r="G41" i="27"/>
  <c r="W116" i="27" s="1"/>
  <c r="Z116" i="27" s="1"/>
  <c r="G1399" i="27"/>
  <c r="W1411" i="27" s="1"/>
  <c r="W1351" i="27"/>
  <c r="Z1351" i="27" s="1"/>
  <c r="W1806" i="27"/>
  <c r="Z1806" i="27" s="1"/>
  <c r="W1800" i="27"/>
  <c r="Z1800" i="27" s="1"/>
  <c r="W1357" i="27"/>
  <c r="Z1357" i="27" s="1"/>
  <c r="W1747" i="27"/>
  <c r="Z1747" i="27" s="1"/>
  <c r="W1750" i="27"/>
  <c r="Z1750" i="27" s="1"/>
  <c r="W1301" i="27"/>
  <c r="Z1301" i="27" s="1"/>
  <c r="W1744" i="27"/>
  <c r="Z1744" i="27" s="1"/>
  <c r="W1298" i="27"/>
  <c r="Z1298" i="27" s="1"/>
  <c r="W1753" i="27"/>
  <c r="Z1753" i="27" s="1"/>
  <c r="W1809" i="27"/>
  <c r="Z1809" i="27" s="1"/>
  <c r="W1295" i="27"/>
  <c r="Z1295" i="27" s="1"/>
  <c r="W1354" i="27"/>
  <c r="Z1354" i="27" s="1"/>
  <c r="W1803" i="27"/>
  <c r="Z1803" i="27" s="1"/>
  <c r="W1189" i="27"/>
  <c r="W1183" i="27"/>
  <c r="W1186" i="27"/>
  <c r="W228" i="27"/>
  <c r="Z228" i="27" s="1"/>
  <c r="W169" i="27"/>
  <c r="Z169" i="27" s="1"/>
  <c r="W225" i="27"/>
  <c r="Z225" i="27" s="1"/>
  <c r="W172" i="27"/>
  <c r="Z172" i="27" s="1"/>
  <c r="W222" i="27"/>
  <c r="Z222" i="27" s="1"/>
  <c r="W166" i="27"/>
  <c r="Z166" i="27" s="1"/>
  <c r="W176" i="27"/>
  <c r="Z176" i="27" s="1"/>
  <c r="W340" i="27"/>
  <c r="W278" i="27"/>
  <c r="Z278" i="27" s="1"/>
  <c r="W337" i="27"/>
  <c r="W284" i="27"/>
  <c r="Z284" i="27" s="1"/>
  <c r="W281" i="27"/>
  <c r="Z281" i="27" s="1"/>
  <c r="W334" i="27"/>
  <c r="W232" i="27"/>
  <c r="Z232" i="27" s="1"/>
  <c r="W288" i="27"/>
  <c r="Z288" i="27" s="1"/>
  <c r="Z1305" i="27"/>
  <c r="Z1249" i="27"/>
  <c r="BE79" i="27"/>
  <c r="W120" i="27"/>
  <c r="Z120" i="27" s="1"/>
  <c r="W1239" i="27"/>
  <c r="W1245" i="27"/>
  <c r="W1242" i="27"/>
  <c r="W1137" i="27"/>
  <c r="W1193" i="27"/>
  <c r="W1021" i="27"/>
  <c r="W1018" i="27"/>
  <c r="W959" i="27"/>
  <c r="W965" i="27"/>
  <c r="W962" i="27"/>
  <c r="W1015" i="27"/>
  <c r="W969" i="27"/>
  <c r="W913" i="27"/>
  <c r="W1694" i="27"/>
  <c r="W1638" i="27"/>
  <c r="W1688" i="27"/>
  <c r="W1635" i="27"/>
  <c r="W1632" i="27"/>
  <c r="W1691" i="27"/>
  <c r="W1641" i="27"/>
  <c r="W1697" i="27"/>
  <c r="W1589" i="27"/>
  <c r="W1645" i="27"/>
  <c r="H117" i="15"/>
  <c r="N112" i="15" s="1"/>
  <c r="P112" i="15" s="1"/>
  <c r="O1735" i="27"/>
  <c r="O1455" i="27"/>
  <c r="O1712" i="27"/>
  <c r="O1567" i="27"/>
  <c r="W1569" i="27" s="1"/>
  <c r="O1544" i="27"/>
  <c r="O1623" i="27"/>
  <c r="W1625" i="27" s="1"/>
  <c r="O1283" i="27"/>
  <c r="O807" i="27"/>
  <c r="O662" i="27"/>
  <c r="W664" i="27" s="1"/>
  <c r="Z664" i="27" s="1"/>
  <c r="O550" i="27"/>
  <c r="W546" i="27" s="1"/>
  <c r="Z546" i="27" s="1"/>
  <c r="O1656" i="27"/>
  <c r="O1260" i="27"/>
  <c r="O1115" i="27"/>
  <c r="W1120" i="27" s="1"/>
  <c r="O639" i="27"/>
  <c r="O434" i="27"/>
  <c r="W439" i="27" s="1"/>
  <c r="O1376" i="27"/>
  <c r="O1227" i="27"/>
  <c r="W1232" i="27" s="1"/>
  <c r="O886" i="27"/>
  <c r="O751" i="27"/>
  <c r="O1600" i="27"/>
  <c r="O1092" i="27"/>
  <c r="O980" i="27"/>
  <c r="O718" i="27"/>
  <c r="W714" i="27" s="1"/>
  <c r="Z714" i="27" s="1"/>
  <c r="O583" i="27"/>
  <c r="BT583" i="27" s="1"/>
  <c r="O494" i="27"/>
  <c r="W499" i="27" s="1"/>
  <c r="Z499" i="27" s="1"/>
  <c r="O1791" i="27"/>
  <c r="O1511" i="27"/>
  <c r="W1507" i="27" s="1"/>
  <c r="O1171" i="27"/>
  <c r="O924" i="27"/>
  <c r="O830" i="27"/>
  <c r="O1432" i="27"/>
  <c r="O131" i="27"/>
  <c r="O1399" i="27"/>
  <c r="O1148" i="27"/>
  <c r="O1059" i="27"/>
  <c r="W1064" i="27" s="1"/>
  <c r="O299" i="27"/>
  <c r="O187" i="27"/>
  <c r="O1036" i="27"/>
  <c r="O695" i="27"/>
  <c r="O378" i="27"/>
  <c r="W377" i="27" s="1"/>
  <c r="Z377" i="27" s="1"/>
  <c r="O266" i="27"/>
  <c r="W262" i="27" s="1"/>
  <c r="Z262" i="27" s="1"/>
  <c r="O98" i="27"/>
  <c r="O1768" i="27"/>
  <c r="O1339" i="27"/>
  <c r="O1003" i="27"/>
  <c r="W1005" i="27" s="1"/>
  <c r="O527" i="27"/>
  <c r="O355" i="27"/>
  <c r="O243" i="27"/>
  <c r="O74" i="27"/>
  <c r="BO74" i="27" s="1"/>
  <c r="O1488" i="27"/>
  <c r="O1204" i="27"/>
  <c r="O1316" i="27"/>
  <c r="O606" i="27"/>
  <c r="W608" i="27" s="1"/>
  <c r="Z608" i="27" s="1"/>
  <c r="O947" i="27"/>
  <c r="W946" i="27" s="1"/>
  <c r="O322" i="27"/>
  <c r="W321" i="27" s="1"/>
  <c r="O411" i="27"/>
  <c r="O471" i="27"/>
  <c r="O154" i="27"/>
  <c r="W159" i="27" s="1"/>
  <c r="Z159" i="27" s="1"/>
  <c r="O863" i="27"/>
  <c r="O210" i="27"/>
  <c r="W209" i="27" s="1"/>
  <c r="Z209" i="27" s="1"/>
  <c r="O41" i="27"/>
  <c r="O1679" i="27"/>
  <c r="W1681" i="27" s="1"/>
  <c r="O774" i="27"/>
  <c r="W770" i="27" s="1"/>
  <c r="Z770" i="27" s="1"/>
  <c r="W387" i="27"/>
  <c r="Z387" i="27" s="1"/>
  <c r="W443" i="27"/>
  <c r="W163" i="27"/>
  <c r="Z163" i="27" s="1"/>
  <c r="W1473" i="27"/>
  <c r="W1133" i="27"/>
  <c r="W1130" i="27"/>
  <c r="W1077" i="27"/>
  <c r="W1127" i="27"/>
  <c r="W1074" i="27"/>
  <c r="W1071" i="27"/>
  <c r="W1025" i="27"/>
  <c r="W1081" i="27"/>
  <c r="Z909" i="27"/>
  <c r="W680" i="27"/>
  <c r="Z680" i="27" s="1"/>
  <c r="W624" i="27"/>
  <c r="Z624" i="27" s="1"/>
  <c r="W677" i="27"/>
  <c r="Z677" i="27" s="1"/>
  <c r="W621" i="27"/>
  <c r="Z621" i="27" s="1"/>
  <c r="W674" i="27"/>
  <c r="Z674" i="27" s="1"/>
  <c r="W618" i="27"/>
  <c r="Z618" i="27" s="1"/>
  <c r="W671" i="27"/>
  <c r="Z671" i="27" s="1"/>
  <c r="W615" i="27"/>
  <c r="Z615" i="27" s="1"/>
  <c r="W628" i="27"/>
  <c r="Z628" i="27" s="1"/>
  <c r="W572" i="27"/>
  <c r="Z572" i="27" s="1"/>
  <c r="W503" i="27"/>
  <c r="Z503" i="27" s="1"/>
  <c r="W568" i="27"/>
  <c r="Z568" i="27" s="1"/>
  <c r="W565" i="27"/>
  <c r="Z565" i="27" s="1"/>
  <c r="W512" i="27"/>
  <c r="Z512" i="27" s="1"/>
  <c r="W460" i="27"/>
  <c r="Z460" i="27" s="1"/>
  <c r="W562" i="27"/>
  <c r="Z562" i="27" s="1"/>
  <c r="W509" i="27"/>
  <c r="Z509" i="27" s="1"/>
  <c r="W559" i="27"/>
  <c r="Z559" i="27" s="1"/>
  <c r="W506" i="27"/>
  <c r="Z506" i="27" s="1"/>
  <c r="W516" i="27"/>
  <c r="Z516" i="27" s="1"/>
  <c r="W1585" i="27"/>
  <c r="W1582" i="27"/>
  <c r="W1529" i="27"/>
  <c r="W1579" i="27"/>
  <c r="W1526" i="27"/>
  <c r="W1576" i="27"/>
  <c r="W1523" i="27"/>
  <c r="W1520" i="27"/>
  <c r="W1533" i="27"/>
  <c r="W1477" i="27"/>
  <c r="M1605" i="27"/>
  <c r="W1615" i="27" s="1"/>
  <c r="M1381" i="27"/>
  <c r="M1661" i="27"/>
  <c r="W1671" i="27" s="1"/>
  <c r="M1773" i="27"/>
  <c r="M1493" i="27"/>
  <c r="M1717" i="27"/>
  <c r="M1437" i="27"/>
  <c r="M1153" i="27"/>
  <c r="W1163" i="27" s="1"/>
  <c r="M985" i="27"/>
  <c r="W995" i="27" s="1"/>
  <c r="M756" i="27"/>
  <c r="W766" i="27" s="1"/>
  <c r="Z766" i="27" s="1"/>
  <c r="M588" i="27"/>
  <c r="BR588" i="27" s="1"/>
  <c r="M1097" i="27"/>
  <c r="M929" i="27"/>
  <c r="W930" i="27" s="1"/>
  <c r="M1209" i="27"/>
  <c r="W1213" i="27" s="1"/>
  <c r="M868" i="27"/>
  <c r="M1321" i="27"/>
  <c r="M1041" i="27"/>
  <c r="W1051" i="27" s="1"/>
  <c r="M700" i="27"/>
  <c r="M476" i="27"/>
  <c r="W480" i="27" s="1"/>
  <c r="Z480" i="27" s="1"/>
  <c r="M812" i="27"/>
  <c r="M360" i="27"/>
  <c r="W367" i="27" s="1"/>
  <c r="Z367" i="27" s="1"/>
  <c r="M532" i="27"/>
  <c r="BR532" i="27" s="1"/>
  <c r="M79" i="27"/>
  <c r="M644" i="27"/>
  <c r="W651" i="27" s="1"/>
  <c r="Z651" i="27" s="1"/>
  <c r="M136" i="27"/>
  <c r="W137" i="27" s="1"/>
  <c r="Z137" i="27" s="1"/>
  <c r="M1549" i="27"/>
  <c r="W1556" i="27" s="1"/>
  <c r="M1265" i="27"/>
  <c r="M416" i="27"/>
  <c r="W420" i="27" s="1"/>
  <c r="M192" i="27"/>
  <c r="W202" i="27" s="1"/>
  <c r="Z202" i="27" s="1"/>
  <c r="M23" i="27"/>
  <c r="M248" i="27"/>
  <c r="M304" i="27"/>
  <c r="W311" i="27" s="1"/>
  <c r="W446" i="27"/>
  <c r="W393" i="27"/>
  <c r="Z393" i="27" s="1"/>
  <c r="W390" i="27"/>
  <c r="Z390" i="27" s="1"/>
  <c r="W452" i="27"/>
  <c r="W449" i="27"/>
  <c r="W396" i="27"/>
  <c r="Z396" i="27" s="1"/>
  <c r="Z3" i="27"/>
  <c r="W344" i="27"/>
  <c r="Z344" i="27" s="1"/>
  <c r="W400" i="27"/>
  <c r="Z400" i="27" s="1"/>
  <c r="W792" i="27"/>
  <c r="Z792" i="27" s="1"/>
  <c r="W789" i="27"/>
  <c r="Z789" i="27" s="1"/>
  <c r="W736" i="27"/>
  <c r="Z736" i="27" s="1"/>
  <c r="W786" i="27"/>
  <c r="Z786" i="27" s="1"/>
  <c r="W733" i="27"/>
  <c r="Z733" i="27" s="1"/>
  <c r="W783" i="27"/>
  <c r="Z783" i="27" s="1"/>
  <c r="W730" i="27"/>
  <c r="Z730" i="27" s="1"/>
  <c r="W727" i="27"/>
  <c r="Z727" i="27" s="1"/>
  <c r="W740" i="27"/>
  <c r="Z740" i="27" s="1"/>
  <c r="W684" i="27"/>
  <c r="Z684" i="27" s="1"/>
  <c r="O64" i="15"/>
  <c r="Q19" i="15"/>
  <c r="O127" i="15"/>
  <c r="Q82" i="15"/>
  <c r="N61" i="15"/>
  <c r="P61" i="15" s="1"/>
  <c r="N31" i="15"/>
  <c r="P31" i="15" s="1"/>
  <c r="N25" i="15"/>
  <c r="P25" i="15" s="1"/>
  <c r="N58" i="15"/>
  <c r="P58" i="15" s="1"/>
  <c r="N55" i="15"/>
  <c r="P55" i="15" s="1"/>
  <c r="Q115" i="15"/>
  <c r="Q52" i="15"/>
  <c r="N16" i="15"/>
  <c r="P16" i="15" s="1"/>
  <c r="N28" i="15"/>
  <c r="P28" i="15" s="1"/>
  <c r="H54" i="15"/>
  <c r="H24" i="15"/>
  <c r="N19" i="15" s="1"/>
  <c r="P19" i="15" s="1"/>
  <c r="D78" i="15"/>
  <c r="H87" i="15"/>
  <c r="D45" i="15"/>
  <c r="D111" i="15"/>
  <c r="H72" i="15"/>
  <c r="H9" i="15"/>
  <c r="H39" i="15"/>
  <c r="H102" i="15"/>
  <c r="F12" i="15"/>
  <c r="N10" i="15" s="1"/>
  <c r="F105" i="15"/>
  <c r="F75" i="15"/>
  <c r="F42" i="15"/>
  <c r="W1055" i="27" l="1"/>
  <c r="Z1055" i="27" s="1"/>
  <c r="W1417" i="27"/>
  <c r="Z1417" i="27" s="1"/>
  <c r="W46" i="27"/>
  <c r="Z46" i="27" s="1"/>
  <c r="W63" i="27"/>
  <c r="Z63" i="27" s="1"/>
  <c r="W1365" i="27"/>
  <c r="Z1365" i="27" s="1"/>
  <c r="W1464" i="27"/>
  <c r="Z1464" i="27" s="1"/>
  <c r="W7" i="27"/>
  <c r="Z7" i="27" s="1"/>
  <c r="W50" i="27"/>
  <c r="Z50" i="27" s="1"/>
  <c r="W103" i="27"/>
  <c r="Z103" i="27" s="1"/>
  <c r="W53" i="27"/>
  <c r="Z53" i="27" s="1"/>
  <c r="W110" i="27"/>
  <c r="Z110" i="27" s="1"/>
  <c r="W56" i="27"/>
  <c r="Z56" i="27" s="1"/>
  <c r="W113" i="27"/>
  <c r="Z113" i="27" s="1"/>
  <c r="W59" i="27"/>
  <c r="Z59" i="27" s="1"/>
  <c r="W107" i="27"/>
  <c r="Z107" i="27" s="1"/>
  <c r="W1421" i="27"/>
  <c r="Z1421" i="27" s="1"/>
  <c r="W1470" i="27"/>
  <c r="Z1470" i="27" s="1"/>
  <c r="W1401" i="27"/>
  <c r="Z1401" i="27" s="1"/>
  <c r="W1467" i="27"/>
  <c r="Z1467" i="27" s="1"/>
  <c r="W1408" i="27"/>
  <c r="Z1408" i="27" s="1"/>
  <c r="W1414" i="27"/>
  <c r="Z1414" i="27" s="1"/>
  <c r="W1460" i="27"/>
  <c r="Z1460" i="27" s="1"/>
  <c r="W236" i="27"/>
  <c r="Z236" i="27" s="1"/>
  <c r="W1012" i="27"/>
  <c r="Z1012" i="27" s="1"/>
  <c r="W1292" i="27"/>
  <c r="W1180" i="27"/>
  <c r="W1124" i="27"/>
  <c r="W1236" i="27"/>
  <c r="Z1236" i="27" s="1"/>
  <c r="W1068" i="27"/>
  <c r="W956" i="27"/>
  <c r="Z956" i="27" s="1"/>
  <c r="W1348" i="27"/>
  <c r="W143" i="27"/>
  <c r="Z143" i="27" s="1"/>
  <c r="W140" i="27"/>
  <c r="Z140" i="27" s="1"/>
  <c r="W318" i="27"/>
  <c r="W133" i="27"/>
  <c r="W186" i="27"/>
  <c r="Z186" i="27" s="1"/>
  <c r="W252" i="27"/>
  <c r="Z252" i="27" s="1"/>
  <c r="W324" i="27"/>
  <c r="CG559" i="27"/>
  <c r="CB559" i="27"/>
  <c r="CG565" i="27"/>
  <c r="CB565" i="27"/>
  <c r="W292" i="27"/>
  <c r="W265" i="27"/>
  <c r="Z265" i="27" s="1"/>
  <c r="W308" i="27"/>
  <c r="W255" i="27"/>
  <c r="Z255" i="27" s="1"/>
  <c r="W249" i="27"/>
  <c r="Z249" i="27" s="1"/>
  <c r="W314" i="27"/>
  <c r="W127" i="27"/>
  <c r="Z127" i="27" s="1"/>
  <c r="W183" i="27"/>
  <c r="Z183" i="27" s="1"/>
  <c r="W146" i="27"/>
  <c r="Z146" i="27" s="1"/>
  <c r="W199" i="27"/>
  <c r="Z199" i="27" s="1"/>
  <c r="W180" i="27"/>
  <c r="Z180" i="27" s="1"/>
  <c r="W124" i="27"/>
  <c r="Z124" i="27" s="1"/>
  <c r="W189" i="27"/>
  <c r="Z189" i="27" s="1"/>
  <c r="W271" i="27"/>
  <c r="Z271" i="27" s="1"/>
  <c r="W301" i="27"/>
  <c r="CG562" i="27"/>
  <c r="CB562" i="27"/>
  <c r="CG568" i="27"/>
  <c r="CB568" i="27"/>
  <c r="CG572" i="27"/>
  <c r="CB572" i="27"/>
  <c r="W37" i="27"/>
  <c r="Z37" i="27" s="1"/>
  <c r="W305" i="27"/>
  <c r="W245" i="27"/>
  <c r="W298" i="27"/>
  <c r="W239" i="27"/>
  <c r="Z239" i="27" s="1"/>
  <c r="W295" i="27"/>
  <c r="W327" i="27"/>
  <c r="W219" i="27"/>
  <c r="Z219" i="27" s="1"/>
  <c r="W153" i="27"/>
  <c r="Z153" i="27" s="1"/>
  <c r="W196" i="27"/>
  <c r="Z196" i="27" s="1"/>
  <c r="W212" i="27"/>
  <c r="Z212" i="27" s="1"/>
  <c r="W206" i="27"/>
  <c r="Z206" i="27" s="1"/>
  <c r="W351" i="27"/>
  <c r="Z351" i="27" s="1"/>
  <c r="CG546" i="27"/>
  <c r="CB546" i="27"/>
  <c r="W552" i="27"/>
  <c r="Z552" i="27" s="1"/>
  <c r="BT550" i="27"/>
  <c r="W268" i="27"/>
  <c r="Z268" i="27" s="1"/>
  <c r="W242" i="27"/>
  <c r="W258" i="27"/>
  <c r="Z258" i="27" s="1"/>
  <c r="W275" i="27"/>
  <c r="Z275" i="27" s="1"/>
  <c r="W156" i="27"/>
  <c r="Z156" i="27" s="1"/>
  <c r="W193" i="27"/>
  <c r="Z193" i="27" s="1"/>
  <c r="W130" i="27"/>
  <c r="W150" i="27"/>
  <c r="Z150" i="27" s="1"/>
  <c r="W215" i="27"/>
  <c r="Z215" i="27" s="1"/>
  <c r="W348" i="27"/>
  <c r="Z348" i="27" s="1"/>
  <c r="W602" i="27"/>
  <c r="Z602" i="27" s="1"/>
  <c r="W1513" i="27"/>
  <c r="Z1513" i="27" s="1"/>
  <c r="W1058" i="27"/>
  <c r="Z1058" i="27" s="1"/>
  <c r="W1516" i="27"/>
  <c r="Z1516" i="27" s="1"/>
  <c r="W691" i="27"/>
  <c r="Z691" i="27" s="1"/>
  <c r="W1510" i="27"/>
  <c r="Z1510" i="27" s="1"/>
  <c r="Z1556" i="27"/>
  <c r="Z1213" i="27"/>
  <c r="Z1523" i="27"/>
  <c r="Z1529" i="27"/>
  <c r="Z1127" i="27"/>
  <c r="Z1133" i="27"/>
  <c r="Z1681" i="27"/>
  <c r="Z946" i="27"/>
  <c r="Z1625" i="27"/>
  <c r="Z1589" i="27"/>
  <c r="Z1632" i="27"/>
  <c r="Z1694" i="27"/>
  <c r="Z962" i="27"/>
  <c r="Z1021" i="27"/>
  <c r="Z1245" i="27"/>
  <c r="W24" i="27"/>
  <c r="Z24" i="27" s="1"/>
  <c r="Z1051" i="27"/>
  <c r="Z930" i="27"/>
  <c r="Z995" i="27"/>
  <c r="W1481" i="27"/>
  <c r="Z1615" i="27"/>
  <c r="Z1576" i="27"/>
  <c r="Z1582" i="27"/>
  <c r="W97" i="27"/>
  <c r="Z97" i="27" s="1"/>
  <c r="Z1071" i="27"/>
  <c r="Z1077" i="27"/>
  <c r="Z1005" i="27"/>
  <c r="Z1232" i="27"/>
  <c r="Z1120" i="27"/>
  <c r="Z1697" i="27"/>
  <c r="Z1635" i="27"/>
  <c r="Z913" i="27"/>
  <c r="Z965" i="27"/>
  <c r="Z1193" i="27"/>
  <c r="Z1239" i="27"/>
  <c r="W33" i="27"/>
  <c r="Z33" i="27" s="1"/>
  <c r="Z1163" i="27"/>
  <c r="Z1477" i="27"/>
  <c r="Z1520" i="27"/>
  <c r="Z1526" i="27"/>
  <c r="Z1585" i="27"/>
  <c r="W555" i="27"/>
  <c r="Z555" i="27" s="1"/>
  <c r="Z1081" i="27"/>
  <c r="Z1130" i="27"/>
  <c r="Z1411" i="27"/>
  <c r="Z1473" i="27"/>
  <c r="Z1186" i="27"/>
  <c r="Z1569" i="27"/>
  <c r="Z1641" i="27"/>
  <c r="Z1688" i="27"/>
  <c r="Z969" i="27"/>
  <c r="Z959" i="27"/>
  <c r="Z1137" i="27"/>
  <c r="W27" i="27"/>
  <c r="Z27" i="27" s="1"/>
  <c r="Z1671" i="27"/>
  <c r="Z1533" i="27"/>
  <c r="Z1579" i="27"/>
  <c r="Z1025" i="27"/>
  <c r="Z1074" i="27"/>
  <c r="Z1064" i="27"/>
  <c r="Z1507" i="27"/>
  <c r="Z1645" i="27"/>
  <c r="Z1691" i="27"/>
  <c r="Z1638" i="27"/>
  <c r="Z1015" i="27"/>
  <c r="Z1018" i="27"/>
  <c r="Z1242" i="27"/>
  <c r="W30" i="27"/>
  <c r="Z30" i="27" s="1"/>
  <c r="W1061" i="27"/>
  <c r="W86" i="27"/>
  <c r="Z86" i="27" s="1"/>
  <c r="BM79" i="27"/>
  <c r="W100" i="27"/>
  <c r="Z100" i="27" s="1"/>
  <c r="W1451" i="27"/>
  <c r="W1111" i="27"/>
  <c r="W549" i="27"/>
  <c r="Z549" i="27" s="1"/>
  <c r="W1114" i="27"/>
  <c r="W1454" i="27"/>
  <c r="W611" i="27"/>
  <c r="Z611" i="27" s="1"/>
  <c r="W94" i="27"/>
  <c r="Z94" i="27" s="1"/>
  <c r="W1457" i="27"/>
  <c r="W40" i="27"/>
  <c r="Z40" i="27" s="1"/>
  <c r="W1378" i="27"/>
  <c r="W1563" i="27"/>
  <c r="W1566" i="27"/>
  <c r="W1572" i="27"/>
  <c r="W776" i="27"/>
  <c r="Z776" i="27" s="1"/>
  <c r="W710" i="27"/>
  <c r="Z710" i="27" s="1"/>
  <c r="W779" i="27"/>
  <c r="Z779" i="27" s="1"/>
  <c r="W380" i="27"/>
  <c r="Z380" i="27" s="1"/>
  <c r="W523" i="27"/>
  <c r="Z523" i="27" s="1"/>
  <c r="W1546" i="27"/>
  <c r="W747" i="27"/>
  <c r="Z747" i="27" s="1"/>
  <c r="W704" i="27"/>
  <c r="Z704" i="27" s="1"/>
  <c r="W383" i="27"/>
  <c r="Z383" i="27" s="1"/>
  <c r="W773" i="27"/>
  <c r="Z773" i="27" s="1"/>
  <c r="W1088" i="27"/>
  <c r="W1117" i="27"/>
  <c r="W694" i="27"/>
  <c r="Z694" i="27" s="1"/>
  <c r="W750" i="27"/>
  <c r="Z750" i="27" s="1"/>
  <c r="W757" i="27"/>
  <c r="Z757" i="27" s="1"/>
  <c r="W763" i="27"/>
  <c r="Z763" i="27" s="1"/>
  <c r="W576" i="27"/>
  <c r="Z576" i="27" s="1"/>
  <c r="W701" i="27"/>
  <c r="Z701" i="27" s="1"/>
  <c r="W707" i="27"/>
  <c r="Z707" i="27" s="1"/>
  <c r="W374" i="27"/>
  <c r="Z374" i="27" s="1"/>
  <c r="N115" i="15"/>
  <c r="P115" i="15" s="1"/>
  <c r="W753" i="27"/>
  <c r="Z753" i="27" s="1"/>
  <c r="W760" i="27"/>
  <c r="Z760" i="27" s="1"/>
  <c r="W436" i="27"/>
  <c r="W1428" i="27"/>
  <c r="W723" i="27"/>
  <c r="Z723" i="27" s="1"/>
  <c r="W1494" i="27"/>
  <c r="W605" i="27"/>
  <c r="Z605" i="27" s="1"/>
  <c r="W430" i="27"/>
  <c r="W43" i="27"/>
  <c r="Z43" i="27" s="1"/>
  <c r="W717" i="27"/>
  <c r="Z717" i="27" s="1"/>
  <c r="W720" i="27"/>
  <c r="Z720" i="27" s="1"/>
  <c r="W688" i="27"/>
  <c r="Z688" i="27" s="1"/>
  <c r="W433" i="27"/>
  <c r="W697" i="27"/>
  <c r="Z697" i="27" s="1"/>
  <c r="W1540" i="27"/>
  <c r="W1537" i="27"/>
  <c r="W536" i="27"/>
  <c r="Z536" i="27" s="1"/>
  <c r="W641" i="27"/>
  <c r="Z641" i="27" s="1"/>
  <c r="W933" i="27"/>
  <c r="W1167" i="27"/>
  <c r="W20" i="27"/>
  <c r="W744" i="27"/>
  <c r="Z744" i="27" s="1"/>
  <c r="W1150" i="27"/>
  <c r="W579" i="27"/>
  <c r="Z579" i="27" s="1"/>
  <c r="W1094" i="27"/>
  <c r="W939" i="27"/>
  <c r="W1157" i="27"/>
  <c r="W483" i="27"/>
  <c r="Z483" i="27" s="1"/>
  <c r="W1441" i="27"/>
  <c r="W923" i="27"/>
  <c r="W1606" i="27"/>
  <c r="W1612" i="27"/>
  <c r="W370" i="27"/>
  <c r="Z370" i="27" s="1"/>
  <c r="W357" i="27"/>
  <c r="W364" i="27"/>
  <c r="Z364" i="27" s="1"/>
  <c r="W1322" i="27"/>
  <c r="W1331" i="27"/>
  <c r="W1315" i="27"/>
  <c r="W1309" i="27"/>
  <c r="W1325" i="27"/>
  <c r="W1318" i="27"/>
  <c r="W1312" i="27"/>
  <c r="W1328" i="27"/>
  <c r="W1543" i="27"/>
  <c r="W1553" i="27"/>
  <c r="W1559" i="27"/>
  <c r="W464" i="27"/>
  <c r="Z464" i="27" s="1"/>
  <c r="W470" i="27"/>
  <c r="Z470" i="27" s="1"/>
  <c r="W477" i="27"/>
  <c r="Z477" i="27" s="1"/>
  <c r="W585" i="27"/>
  <c r="Z585" i="27" s="1"/>
  <c r="W592" i="27"/>
  <c r="Z592" i="27" s="1"/>
  <c r="W598" i="27"/>
  <c r="Z598" i="27" s="1"/>
  <c r="W67" i="27"/>
  <c r="Z67" i="27" s="1"/>
  <c r="W89" i="27"/>
  <c r="Z89" i="27" s="1"/>
  <c r="W1035" i="27"/>
  <c r="W1098" i="27"/>
  <c r="W1104" i="27"/>
  <c r="W1382" i="27"/>
  <c r="W1391" i="27"/>
  <c r="W1372" i="27"/>
  <c r="W1622" i="27"/>
  <c r="W982" i="27"/>
  <c r="W952" i="27"/>
  <c r="W973" i="27"/>
  <c r="W1200" i="27"/>
  <c r="W1176" i="27"/>
  <c r="W1740" i="27"/>
  <c r="W1737" i="27"/>
  <c r="W1734" i="27"/>
  <c r="W1731" i="27"/>
  <c r="W865" i="27"/>
  <c r="Z865" i="27" s="1"/>
  <c r="W872" i="27"/>
  <c r="Z872" i="27" s="1"/>
  <c r="W859" i="27"/>
  <c r="Z859" i="27" s="1"/>
  <c r="W875" i="27"/>
  <c r="Z875" i="27" s="1"/>
  <c r="W869" i="27"/>
  <c r="Z869" i="27" s="1"/>
  <c r="W862" i="27"/>
  <c r="Z862" i="27" s="1"/>
  <c r="W856" i="27"/>
  <c r="Z856" i="27" s="1"/>
  <c r="W878" i="27"/>
  <c r="Z878" i="27" s="1"/>
  <c r="W490" i="27"/>
  <c r="Z490" i="27" s="1"/>
  <c r="W496" i="27"/>
  <c r="Z496" i="27" s="1"/>
  <c r="W632" i="27"/>
  <c r="Z632" i="27" s="1"/>
  <c r="W70" i="27"/>
  <c r="Z70" i="27" s="1"/>
  <c r="W76" i="27"/>
  <c r="Z76" i="27" s="1"/>
  <c r="W83" i="27"/>
  <c r="Z83" i="27" s="1"/>
  <c r="W1404" i="27"/>
  <c r="W1398" i="27"/>
  <c r="W1285" i="27"/>
  <c r="W1288" i="27"/>
  <c r="W1282" i="27"/>
  <c r="W1279" i="27"/>
  <c r="W1678" i="27"/>
  <c r="W1649" i="27"/>
  <c r="W1658" i="27"/>
  <c r="W1665" i="27"/>
  <c r="W917" i="27"/>
  <c r="W1008" i="27"/>
  <c r="W999" i="27"/>
  <c r="W1141" i="27"/>
  <c r="W1173" i="27"/>
  <c r="W1203" i="27"/>
  <c r="W1210" i="27"/>
  <c r="W423" i="27"/>
  <c r="W417" i="27"/>
  <c r="W407" i="27"/>
  <c r="W413" i="27"/>
  <c r="W1718" i="27"/>
  <c r="W1714" i="27"/>
  <c r="W1711" i="27"/>
  <c r="W1708" i="27"/>
  <c r="W1727" i="27"/>
  <c r="W1705" i="27"/>
  <c r="W1724" i="27"/>
  <c r="W1721" i="27"/>
  <c r="W1484" i="27"/>
  <c r="W1497" i="27"/>
  <c r="W1503" i="27"/>
  <c r="W542" i="27"/>
  <c r="Z542" i="27" s="1"/>
  <c r="W520" i="27"/>
  <c r="Z520" i="27" s="1"/>
  <c r="W526" i="27"/>
  <c r="Z526" i="27" s="1"/>
  <c r="W638" i="27"/>
  <c r="Z638" i="27" s="1"/>
  <c r="W648" i="27"/>
  <c r="Z648" i="27" s="1"/>
  <c r="W654" i="27"/>
  <c r="Z654" i="27" s="1"/>
  <c r="W661" i="27"/>
  <c r="Z661" i="27" s="1"/>
  <c r="W1038" i="27"/>
  <c r="W1048" i="27"/>
  <c r="W1029" i="27"/>
  <c r="W1388" i="27"/>
  <c r="W1444" i="27"/>
  <c r="W1425" i="27"/>
  <c r="W832" i="27"/>
  <c r="Z832" i="27" s="1"/>
  <c r="W826" i="27"/>
  <c r="Z826" i="27" s="1"/>
  <c r="W835" i="27"/>
  <c r="Z835" i="27" s="1"/>
  <c r="W829" i="27"/>
  <c r="Z829" i="27" s="1"/>
  <c r="W1652" i="27"/>
  <c r="W1675" i="27"/>
  <c r="W1684" i="27"/>
  <c r="W943" i="27"/>
  <c r="W926" i="27"/>
  <c r="W986" i="27"/>
  <c r="W949" i="27"/>
  <c r="W1216" i="27"/>
  <c r="W1229" i="27"/>
  <c r="W667" i="27"/>
  <c r="Z667" i="27" s="1"/>
  <c r="W582" i="27"/>
  <c r="Z582" i="27" s="1"/>
  <c r="W17" i="27"/>
  <c r="Z17" i="27" s="1"/>
  <c r="W1341" i="27"/>
  <c r="W1335" i="27"/>
  <c r="W1344" i="27"/>
  <c r="W1338" i="27"/>
  <c r="W1619" i="27"/>
  <c r="W1593" i="27"/>
  <c r="W1602" i="27"/>
  <c r="W1609" i="27"/>
  <c r="W989" i="27"/>
  <c r="W976" i="27"/>
  <c r="W1147" i="27"/>
  <c r="W1144" i="27"/>
  <c r="W1154" i="27"/>
  <c r="W1160" i="27"/>
  <c r="W1596" i="27"/>
  <c r="W354" i="27"/>
  <c r="W361" i="27"/>
  <c r="Z361" i="27" s="1"/>
  <c r="W819" i="27"/>
  <c r="Z819" i="27" s="1"/>
  <c r="W813" i="27"/>
  <c r="Z813" i="27" s="1"/>
  <c r="W806" i="27"/>
  <c r="Z806" i="27" s="1"/>
  <c r="W822" i="27"/>
  <c r="Z822" i="27" s="1"/>
  <c r="W816" i="27"/>
  <c r="Z816" i="27" s="1"/>
  <c r="W809" i="27"/>
  <c r="Z809" i="27" s="1"/>
  <c r="W803" i="27"/>
  <c r="Z803" i="27" s="1"/>
  <c r="W800" i="27"/>
  <c r="Z800" i="27" s="1"/>
  <c r="W1770" i="27"/>
  <c r="W1767" i="27"/>
  <c r="W1764" i="27"/>
  <c r="W1761" i="27"/>
  <c r="W1780" i="27"/>
  <c r="W1783" i="27"/>
  <c r="W1777" i="27"/>
  <c r="W1774" i="27"/>
  <c r="W1550" i="27"/>
  <c r="W529" i="27"/>
  <c r="Z529" i="27" s="1"/>
  <c r="W486" i="27"/>
  <c r="Z486" i="27" s="1"/>
  <c r="W467" i="27"/>
  <c r="Z467" i="27" s="1"/>
  <c r="W473" i="27"/>
  <c r="Z473" i="27" s="1"/>
  <c r="W589" i="27"/>
  <c r="Z589" i="27" s="1"/>
  <c r="W595" i="27"/>
  <c r="Z595" i="27" s="1"/>
  <c r="W11" i="27"/>
  <c r="Z11" i="27" s="1"/>
  <c r="W1085" i="27"/>
  <c r="W1091" i="27"/>
  <c r="W1101" i="27"/>
  <c r="W1107" i="27"/>
  <c r="W1431" i="27"/>
  <c r="W1385" i="27"/>
  <c r="W1369" i="27"/>
  <c r="W1375" i="27"/>
  <c r="W1668" i="27"/>
  <c r="W1628" i="27"/>
  <c r="W920" i="27"/>
  <c r="W992" i="27"/>
  <c r="W1002" i="27"/>
  <c r="W1219" i="27"/>
  <c r="W1170" i="27"/>
  <c r="W1266" i="27"/>
  <c r="W1259" i="27"/>
  <c r="W1275" i="27"/>
  <c r="W1272" i="27"/>
  <c r="W1269" i="27"/>
  <c r="W1262" i="27"/>
  <c r="W1256" i="27"/>
  <c r="W1253" i="27"/>
  <c r="W1487" i="27"/>
  <c r="W493" i="27"/>
  <c r="Z493" i="27" s="1"/>
  <c r="W635" i="27"/>
  <c r="Z635" i="27" s="1"/>
  <c r="W73" i="27"/>
  <c r="Z73" i="27" s="1"/>
  <c r="W80" i="27"/>
  <c r="Z80" i="27" s="1"/>
  <c r="W1434" i="27"/>
  <c r="W1395" i="27"/>
  <c r="W1599" i="27"/>
  <c r="W1655" i="27"/>
  <c r="W1662" i="27"/>
  <c r="W936" i="27"/>
  <c r="W1197" i="27"/>
  <c r="W1206" i="27"/>
  <c r="W426" i="27"/>
  <c r="W404" i="27"/>
  <c r="W410" i="27"/>
  <c r="W1490" i="27"/>
  <c r="W1500" i="27"/>
  <c r="W539" i="27"/>
  <c r="Z539" i="27" s="1"/>
  <c r="W533" i="27"/>
  <c r="Z533" i="27" s="1"/>
  <c r="W645" i="27"/>
  <c r="Z645" i="27" s="1"/>
  <c r="W658" i="27"/>
  <c r="Z658" i="27" s="1"/>
  <c r="W14" i="27"/>
  <c r="Z14" i="27" s="1"/>
  <c r="W1042" i="27"/>
  <c r="W1032" i="27"/>
  <c r="W1045" i="27"/>
  <c r="W1438" i="27"/>
  <c r="W1447" i="27"/>
  <c r="W1796" i="27"/>
  <c r="W1793" i="27"/>
  <c r="W1790" i="27"/>
  <c r="W1787" i="27"/>
  <c r="W888" i="27"/>
  <c r="Z888" i="27" s="1"/>
  <c r="W882" i="27"/>
  <c r="Z882" i="27" s="1"/>
  <c r="W891" i="27"/>
  <c r="Z891" i="27" s="1"/>
  <c r="W885" i="27"/>
  <c r="Z885" i="27" s="1"/>
  <c r="W979" i="27"/>
  <c r="W1226" i="27"/>
  <c r="W1223" i="27"/>
  <c r="N37" i="15"/>
  <c r="P37" i="15" s="1"/>
  <c r="N22" i="15"/>
  <c r="P22" i="15" s="1"/>
  <c r="N70" i="15"/>
  <c r="N67" i="15"/>
  <c r="N34" i="15"/>
  <c r="P34" i="15" s="1"/>
  <c r="N100" i="15"/>
  <c r="P100" i="15" s="1"/>
  <c r="N97" i="15"/>
  <c r="P97" i="15" s="1"/>
  <c r="N4" i="15"/>
  <c r="P4" i="15" s="1"/>
  <c r="N49" i="15"/>
  <c r="P49" i="15" s="1"/>
  <c r="N52" i="15"/>
  <c r="P52" i="15" s="1"/>
  <c r="N85" i="15"/>
  <c r="P85" i="15" s="1"/>
  <c r="N82" i="15"/>
  <c r="P82" i="15" s="1"/>
  <c r="N7" i="15"/>
  <c r="P7" i="15" s="1"/>
  <c r="Q22" i="15"/>
  <c r="Q85" i="15"/>
  <c r="N13" i="15"/>
  <c r="N109" i="15"/>
  <c r="P109" i="15" s="1"/>
  <c r="N106" i="15"/>
  <c r="P106" i="15" s="1"/>
  <c r="N103" i="15"/>
  <c r="P103" i="15" s="1"/>
  <c r="N46" i="15"/>
  <c r="P46" i="15" s="1"/>
  <c r="N43" i="15"/>
  <c r="P43" i="15" s="1"/>
  <c r="N40" i="15"/>
  <c r="P40" i="15" s="1"/>
  <c r="N73" i="15"/>
  <c r="P73" i="15" s="1"/>
  <c r="N76" i="15"/>
  <c r="P76" i="15" s="1"/>
  <c r="N79" i="15"/>
  <c r="P79" i="15" s="1"/>
  <c r="P10" i="15"/>
  <c r="Z1292" i="27" l="1"/>
  <c r="Z1068" i="27"/>
  <c r="Z1348" i="27"/>
  <c r="Z1124" i="27"/>
  <c r="Z130" i="27"/>
  <c r="Z133" i="27"/>
  <c r="Z357" i="27"/>
  <c r="Z242" i="27"/>
  <c r="Z245" i="27"/>
  <c r="Z354" i="27"/>
  <c r="CG595" i="27"/>
  <c r="CB595" i="27"/>
  <c r="CG585" i="27"/>
  <c r="CB585" i="27"/>
  <c r="CG536" i="27"/>
  <c r="CB536" i="27"/>
  <c r="CG589" i="27"/>
  <c r="CB589" i="27"/>
  <c r="CG582" i="27"/>
  <c r="CB582" i="27"/>
  <c r="CG579" i="27"/>
  <c r="CB579" i="27"/>
  <c r="CG552" i="27"/>
  <c r="CB552" i="27"/>
  <c r="CG539" i="27"/>
  <c r="CB539" i="27"/>
  <c r="CG592" i="27"/>
  <c r="CB592" i="27"/>
  <c r="CG576" i="27"/>
  <c r="CB576" i="27"/>
  <c r="CG533" i="27"/>
  <c r="CB533" i="27"/>
  <c r="CG542" i="27"/>
  <c r="CB542" i="27"/>
  <c r="CG598" i="27"/>
  <c r="CB598" i="27"/>
  <c r="CG549" i="27"/>
  <c r="CB549" i="27"/>
  <c r="CG555" i="27"/>
  <c r="CB555" i="27"/>
  <c r="Z1780" i="27"/>
  <c r="Z989" i="27"/>
  <c r="Z1341" i="27"/>
  <c r="Z926" i="27"/>
  <c r="Z1652" i="27"/>
  <c r="Z1029" i="27"/>
  <c r="Z1484" i="27"/>
  <c r="Z1718" i="27"/>
  <c r="Z1203" i="27"/>
  <c r="Z1649" i="27"/>
  <c r="Z1734" i="27"/>
  <c r="Z982" i="27"/>
  <c r="Z1312" i="27"/>
  <c r="Z992" i="27"/>
  <c r="Z1774" i="27"/>
  <c r="Z1609" i="27"/>
  <c r="Z943" i="27"/>
  <c r="Z1425" i="27"/>
  <c r="Z1048" i="27"/>
  <c r="Z1708" i="27"/>
  <c r="Z1173" i="27"/>
  <c r="Z1678" i="27"/>
  <c r="Z1737" i="27"/>
  <c r="Z1200" i="27"/>
  <c r="Z1104" i="27"/>
  <c r="Z1318" i="27"/>
  <c r="Z1157" i="27"/>
  <c r="Z1428" i="27"/>
  <c r="Z1117" i="27"/>
  <c r="Z1572" i="27"/>
  <c r="Z1111" i="27"/>
  <c r="Z1223" i="27"/>
  <c r="Z1790" i="27"/>
  <c r="Z1438" i="27"/>
  <c r="Z1490" i="27"/>
  <c r="Z1662" i="27"/>
  <c r="Z1434" i="27"/>
  <c r="Z1262" i="27"/>
  <c r="Z1259" i="27"/>
  <c r="Z1170" i="27"/>
  <c r="Z920" i="27"/>
  <c r="Z1369" i="27"/>
  <c r="Z1101" i="27"/>
  <c r="Z1777" i="27"/>
  <c r="Z1764" i="27"/>
  <c r="Z1596" i="27"/>
  <c r="Z1147" i="27"/>
  <c r="Z1602" i="27"/>
  <c r="Z1344" i="27"/>
  <c r="Z949" i="27"/>
  <c r="Z1684" i="27"/>
  <c r="Z1444" i="27"/>
  <c r="Z1038" i="27"/>
  <c r="Z1503" i="27"/>
  <c r="Z1724" i="27"/>
  <c r="Z1711" i="27"/>
  <c r="Z1141" i="27"/>
  <c r="Z1665" i="27"/>
  <c r="Z1279" i="27"/>
  <c r="Z1398" i="27"/>
  <c r="Z1740" i="27"/>
  <c r="Z973" i="27"/>
  <c r="Z1372" i="27"/>
  <c r="Z1098" i="27"/>
  <c r="Z1543" i="27"/>
  <c r="Z1325" i="27"/>
  <c r="Z1322" i="27"/>
  <c r="Z923" i="27"/>
  <c r="Z939" i="27"/>
  <c r="Z1150" i="27"/>
  <c r="Z933" i="27"/>
  <c r="Z1537" i="27"/>
  <c r="Z1546" i="27"/>
  <c r="Z1457" i="27"/>
  <c r="Z1481" i="27"/>
  <c r="Z979" i="27"/>
  <c r="Z1796" i="27"/>
  <c r="Z1032" i="27"/>
  <c r="Z1197" i="27"/>
  <c r="Z1599" i="27"/>
  <c r="Z1253" i="27"/>
  <c r="Z1272" i="27"/>
  <c r="Z1002" i="27"/>
  <c r="Z1668" i="27"/>
  <c r="Z1431" i="27"/>
  <c r="Z1085" i="27"/>
  <c r="Z1550" i="27"/>
  <c r="Z1770" i="27"/>
  <c r="Z1154" i="27"/>
  <c r="Z1619" i="27"/>
  <c r="Z1229" i="27"/>
  <c r="Z1727" i="27"/>
  <c r="Z1008" i="27"/>
  <c r="Z1288" i="27"/>
  <c r="Z1176" i="27"/>
  <c r="Z1382" i="27"/>
  <c r="Z1559" i="27"/>
  <c r="Z1315" i="27"/>
  <c r="Z1612" i="27"/>
  <c r="Z1378" i="27"/>
  <c r="Z1114" i="27"/>
  <c r="Z1787" i="27"/>
  <c r="Z1447" i="27"/>
  <c r="Z1042" i="27"/>
  <c r="Z1500" i="27"/>
  <c r="Z936" i="27"/>
  <c r="Z1395" i="27"/>
  <c r="Z1256" i="27"/>
  <c r="Z1275" i="27"/>
  <c r="Z1180" i="27"/>
  <c r="Z1375" i="27"/>
  <c r="Z1107" i="27"/>
  <c r="Z1761" i="27"/>
  <c r="Z1144" i="27"/>
  <c r="Z1338" i="27"/>
  <c r="Z1216" i="27"/>
  <c r="Z1721" i="27"/>
  <c r="Z1285" i="27"/>
  <c r="Z1622" i="27"/>
  <c r="Z1553" i="27"/>
  <c r="Z1331" i="27"/>
  <c r="Z1606" i="27"/>
  <c r="Z1167" i="27"/>
  <c r="Z1566" i="27"/>
  <c r="Z1226" i="27"/>
  <c r="Z1793" i="27"/>
  <c r="Z1045" i="27"/>
  <c r="Z1206" i="27"/>
  <c r="Z1655" i="27"/>
  <c r="Z1487" i="27"/>
  <c r="Z1269" i="27"/>
  <c r="Z1266" i="27"/>
  <c r="Z1219" i="27"/>
  <c r="Z1628" i="27"/>
  <c r="Z1385" i="27"/>
  <c r="Z1091" i="27"/>
  <c r="Z1783" i="27"/>
  <c r="Z1767" i="27"/>
  <c r="Z1160" i="27"/>
  <c r="Z976" i="27"/>
  <c r="Z1593" i="27"/>
  <c r="Z1335" i="27"/>
  <c r="Z986" i="27"/>
  <c r="Z1675" i="27"/>
  <c r="Z1388" i="27"/>
  <c r="Z1497" i="27"/>
  <c r="Z1705" i="27"/>
  <c r="Z1714" i="27"/>
  <c r="Z1210" i="27"/>
  <c r="Z999" i="27"/>
  <c r="Z1658" i="27"/>
  <c r="Z1282" i="27"/>
  <c r="Z1404" i="27"/>
  <c r="Z1731" i="27"/>
  <c r="Z1183" i="27"/>
  <c r="Z952" i="27"/>
  <c r="Z1391" i="27"/>
  <c r="Z1035" i="27"/>
  <c r="Z1328" i="27"/>
  <c r="Z1309" i="27"/>
  <c r="Z1441" i="27"/>
  <c r="Z1094" i="27"/>
  <c r="Z1189" i="27"/>
  <c r="Z1540" i="27"/>
  <c r="Z1494" i="27"/>
  <c r="Z1088" i="27"/>
  <c r="Z1563" i="27"/>
  <c r="Z1454" i="27"/>
  <c r="Z1451" i="27"/>
  <c r="Z1061" i="27"/>
  <c r="W908" i="27"/>
  <c r="Z917" i="27"/>
  <c r="W1813" i="27"/>
  <c r="P67" i="15"/>
  <c r="N127" i="15"/>
  <c r="Q127" i="15"/>
  <c r="Q64" i="15"/>
  <c r="P13" i="15"/>
  <c r="N64" i="15"/>
  <c r="P70" i="15"/>
  <c r="Z1813" i="27" l="1"/>
  <c r="B4" i="16" s="1"/>
  <c r="P127" i="15"/>
  <c r="P64" i="15"/>
  <c r="B36" i="5" l="1"/>
  <c r="K420" i="27" l="1"/>
  <c r="K308" i="27"/>
  <c r="U446" i="27" l="1"/>
  <c r="U410" i="27"/>
  <c r="U417" i="27"/>
  <c r="U426" i="27"/>
  <c r="U404" i="27"/>
  <c r="U439" i="27"/>
  <c r="U423" i="27"/>
  <c r="U420" i="27"/>
  <c r="U433" i="27"/>
  <c r="U430" i="27"/>
  <c r="U443" i="27"/>
  <c r="U436" i="27"/>
  <c r="U407" i="27"/>
  <c r="U413" i="27"/>
  <c r="U327" i="27"/>
  <c r="U340" i="27"/>
  <c r="U321" i="27"/>
  <c r="U334" i="27"/>
  <c r="U292" i="27"/>
  <c r="U305" i="27"/>
  <c r="U331" i="27"/>
  <c r="U318" i="27"/>
  <c r="U295" i="27"/>
  <c r="U324" i="27"/>
  <c r="U314" i="27"/>
  <c r="U311" i="27"/>
  <c r="U301" i="27"/>
  <c r="U298" i="27"/>
  <c r="U337" i="27"/>
  <c r="U308" i="27"/>
  <c r="U452" i="27"/>
  <c r="U449" i="27"/>
  <c r="Q21" i="27"/>
  <c r="U20" i="27" s="1"/>
  <c r="Z337" i="27" l="1"/>
  <c r="Z314" i="27"/>
  <c r="Z331" i="27"/>
  <c r="Z321" i="27"/>
  <c r="Z407" i="27"/>
  <c r="Z433" i="27"/>
  <c r="Z404" i="27"/>
  <c r="Z446" i="27"/>
  <c r="Z449" i="27"/>
  <c r="Z298" i="27"/>
  <c r="Z324" i="27"/>
  <c r="Z305" i="27"/>
  <c r="Z340" i="27"/>
  <c r="Z436" i="27"/>
  <c r="Z420" i="27"/>
  <c r="Z426" i="27"/>
  <c r="Z20" i="27"/>
  <c r="Z452" i="27"/>
  <c r="Z301" i="27"/>
  <c r="Z295" i="27"/>
  <c r="Z292" i="27"/>
  <c r="Z327" i="27"/>
  <c r="Z443" i="27"/>
  <c r="Z423" i="27"/>
  <c r="Z417" i="27"/>
  <c r="Z308" i="27"/>
  <c r="Z311" i="27"/>
  <c r="Z318" i="27"/>
  <c r="Z334" i="27"/>
  <c r="Z413" i="27"/>
  <c r="Z430" i="27"/>
  <c r="Z439" i="27"/>
  <c r="Z410" i="27"/>
  <c r="AA337" i="27"/>
  <c r="AA439" i="27"/>
  <c r="AA410" i="27"/>
  <c r="AA308" i="27"/>
  <c r="AA318" i="27"/>
  <c r="AA407" i="27"/>
  <c r="AA305" i="27"/>
  <c r="AA443" i="27"/>
  <c r="AA301" i="27"/>
  <c r="AA292" i="27"/>
  <c r="AA331" i="27"/>
  <c r="AA426" i="27"/>
  <c r="AA311" i="27"/>
  <c r="AA334" i="27"/>
  <c r="AA446" i="27"/>
  <c r="AA298" i="27"/>
  <c r="AA417" i="27"/>
  <c r="AA413" i="27"/>
  <c r="AA314" i="27"/>
  <c r="AA321" i="27"/>
  <c r="AA430" i="27"/>
  <c r="AA423" i="27"/>
  <c r="AA449" i="27"/>
  <c r="AA452" i="27"/>
  <c r="AA433" i="27"/>
  <c r="AA324" i="27"/>
  <c r="AA340" i="27"/>
  <c r="AA436" i="27"/>
  <c r="AA20" i="27"/>
  <c r="U908" i="27"/>
  <c r="AA420" i="27"/>
  <c r="AA404" i="27"/>
  <c r="AA295" i="27"/>
  <c r="AA327" i="27"/>
  <c r="Z908" i="27" l="1"/>
  <c r="B3" i="16" s="1"/>
  <c r="B6" i="16" s="1"/>
  <c r="B17" i="16" s="1"/>
  <c r="AA908" i="27"/>
  <c r="E3" i="16" s="1"/>
  <c r="E6" i="16" s="1"/>
  <c r="C17" i="16" s="1"/>
  <c r="C9" i="16" l="1"/>
  <c r="C10" i="16" l="1"/>
  <c r="B16" i="16" s="1"/>
</calcChain>
</file>

<file path=xl/sharedStrings.xml><?xml version="1.0" encoding="utf-8"?>
<sst xmlns="http://schemas.openxmlformats.org/spreadsheetml/2006/main" count="2132" uniqueCount="747">
  <si>
    <t>(A)</t>
  </si>
  <si>
    <t>Low Birth Weight</t>
  </si>
  <si>
    <t>Normal Weight</t>
  </si>
  <si>
    <t>Stillbirth</t>
  </si>
  <si>
    <t>PSG</t>
  </si>
  <si>
    <t>Comparator</t>
  </si>
  <si>
    <t>Very LBW</t>
  </si>
  <si>
    <t>Extremely LBW</t>
  </si>
  <si>
    <t>LBW</t>
  </si>
  <si>
    <t>RDS</t>
  </si>
  <si>
    <t>Preterm</t>
  </si>
  <si>
    <t>Term</t>
  </si>
  <si>
    <t>Mortality</t>
  </si>
  <si>
    <t>Search criteria</t>
  </si>
  <si>
    <t>Decision tree</t>
  </si>
  <si>
    <t>Decision tree OR decision analytical model OR decision model</t>
  </si>
  <si>
    <t>Preterm OR prematur*</t>
  </si>
  <si>
    <t>Underweight</t>
  </si>
  <si>
    <t>Neonatal mortality OR stillbirth</t>
  </si>
  <si>
    <t>Underweight OR low birth weight OR small for gestation* OR growth restrict*</t>
  </si>
  <si>
    <t>Receive grant</t>
  </si>
  <si>
    <t>No grant received</t>
  </si>
  <si>
    <t>ANC coverage</t>
  </si>
  <si>
    <t>No ANC</t>
  </si>
  <si>
    <t>Go to (B)</t>
  </si>
  <si>
    <t>(B)</t>
  </si>
  <si>
    <t>Study</t>
  </si>
  <si>
    <t>Cost effect* OR cost utility</t>
  </si>
  <si>
    <t>Exclusion</t>
  </si>
  <si>
    <t>No clear model</t>
  </si>
  <si>
    <t>terminal node is the outcome</t>
  </si>
  <si>
    <t>(C)</t>
  </si>
  <si>
    <t>Source</t>
  </si>
  <si>
    <t>Outcomes</t>
  </si>
  <si>
    <t>Go to (C)</t>
  </si>
  <si>
    <t>Go to (D)</t>
  </si>
  <si>
    <t>(D)</t>
  </si>
  <si>
    <t>Survival</t>
  </si>
  <si>
    <t>Mozurkewich EL, Naglie G, Krahn MD, Hayashi RH. Predicting preterm birth: a cost-effectiveness analysis. American journal of obstetrics and gynecology. 2000 Jun 1;182(6):1589-98.</t>
  </si>
  <si>
    <t>Sepsis</t>
  </si>
  <si>
    <t>Nec</t>
  </si>
  <si>
    <t>Rice SJ, Craig D, McCormick F, Renfrew MJ, Williams AF. Economic evaluation of enhanced staff contact for the promotion of breastfeeding for low birth weight infants. International journal of technology assessment in health care. 2010 Apr;26(2):133-40.</t>
  </si>
  <si>
    <t>See lit review</t>
  </si>
  <si>
    <t>Base Parameters</t>
  </si>
  <si>
    <t>Demographics</t>
  </si>
  <si>
    <t>StatsSA mid-year estimates 2021</t>
  </si>
  <si>
    <t xml:space="preserve">Population </t>
  </si>
  <si>
    <t xml:space="preserve">Female population </t>
  </si>
  <si>
    <t>SAHR 2020</t>
  </si>
  <si>
    <t>Total pregnancies</t>
  </si>
  <si>
    <t>Utilities</t>
  </si>
  <si>
    <t>Other parameters</t>
  </si>
  <si>
    <t>DR</t>
  </si>
  <si>
    <t>Children receiving CSG</t>
  </si>
  <si>
    <t>http://childrencount.uct.ac.za/indicator.php?domain=2&amp;indicator=10</t>
  </si>
  <si>
    <t>South African Pharmaco-economic guidelines</t>
  </si>
  <si>
    <t>Life expectancy (&lt;1yr)</t>
  </si>
  <si>
    <t>WHO life tables</t>
  </si>
  <si>
    <t>Costs</t>
  </si>
  <si>
    <t>Pathway/ Outcome #</t>
  </si>
  <si>
    <t>Probability of Outcome</t>
  </si>
  <si>
    <t>Difference (cost)</t>
  </si>
  <si>
    <t>ICER</t>
  </si>
  <si>
    <t># DALYs</t>
  </si>
  <si>
    <t>Average DALYs</t>
  </si>
  <si>
    <t>Total DALYs</t>
  </si>
  <si>
    <t>Average Cost</t>
  </si>
  <si>
    <t>Cost</t>
  </si>
  <si>
    <t>Life expectancy (1-4yr)</t>
  </si>
  <si>
    <t>Total</t>
  </si>
  <si>
    <t>Number of units</t>
  </si>
  <si>
    <t>Follow up</t>
  </si>
  <si>
    <t>ELBW/ VLBW</t>
  </si>
  <si>
    <t>i. At first visit patient should have had cranial ultrasound and ROP screen documented. ( BOOK IF NOT DONE.. Patient can be sent to 266 any Wednesday for screening)</t>
  </si>
  <si>
    <t>ii. Reinforce feeding practices and when to wean to solids.</t>
  </si>
  <si>
    <t>iii. Immunization up to date / check weight gain / HIV status.</t>
  </si>
  <si>
    <t>iv. General wellbeing including Neurodevelopment assessment, Book hearing test.</t>
  </si>
  <si>
    <t>v. Follow up 3 to 6 month interval depending on patient’s status ( assessments by OT/Speech/Dietician)</t>
  </si>
  <si>
    <t>vi. Duration of follow up 18 months earlier discharge if developing normally and no current problems.</t>
  </si>
  <si>
    <t>vii. Referrals to appropriate OUT PATIENT DEPARTMENT for follow up.</t>
  </si>
  <si>
    <t>b. LBW</t>
  </si>
  <si>
    <t>i. Patient’s admitted to ICU with complicated stays- checklist as above. ( 1-7)</t>
  </si>
  <si>
    <t>ii. Uncomplicated admissions check list (above) 2 -5.</t>
  </si>
  <si>
    <t>1. Follow Up 12 months.</t>
  </si>
  <si>
    <t>c. Term</t>
  </si>
  <si>
    <t>i. Uncomplicated admissions: checklist (above) 2-4, if no current problems discharge to local clinic</t>
  </si>
  <si>
    <t>ii. Neonatal Encephalopathy – check list 1 – 5 ( 1* Needs only cranial ultrasound )</t>
  </si>
  <si>
    <t>1. Follow up 18 months.</t>
  </si>
  <si>
    <t>2. Referral to Neurodevelopment Clinic (297) or Neurology if required.</t>
  </si>
  <si>
    <t>ROP Screening (All babies with a birth weight less than 1500 grams or gestational age below 32 weeks must be screened for ROP at 4 to 6 weeks chronological age)</t>
  </si>
  <si>
    <t>Respiratory distress</t>
  </si>
  <si>
    <t>CXR</t>
  </si>
  <si>
    <t>1. Administer oxygen. Oxygen can be administered by nasal cannula or nasal CPAP or high flow nasal canula. Nasal cannula may result in marked variations in inspired oxygen due to mixture with inspired environment air (usually a maximum of 2l/min [40%] can be delivered). Oxygen via nasal CPAP or high flow nasal canula is preferable to commence in TU in VLBW and ELBW infants with significant respiratory distress. Preterm infants started on NCPAP should be given surfactant within the first 2 hours post-delivery.Term babies with respiratory distress (probable TTN) can be observed in oxygen with monitoring of oxygen saturations for a few hours. If not weaning or very distressed, they should be admitted, bloods taken and antibiotics started. If they settle, they can be discharged back to mother.</t>
  </si>
  <si>
    <t>2. Start antibiotics. Pneumonia may mimic respiratory diseases such as HMD or meconium aspiration,both clinically and on chest X-ray. Therefore, start all infants with newly diagnosed respiratory distress on antibiotics - penicillin G and gentamicin on admission. Take bloods for blood culture and full blood count.</t>
  </si>
  <si>
    <t>3. Keep nil per mouth. Infants with respiratory distress may not tolerate feeds. Therefore, start on intravenous fluids (60 mls/kg for term infants, 60-80mls/kg for preterm infants) potassium-free neonatelyte.</t>
  </si>
  <si>
    <t>4. Indications for mechanical ventilation are recurrent apnoeas, respiratory failure as evidenced by PaCO2 &gt;55 mmHg associated with pH &lt;7.25; PaO2 &lt;50 mmHg or O2 saturations &lt;89% in &gt;70% oxygen. Where possible, nasal continuous positive airway pressure (NCPAP) should precede mechanical ventilation, followed by conventional mechanical ventilation where NCPAP is unsuccessful.</t>
  </si>
  <si>
    <t>Surfactant</t>
  </si>
  <si>
    <t>Type of surfactant: Exogenous surfactants available in SA include Curosurf (poractant) and Survanta.(beractant)</t>
  </si>
  <si>
    <t> Timing of initial dose: The natural history of HMD is to get worse in the first 48 to 72 hours. Delay in administration of surfactant may mean that the baby deteriorates and requires mechanical ventilation. Administer surfactant in babies with severe HMD as soon as possible, preferably within the first hour of life, before putting the baby on Nasal CPAP.</t>
  </si>
  <si>
    <t> Dose:</t>
  </si>
  <si>
    <t>o Survanta:4mls/ kg, can be repeated 6 hourly up to 2additional doses</t>
  </si>
  <si>
    <t>o Curosurf: 2.5 mls / kg then 1.25 mls/kg administered 12 hourly as needed (up to 2 additional doses)</t>
  </si>
  <si>
    <t> Route: Through endotracheal tube, using a catheter or feeding tube or intubate with a large bore feeding tube and administer directly These techniques of administering surfactant are termed INSURE (intubate, surfactant, extubate) and MIST (minimally invasive surfactant technique) respectively</t>
  </si>
  <si>
    <t> Procedure: Intubate and administer the warmed surfactant as a single rapid push in. It is not necessary to reposition the baby. If the baby is on NCPAP, leave the NCPAP in place and administer the surfactant</t>
  </si>
  <si>
    <t> Subsequent doses: Repeat doses may be considered at least 6 hours from the previous dose and in the first 48 hours of life may be considered. Indications for repeat dose are the same as the first dose.Consider other reasons for deterioration or failure to wean (tube problems, pneumothorax, and atelectasis). Order chest X-ray as indicated. Discuss with consultant</t>
  </si>
  <si>
    <t>Ventalation</t>
  </si>
  <si>
    <t>Nasal Continuous Positive Airways Pressure (NCPAP)</t>
  </si>
  <si>
    <t> Bubble CPAP is administered in 177 to babiesthat require surfactant therapy for HMD.</t>
  </si>
  <si>
    <t> NCPAP can also be used for neonates with apnoea in ward 177.</t>
  </si>
  <si>
    <t> Early surfactant therapy is more effective than later, so surfactant should be given as soon as possible after the baby is stabilised and within 2 hours of birth. NCPAP and surfactant are the first line of therapy for babies with HMD – mechanical ventilation would be for those who fail NCPAP.</t>
  </si>
  <si>
    <t> Please ensure correct sizing and placement of the nasal prongs or nasal mask, in order to prevent avascular necrosis of the nasal septum and nasal cartilage. Don’t over tighten the prongs or mask.</t>
  </si>
  <si>
    <t>o The nasal prongs must be sized for both the nares and nasal septum.</t>
  </si>
  <si>
    <t>o 5 mm of prongs should be visible between the nose and CPAP system</t>
  </si>
  <si>
    <t>Protective granuflex should be placed on the nose and upper lip to protect the baby’s skin.</t>
  </si>
  <si>
    <t>o The nasal prongs must be reassessed every 3 to 4 hours for signs of vascular compromise.</t>
  </si>
  <si>
    <t>o The nasal mask should comfortable cover the baby’s nose.</t>
  </si>
  <si>
    <t> NCPAP is started at 5 cm water. The bubble chamber must be filled with water to the correct level. The “stick” determines the level of CPAP. Bubbling indicates that the system is functional, there are no other alarms.</t>
  </si>
  <si>
    <t> Oxygen is delivered at 6 to 10 litres minute, through a wall blender. Oxygen levels are weaned on the blender.</t>
  </si>
  <si>
    <t> The baby is weaned according to oxygen saturations (Target 88 to 94%) and on signs of clinical respiratory distress. It is unnecessary to do frequent blood gases.</t>
  </si>
  <si>
    <t> Once the baby has weaned to less than 30% oxygen and a CPAP level of 4 cm water, the NCPAP can be discontinued and the baby placed on nasal prongs.</t>
  </si>
  <si>
    <t>Cranial ultrasound</t>
  </si>
  <si>
    <t>1. First ultrasound: Within the first 7 days of life or in the case of acute deterioration of baby’s condition especially in extremely low birth weight, cranial ultrasound can be done to rule out bleeding in the brain.</t>
  </si>
  <si>
    <t>a. Will identify &gt;90% of cases of IVH;</t>
  </si>
  <si>
    <t>b. Identify increased periventricular echodensities</t>
  </si>
  <si>
    <t>2. Second ultrasound: At 10-14 days of life</t>
  </si>
  <si>
    <t>a. Will identify progression of PVEs,</t>
  </si>
  <si>
    <t>b. Periventricular cysts may become apparent.</t>
  </si>
  <si>
    <t>c. May identify early development of post haemorrhagic hydrocephalus</t>
  </si>
  <si>
    <t>3. Last ultrasound just before discharge</t>
  </si>
  <si>
    <t>a. Periventricular cysts may become apparent</t>
  </si>
  <si>
    <t>b. PHH will be apparent by this time</t>
  </si>
  <si>
    <t>Feeds</t>
  </si>
  <si>
    <t>To promote growth of preterm infants of 10-20g/kg/day, one must provide 110-140 kcal/kg/day</t>
  </si>
  <si>
    <t>Vitamin K - 0.5 mg imi at birth</t>
  </si>
  <si>
    <t> Multivitamins- Vidaylin drops- 0.6 mls/day until 1 year of age</t>
  </si>
  <si>
    <t>0.6 mls containsVitamin A- 5000iu; Vitamin D- 400iu; Vitamin B1- 1.5mg; Vitamin B2- 1.2mg; Vitamin B6- 0.5mg; Vitamin C- 50mg; Nicotinamide- 10mg</t>
  </si>
  <si>
    <t>Abidec 0.6 mls contains Vitamin A 1333 iu, Vitamin D 400 iu, Vitamin B1 0.4 mg, Vitamin B2 0.8 mg, Vitamin B6 0.8 mg, Vitamin C 40 mg and Nicotinamide 8 mg.</t>
  </si>
  <si>
    <t> Folate- 0.1 mg/day p.o. for first 2 months of life</t>
  </si>
  <si>
    <t> Ferrous gluconate- contains 30 mg/5mL of elemental iron</t>
  </si>
  <si>
    <t>a. Start when on full feeds at an age of 2-4 weeks</t>
  </si>
  <si>
    <t>b. Dose</t>
  </si>
  <si>
    <t>i. &lt;1000g- 4mg/kg/day</t>
  </si>
  <si>
    <t>ii. 1000-1500g- 3mg/kg/day</t>
  </si>
  <si>
    <t>iii. 1500-2500g- 2mg/kg/day</t>
  </si>
  <si>
    <t>c. Duration: continue until 1 year of age</t>
  </si>
  <si>
    <t>Near term and term infants (&gt;34 weeks, or weight &gt;1800 kg)</t>
  </si>
  <si>
    <t> Start fluids at 60 to 80 mls/kg.</t>
  </si>
  <si>
    <t> If an infant has good urine output and appropriate weight loss, fluids can be gradually increased by 20 mls/kg/day aiming to reach 150 mls/kg/day by day 5-7.</t>
  </si>
  <si>
    <t>Preterm infants</t>
  </si>
  <si>
    <t> Gestational age 30-34 weeks or weight 1000-1800g:</t>
  </si>
  <si>
    <t>o Start fluids at 70-80 mls/ kg/ day.</t>
  </si>
  <si>
    <t> Gestational age &lt;30 weeks or weight &lt;1000g:</t>
  </si>
  <si>
    <t>o Start fluids at 80-100 mls/kg/day.</t>
  </si>
  <si>
    <t> The infants in the lower range of birth weight or gestational age will need fluids in the higher range.</t>
  </si>
  <si>
    <t> The changes in fluid rates should be based on urine output, weight loss and/or serum electrolytes. Therefore, these infants should have serum electrolytes done within 24 hours after birth, especially infants at the lower range of birth weight or gestational age.</t>
  </si>
  <si>
    <t> If urine output is normal, with appropriate weight loss and normal electrolytes, fluids may be increased by 15-20mls/ kg/ day to a maximum of 160 to 180 ml/kg/day.</t>
  </si>
  <si>
    <t>o The fluids and feeds need to be recalculated daily according to the increase in daily fluids.</t>
  </si>
  <si>
    <t>o Fluid requirement should be calculated on the baby’s birth weight, until the birth weight is regained. Fluids should then be increased as the baby gains weight – based on the current weight.</t>
  </si>
  <si>
    <t>If the infant has weight loss &gt;3% per day, hypernatraemia or poor urine output increase fluids by 20-40 mls/kg and repeat electrolytes within 24 hours.</t>
  </si>
  <si>
    <t> Continue monitoring HGT as you increase the fluids.</t>
  </si>
  <si>
    <t>Screening</t>
  </si>
  <si>
    <t>Hypoglycaemia</t>
  </si>
  <si>
    <t xml:space="preserve">ROP </t>
  </si>
  <si>
    <t>Follow-up</t>
  </si>
  <si>
    <t>SGA</t>
  </si>
  <si>
    <t>Death</t>
  </si>
  <si>
    <t>Assume discharged at 2 months</t>
  </si>
  <si>
    <t>Comments</t>
  </si>
  <si>
    <t>CPAP (days)</t>
  </si>
  <si>
    <t>Surfactant (doses)</t>
  </si>
  <si>
    <t>Nasal prong oxygen (days)</t>
  </si>
  <si>
    <t>Doctor 6 monthly until 18 months (consultations)</t>
  </si>
  <si>
    <t>Clinic follow up (consultations)</t>
  </si>
  <si>
    <t xml:space="preserve">Hypoglycaemia </t>
  </si>
  <si>
    <t>1. Anticipation in the high risk infant</t>
  </si>
  <si>
    <t> Do 3 hourly HGT in the first 24 hours.</t>
  </si>
  <si>
    <t> Start feeds early or use intravenous fluids if NPO</t>
  </si>
  <si>
    <t>2. Correction of hypoglycaemia</t>
  </si>
  <si>
    <t> If infant is asymptomatic, well, on feeds and glucose was done pre-prandial give feeds and measure glucose in 30 minutes.</t>
  </si>
  <si>
    <t> Otherwise give 10% dextrose 2-5 mls/kg intravenously. If 10% dextrose is unavailable, mix 50% dextrose with sterile water in a ratio of 1:4 to make 10% dextrose. Ensure that the infant is getting adequate glucose delivery (4-6 mg/kg/min in term infants and 6-8 in preterm).</t>
  </si>
  <si>
    <t> Glucose delivery can be calculated using the following equation: mg/kg/min= %dextrose x rate / weight x 6.</t>
  </si>
  <si>
    <t> RepeatHGT 30 – 60 minutes after the bolus and then hourly until HGTs have remained within a normal range for 6 hours.</t>
  </si>
  <si>
    <t> If glucose levels do not increase to normal, increase glucose delivery by 1-2mg/kg/min every 3 to 4 hours, as you give boluses in between.</t>
  </si>
  <si>
    <t> It may be necessary to increase dextrose concentration in order to increase glucose delivery. It is preferable to use a central catheter umbilical venous line) if the dextrose concentration exceeds 12.5%.</t>
  </si>
  <si>
    <t>3. Treatment of the cause of hypoglycaemia.</t>
  </si>
  <si>
    <t> For most infants intravenous 10% dextrose at daily maintenance rates will provide adequate glucose.</t>
  </si>
  <si>
    <t> If hypoglycaemia is due to decreased stores increasing basal rate of infusion should correct the problem</t>
  </si>
  <si>
    <t> Sepsis should always be considered as a possible cause of hypoglycaemia.</t>
  </si>
  <si>
    <t> If secondary to hyperinsulinaemia, may need increased glucose requirements for several days.</t>
  </si>
  <si>
    <t>Some infants with hyperinsulinaemia and infants with IUGR may require 12-15mg/kg/min of glucose to control hypoglycaemia</t>
  </si>
  <si>
    <t> If hypoglycaemia is not responding to high glucose delivery (&gt;15 mg/kg/min) a short course of steroids may be considered- hydrocortisone 5mg/kg/day 8-12 hourly, and glucagon 0.2-0.3 mg/kg intramuscularly.</t>
  </si>
  <si>
    <t> In cases of hypoglycaemianot responding to high glucose delivery or persistent (more than 3 days) secondary to hyperinsulinism, e.g. nesidioblastosis, diazoxide 10-15 mg/kg/day 8hrly iv or p.o. or somatostatin 3.5-4 ug/kg/min may be tried. Surgery may be necessary.</t>
  </si>
  <si>
    <t>Grant cost (months)</t>
  </si>
  <si>
    <t>Tocolysis (nifedipine 20mg)</t>
  </si>
  <si>
    <t>Steroids (betamethasone 4 mg dose)</t>
  </si>
  <si>
    <t>3hrly HGTs (per blood draw)</t>
  </si>
  <si>
    <t>1hrly HGTs (per blood draw)</t>
  </si>
  <si>
    <t>10% dextrose (ml)</t>
  </si>
  <si>
    <t>Utilities (DALYs)</t>
  </si>
  <si>
    <t>Life expectancy</t>
  </si>
  <si>
    <t>Deaths</t>
  </si>
  <si>
    <t>Normal weight</t>
  </si>
  <si>
    <t>ANC</t>
  </si>
  <si>
    <t>No RDS</t>
  </si>
  <si>
    <t>No complications</t>
  </si>
  <si>
    <t>Grant</t>
  </si>
  <si>
    <t>Sum</t>
  </si>
  <si>
    <t>Term stillbirth</t>
  </si>
  <si>
    <t xml:space="preserve">ANC </t>
  </si>
  <si>
    <t>ANC visit</t>
  </si>
  <si>
    <t>Total Costs</t>
  </si>
  <si>
    <t>New cases</t>
  </si>
  <si>
    <t>Disability weight</t>
  </si>
  <si>
    <t xml:space="preserve">Average time a person lives with the disease </t>
  </si>
  <si>
    <t>u_Death</t>
  </si>
  <si>
    <t>u_Healthy</t>
  </si>
  <si>
    <t>Cost per unit (including facility fee)</t>
  </si>
  <si>
    <t>per DALY averted</t>
  </si>
  <si>
    <t>Cycle</t>
  </si>
  <si>
    <t>Value</t>
  </si>
  <si>
    <t>No chronic disease</t>
  </si>
  <si>
    <t>Chronic lung disease</t>
  </si>
  <si>
    <t>cognitive</t>
  </si>
  <si>
    <t>u_CongnitiveImpairement</t>
  </si>
  <si>
    <t>u_ChronicResp</t>
  </si>
  <si>
    <t>Developmental impairement</t>
  </si>
  <si>
    <t>Cognitive impairement</t>
  </si>
  <si>
    <t>Ventalation (days)</t>
  </si>
  <si>
    <t>Spironolatone 1mg/kg/dose 12hourly</t>
  </si>
  <si>
    <t xml:space="preserve">Lasix 0.5-1mg/kg/dose 12 hourly </t>
  </si>
  <si>
    <t>Salbutamol – 0.1-0.5 mg/kg 2-6 hourly</t>
  </si>
  <si>
    <t>Dexamethasone 0.05 mg/kg/dose daily X 3 days, 0.025mg/kg/dose daily X 3 days</t>
  </si>
  <si>
    <t>Threshold</t>
  </si>
  <si>
    <t>outpatient consultation with a nurse at level 1 facility (incl facility fee)</t>
  </si>
  <si>
    <t>Facility fee</t>
  </si>
  <si>
    <t>Emergency level 1 or 2 facility fee + medical officer consultation</t>
  </si>
  <si>
    <t>12 hours apart (incl level 2 pharmacy fees)</t>
  </si>
  <si>
    <t>Over 24 hours (incl level 2 pharmacy fees)</t>
  </si>
  <si>
    <t>Facility fee and specialist fee every 12 hours</t>
  </si>
  <si>
    <t>Level 3 facility fee (not neontal specific) and medical officer fee</t>
  </si>
  <si>
    <t>Practitioner fees</t>
  </si>
  <si>
    <t>Medical officer NICU 12hrly</t>
  </si>
  <si>
    <t>Assume improvement after 6 hours (incl blood drawing feet)</t>
  </si>
  <si>
    <t>First 24 hours (incl blood drawing fee)</t>
  </si>
  <si>
    <t>Assume feeds in first 24 hours and then dextrose thereafter (incl drug fees and dispensing fee)</t>
  </si>
  <si>
    <t>7 days, 14 days, before discharge (incl facility fee and specialist in Cat B)</t>
  </si>
  <si>
    <t>At 4-6weeks old (incl specialist consultation and facility fee)</t>
  </si>
  <si>
    <t>Initial specialist follow-up</t>
  </si>
  <si>
    <t>For SGA babies based on the road to health card (incl nurse follow up and facility fee level 1)</t>
  </si>
  <si>
    <t>consultation and facility fee level 3</t>
  </si>
  <si>
    <t>hyperbaric oxygen costs used (incl facility fee and cost of oxygen)</t>
  </si>
  <si>
    <t>Allied health follow up</t>
  </si>
  <si>
    <t>Assume with every regular follow up (incl facility fee level 3 and allied consultation fee)</t>
  </si>
  <si>
    <t>incl drug cost and dispensing fee</t>
  </si>
  <si>
    <t>Consultation and facility fee</t>
  </si>
  <si>
    <t>medical officer ward care</t>
  </si>
  <si>
    <t>Category</t>
  </si>
  <si>
    <t>Other chronic respiratory conditions</t>
  </si>
  <si>
    <t>DALYs</t>
  </si>
  <si>
    <t>Rate</t>
  </si>
  <si>
    <t>Neonatal encephalopathy due to birth asphyxia and trauma</t>
  </si>
  <si>
    <t>YYL</t>
  </si>
  <si>
    <t>YLD</t>
  </si>
  <si>
    <t>Prev</t>
  </si>
  <si>
    <t>Incidence</t>
  </si>
  <si>
    <t>YLL (rate)</t>
  </si>
  <si>
    <t>YLD (rate)</t>
  </si>
  <si>
    <t>Death rate</t>
  </si>
  <si>
    <t>Prev rate</t>
  </si>
  <si>
    <t>Incidence rate</t>
  </si>
  <si>
    <t>South Africa</t>
  </si>
  <si>
    <t>Global</t>
  </si>
  <si>
    <t>INMB</t>
  </si>
  <si>
    <t>per DALY averted (From Ijeoma's study)</t>
  </si>
  <si>
    <t>Calculation</t>
  </si>
  <si>
    <t>Year 1</t>
  </si>
  <si>
    <t>Year 2</t>
  </si>
  <si>
    <t>Background costs (average healthcare costs)</t>
  </si>
  <si>
    <t>c_grant</t>
  </si>
  <si>
    <t>c_ANC</t>
  </si>
  <si>
    <t>c_prem</t>
  </si>
  <si>
    <t>c_LBW</t>
  </si>
  <si>
    <t>c_RDS</t>
  </si>
  <si>
    <t>c_hypo</t>
  </si>
  <si>
    <t xml:space="preserve">c_lung </t>
  </si>
  <si>
    <t>c_cog</t>
  </si>
  <si>
    <t>c_hosp fu</t>
  </si>
  <si>
    <t>c_clinic fu</t>
  </si>
  <si>
    <t>c_1year</t>
  </si>
  <si>
    <t>c_2years</t>
  </si>
  <si>
    <t>Intervention probabilities</t>
  </si>
  <si>
    <t>G2ANC</t>
  </si>
  <si>
    <t>G2noANC</t>
  </si>
  <si>
    <t>Arm 1</t>
  </si>
  <si>
    <t>Prem2LBW_1</t>
  </si>
  <si>
    <t>Arm 2</t>
  </si>
  <si>
    <t>Prem2LBW_2</t>
  </si>
  <si>
    <t>Comparator probabilities</t>
  </si>
  <si>
    <t>Arm 3</t>
  </si>
  <si>
    <t>Prem2LBW_3</t>
  </si>
  <si>
    <t>Arm 4</t>
  </si>
  <si>
    <t>Prem2LBW_4</t>
  </si>
  <si>
    <t>Description</t>
  </si>
  <si>
    <t>Grant to ANC</t>
  </si>
  <si>
    <t>Grant to no ANC</t>
  </si>
  <si>
    <t>Preterm to LBW</t>
  </si>
  <si>
    <t>Preterm to normal weight</t>
  </si>
  <si>
    <t>RDS to chronic lung disease</t>
  </si>
  <si>
    <t>Term to normal weight</t>
  </si>
  <si>
    <t>No grant to ANC</t>
  </si>
  <si>
    <t>No grant to no ANC</t>
  </si>
  <si>
    <t>Effects of the grant/ANC</t>
  </si>
  <si>
    <t>Risk ratio - Reduction in preterm rate</t>
  </si>
  <si>
    <t>Risk ratio - Reduction in LBW</t>
  </si>
  <si>
    <t xml:space="preserve">e_ANC </t>
  </si>
  <si>
    <t>e_LBW</t>
  </si>
  <si>
    <t>e_SGA</t>
  </si>
  <si>
    <t>Risk ratio - Reduction in SGA</t>
  </si>
  <si>
    <t>Discount rate</t>
  </si>
  <si>
    <t>u_parental</t>
  </si>
  <si>
    <t>QALY</t>
  </si>
  <si>
    <t>Gordon et al 2021</t>
  </si>
  <si>
    <t>Asthma</t>
  </si>
  <si>
    <t>YLL</t>
  </si>
  <si>
    <t>Total births</t>
  </si>
  <si>
    <t>ANC first visit coverage rate</t>
  </si>
  <si>
    <t>No ANC rate</t>
  </si>
  <si>
    <t>GBD</t>
  </si>
  <si>
    <t>every month for 8 antenatal months based on current cost of CSG</t>
  </si>
  <si>
    <t>incl drug cost and dispensing fee and paediatric mask</t>
  </si>
  <si>
    <t>2020 costs</t>
  </si>
  <si>
    <t>Stillbirth costs</t>
  </si>
  <si>
    <t>Annual USD-ZAR exchange rate 2020</t>
  </si>
  <si>
    <t>Reported by SARS</t>
  </si>
  <si>
    <t>reported for 2019, calculated the average between males and females</t>
  </si>
  <si>
    <t xml:space="preserve">https://healthcostinstitute.org/health-care-cost-and-utilization-report/annual-reports, </t>
  </si>
  <si>
    <t>Grant costs for 2020</t>
  </si>
  <si>
    <t>Statistics SA</t>
  </si>
  <si>
    <t>Medical CPI percentage change</t>
  </si>
  <si>
    <t>c_SB</t>
  </si>
  <si>
    <t>http://www.statssa.gov.za/?p=14902</t>
  </si>
  <si>
    <t>http://www.statssa.gov.za/?p=14903</t>
  </si>
  <si>
    <t>Teen births</t>
  </si>
  <si>
    <t>Adult births</t>
  </si>
  <si>
    <t>StatsSA mid-year estimates 2020</t>
  </si>
  <si>
    <t>Male life expectancy at birth</t>
  </si>
  <si>
    <t>Female life expectancy at birth</t>
  </si>
  <si>
    <t>Average life expectancy at birth</t>
  </si>
  <si>
    <t xml:space="preserve">Discounted </t>
  </si>
  <si>
    <t xml:space="preserve">ANC first visit </t>
  </si>
  <si>
    <t>NOT ADDED</t>
  </si>
  <si>
    <t>69-106%</t>
  </si>
  <si>
    <t>Health barometer 2020 (data error for upper limit - assume 100%)</t>
  </si>
  <si>
    <t>Base probabilities</t>
  </si>
  <si>
    <t>Range</t>
  </si>
  <si>
    <t>Complement</t>
  </si>
  <si>
    <t>5-18%</t>
  </si>
  <si>
    <t>Blencowe 2012</t>
  </si>
  <si>
    <t>Blencowe 2016</t>
  </si>
  <si>
    <t>1,66-2,10%</t>
  </si>
  <si>
    <t>SGA preterm</t>
  </si>
  <si>
    <t>Stillbirth no ANC</t>
  </si>
  <si>
    <t>Gumede 2017</t>
  </si>
  <si>
    <t>Stillbirth with ANC</t>
  </si>
  <si>
    <t>Live birth with ANC</t>
  </si>
  <si>
    <t>Live birth no ANC</t>
  </si>
  <si>
    <t>With ANC</t>
  </si>
  <si>
    <t>Without ANC</t>
  </si>
  <si>
    <t>CLD</t>
  </si>
  <si>
    <t>CLD + cognitive impairement</t>
  </si>
  <si>
    <t>No CDL or cognitive impairement</t>
  </si>
  <si>
    <t>No hypoglycaemia</t>
  </si>
  <si>
    <t>No LBW</t>
  </si>
  <si>
    <t>Live bith</t>
  </si>
  <si>
    <t>Intervention</t>
  </si>
  <si>
    <t>431/26244</t>
  </si>
  <si>
    <t>25813/26244</t>
  </si>
  <si>
    <t>104/3295</t>
  </si>
  <si>
    <t>3191/3295</t>
  </si>
  <si>
    <t>Overall Stillbirth</t>
  </si>
  <si>
    <t>Overall Live birth</t>
  </si>
  <si>
    <t>ANC and prem</t>
  </si>
  <si>
    <t>Prem</t>
  </si>
  <si>
    <t>Gumede data</t>
  </si>
  <si>
    <t>ANC and term</t>
  </si>
  <si>
    <t>Overall preterm of live births</t>
  </si>
  <si>
    <t>Overall term live births</t>
  </si>
  <si>
    <t>ANC and stillbirth</t>
  </si>
  <si>
    <t>ANC and live birth</t>
  </si>
  <si>
    <t>Live births</t>
  </si>
  <si>
    <t>No ANC and stillbirth</t>
  </si>
  <si>
    <t>No ANC and live birth</t>
  </si>
  <si>
    <t>No ANC and prem</t>
  </si>
  <si>
    <t>No ANC and term</t>
  </si>
  <si>
    <t xml:space="preserve">Preterm </t>
  </si>
  <si>
    <t>594/3426</t>
  </si>
  <si>
    <t>2832/3426</t>
  </si>
  <si>
    <t>4604/26336</t>
  </si>
  <si>
    <t>21732/26336</t>
  </si>
  <si>
    <t>Preterm and LBW</t>
  </si>
  <si>
    <t>Term and LBW</t>
  </si>
  <si>
    <t>Preterm and no LBW</t>
  </si>
  <si>
    <t>Term and no LBW</t>
  </si>
  <si>
    <t>201/295</t>
  </si>
  <si>
    <t>226/650</t>
  </si>
  <si>
    <t>69/650</t>
  </si>
  <si>
    <t>Tshotetsi 2019</t>
  </si>
  <si>
    <t>Tshotetsi 2019 data</t>
  </si>
  <si>
    <t>Term SGA</t>
  </si>
  <si>
    <t>Preterm SGA</t>
  </si>
  <si>
    <t>SGA term</t>
  </si>
  <si>
    <t>Total preterm</t>
  </si>
  <si>
    <t>Total term</t>
  </si>
  <si>
    <t>Total LBW</t>
  </si>
  <si>
    <t>Total normal weight</t>
  </si>
  <si>
    <t>AGA preterm</t>
  </si>
  <si>
    <t>AGA term</t>
  </si>
  <si>
    <t>Total SGA</t>
  </si>
  <si>
    <t>Total AGA</t>
  </si>
  <si>
    <t>Preterm LBW</t>
  </si>
  <si>
    <t>707/1592</t>
  </si>
  <si>
    <t>885/1592</t>
  </si>
  <si>
    <t>Term no LBW</t>
  </si>
  <si>
    <t>Katz data</t>
  </si>
  <si>
    <t>Katz 2013</t>
  </si>
  <si>
    <t>AGA</t>
  </si>
  <si>
    <t>Death and preterm</t>
  </si>
  <si>
    <t>Death and prem</t>
  </si>
  <si>
    <t>Death and term</t>
  </si>
  <si>
    <t>per 1000</t>
  </si>
  <si>
    <t>Survive and prem</t>
  </si>
  <si>
    <t>Survive and term</t>
  </si>
  <si>
    <t xml:space="preserve">24 weeks </t>
  </si>
  <si>
    <t>28 weeks</t>
  </si>
  <si>
    <t>32 weeks</t>
  </si>
  <si>
    <t>36 weeks</t>
  </si>
  <si>
    <t>5-80%</t>
  </si>
  <si>
    <t>Donn 2006</t>
  </si>
  <si>
    <t>0-1%</t>
  </si>
  <si>
    <t>Donn 2006, Behrman 2007</t>
  </si>
  <si>
    <t>Donn data</t>
  </si>
  <si>
    <t>No Hypoglycaemia</t>
  </si>
  <si>
    <t>0,22-0,28</t>
  </si>
  <si>
    <t>Mejri 2010</t>
  </si>
  <si>
    <t>39/181</t>
  </si>
  <si>
    <t>Lui 2019</t>
  </si>
  <si>
    <t>no CLD</t>
  </si>
  <si>
    <t>806/2233</t>
  </si>
  <si>
    <t>Colman 2013</t>
  </si>
  <si>
    <t>77/1500</t>
  </si>
  <si>
    <t>Impairement</t>
  </si>
  <si>
    <t>No impairement</t>
  </si>
  <si>
    <t>3294/99,560</t>
  </si>
  <si>
    <t>Wickstrom 2018</t>
  </si>
  <si>
    <t>ANC2SB_1</t>
  </si>
  <si>
    <t>ANC2LB_1</t>
  </si>
  <si>
    <t>ANC to stillbirth</t>
  </si>
  <si>
    <t>ANC to live birth</t>
  </si>
  <si>
    <t>LB2prem_1</t>
  </si>
  <si>
    <t>LB2term_1</t>
  </si>
  <si>
    <t>Live birth to preterm</t>
  </si>
  <si>
    <t>Live birth to term</t>
  </si>
  <si>
    <t>Term2LBW_1</t>
  </si>
  <si>
    <t>Term to LBW</t>
  </si>
  <si>
    <t>LBW(prem)2SGA_1</t>
  </si>
  <si>
    <t>LBW(prem)2SGA_2</t>
  </si>
  <si>
    <t>LBW(prem)2AGA_2</t>
  </si>
  <si>
    <t>LBW(prem)2AGA_1</t>
  </si>
  <si>
    <t>NBW(prem)2SGA_1</t>
  </si>
  <si>
    <t>NBW(prem)2AGA_1</t>
  </si>
  <si>
    <t>Prem2NBW_1</t>
  </si>
  <si>
    <t>Term2NBW_1</t>
  </si>
  <si>
    <t>LBW(term)2SGA_1</t>
  </si>
  <si>
    <t>LBW(term)2AGA_1</t>
  </si>
  <si>
    <t>NBW(term)2SGA_1</t>
  </si>
  <si>
    <t>NBW(term)2AGA_1</t>
  </si>
  <si>
    <t>LBW preterm to SGA</t>
  </si>
  <si>
    <t>Normal BW preterm to SGA</t>
  </si>
  <si>
    <t>Normal BW preterm to AGA</t>
  </si>
  <si>
    <t>LBW preterm to AGA</t>
  </si>
  <si>
    <t>LBW term to SGA</t>
  </si>
  <si>
    <t>LBW term to AGA</t>
  </si>
  <si>
    <t>Normal BW term to SGA</t>
  </si>
  <si>
    <t>Normal BW term to AGA</t>
  </si>
  <si>
    <t>SGA(prem)2d_1</t>
  </si>
  <si>
    <t>SGA(prem)2s_1</t>
  </si>
  <si>
    <t>AGA(prem)2d_1</t>
  </si>
  <si>
    <t>AGA(prem)2s_1</t>
  </si>
  <si>
    <t>SGA(term)2d_1</t>
  </si>
  <si>
    <t>SGA(term)2s_1</t>
  </si>
  <si>
    <t>AGA(term)2d_1</t>
  </si>
  <si>
    <t>AGA(term)2s_1</t>
  </si>
  <si>
    <t>SGA preterm to death</t>
  </si>
  <si>
    <t>SGA preterm to survival</t>
  </si>
  <si>
    <t>AGA preterm to death</t>
  </si>
  <si>
    <t>AGA preterm to survival</t>
  </si>
  <si>
    <t>SGA term to death</t>
  </si>
  <si>
    <t>SGA term to survival</t>
  </si>
  <si>
    <t>AGA term to death</t>
  </si>
  <si>
    <t>AGA term to survival</t>
  </si>
  <si>
    <t>S(prem)2RDS_1</t>
  </si>
  <si>
    <t>S(prem)2noRDS_1</t>
  </si>
  <si>
    <t>S(term)2RDS_1</t>
  </si>
  <si>
    <t>S(term)2noRDS_1</t>
  </si>
  <si>
    <t>Survival (preterm) to RDS</t>
  </si>
  <si>
    <t>Survival (preterm) to no RDS</t>
  </si>
  <si>
    <t>Survival (term) to RDS</t>
  </si>
  <si>
    <t>Survival (term) to no RDS</t>
  </si>
  <si>
    <t>SGA(prem)2hypoglycaemia_1</t>
  </si>
  <si>
    <t>SGA(prem)2hypoglycaemia_2</t>
  </si>
  <si>
    <t>SGA(prem)2normoglycaemia_2</t>
  </si>
  <si>
    <t>SGA(term)2hypoglycaemia_1</t>
  </si>
  <si>
    <t>SGA(term)2normoglycaemia_2</t>
  </si>
  <si>
    <t>SGA(prem)2normoglycaemia_1</t>
  </si>
  <si>
    <t>SGA(term)2normoglycaemia_1</t>
  </si>
  <si>
    <t>SGA (preterm) to hypoglycaemia</t>
  </si>
  <si>
    <t>SGA (preterm) to normoglycaemia</t>
  </si>
  <si>
    <t>SGA (term) to hypoglycaemia</t>
  </si>
  <si>
    <t>SGA (term) to normoglycaemia</t>
  </si>
  <si>
    <t>RDS2CLD_1</t>
  </si>
  <si>
    <t>noRDS2noCLD_1</t>
  </si>
  <si>
    <t>RDS2noCLD_1</t>
  </si>
  <si>
    <t>noRDS2CLD_1</t>
  </si>
  <si>
    <t>RDS to no chronic lung disease</t>
  </si>
  <si>
    <t>no RDS to chronic lung disease</t>
  </si>
  <si>
    <t>no RDS to no chronic lung disease</t>
  </si>
  <si>
    <t>Hypoglycaemia to cognitive impairement</t>
  </si>
  <si>
    <t>Hypoglycaemia to no cognitive impairement</t>
  </si>
  <si>
    <t>No hypoglycaemia to cognitive impairement</t>
  </si>
  <si>
    <t>No hypoglycaemia to no cognitive impairement</t>
  </si>
  <si>
    <t>Hypo2CI_1</t>
  </si>
  <si>
    <t>Hypo2noCI_1</t>
  </si>
  <si>
    <t>noHypo2CI_1</t>
  </si>
  <si>
    <t>noHypo2noCI_1</t>
  </si>
  <si>
    <t>NoG2ANC</t>
  </si>
  <si>
    <t>NoG2noANC</t>
  </si>
  <si>
    <t>LB2prem_2</t>
  </si>
  <si>
    <t>LB2term_2</t>
  </si>
  <si>
    <t>Prem2NBW_2</t>
  </si>
  <si>
    <t>Term2LBW_2</t>
  </si>
  <si>
    <t>Term2NBW_2</t>
  </si>
  <si>
    <t>NBW(prem)2SGA_2</t>
  </si>
  <si>
    <t>NBW(prem)2AGA_2</t>
  </si>
  <si>
    <t>LBW(term)2SGA_2</t>
  </si>
  <si>
    <t>LBW(term)2AGA_2</t>
  </si>
  <si>
    <t>NBW(term)2SGA_2</t>
  </si>
  <si>
    <t>NBW(term)2AGA_2</t>
  </si>
  <si>
    <t>SGA(prem)2d_2</t>
  </si>
  <si>
    <t>SGA(prem)2s_2</t>
  </si>
  <si>
    <t>AGA(prem)2d_2</t>
  </si>
  <si>
    <t>AGA(prem)2s_2</t>
  </si>
  <si>
    <t>SGA(term)2d_2</t>
  </si>
  <si>
    <t>SGA(term)2s_2</t>
  </si>
  <si>
    <t>AGA(term)2d_2</t>
  </si>
  <si>
    <t>AGA(term)2s_2</t>
  </si>
  <si>
    <t>S(prem)2RDS_2</t>
  </si>
  <si>
    <t>S(prem)2noRDS_2</t>
  </si>
  <si>
    <t>S(term)2RDS_2</t>
  </si>
  <si>
    <t>S(term)2noRDS_2</t>
  </si>
  <si>
    <t>SGA(term)2hypoglycaemia_2</t>
  </si>
  <si>
    <t>RDS2CLD_2</t>
  </si>
  <si>
    <t>RDS2noCLD_2</t>
  </si>
  <si>
    <t>noRDS2CLD_2</t>
  </si>
  <si>
    <t>noRDS2noCLD_2</t>
  </si>
  <si>
    <t>Hypo2CI_2</t>
  </si>
  <si>
    <t>Hypo2noCI_2</t>
  </si>
  <si>
    <t>noHypo2CI_2</t>
  </si>
  <si>
    <t>noHypo2noCI_2</t>
  </si>
  <si>
    <t>ANC2SB_3</t>
  </si>
  <si>
    <t>ANC2LB_3</t>
  </si>
  <si>
    <t>LB2prem_3</t>
  </si>
  <si>
    <t>LB2term_3</t>
  </si>
  <si>
    <t>Prem2NBW_3</t>
  </si>
  <si>
    <t>Term2LBW_3</t>
  </si>
  <si>
    <t>Term2NBW_3</t>
  </si>
  <si>
    <t>LBW(prem)2SGA_3</t>
  </si>
  <si>
    <t>LBW(prem)2AGA_3</t>
  </si>
  <si>
    <t>NBW(prem)2SGA_3</t>
  </si>
  <si>
    <t>NBW(prem)2AGA_3</t>
  </si>
  <si>
    <t>LBW(term)2SGA_3</t>
  </si>
  <si>
    <t>LBW(term)2AGA_3</t>
  </si>
  <si>
    <t>NBW(term)2SGA_3</t>
  </si>
  <si>
    <t>NBW(term)2AGA_3</t>
  </si>
  <si>
    <t>SGA(prem)2d_3</t>
  </si>
  <si>
    <t>SGA(prem)2s_3</t>
  </si>
  <si>
    <t>AGA(prem)2d_3</t>
  </si>
  <si>
    <t>AGA(prem)2s_3</t>
  </si>
  <si>
    <t>SGA(term)2d_3</t>
  </si>
  <si>
    <t>SGA(term)2s_3</t>
  </si>
  <si>
    <t>AGA(term)2d_3</t>
  </si>
  <si>
    <t>AGA(term)2s_3</t>
  </si>
  <si>
    <t>S(prem)2RDS_3</t>
  </si>
  <si>
    <t>S(prem)2noRDS_3</t>
  </si>
  <si>
    <t>S(term)2RDS_3</t>
  </si>
  <si>
    <t>S(term)2noRDS_3</t>
  </si>
  <si>
    <t>SGA(prem)2hypoglycaemia_3</t>
  </si>
  <si>
    <t>SGA(prem)2normoglycaemia_3</t>
  </si>
  <si>
    <t>SGA(term)2hypoglycaemia_3</t>
  </si>
  <si>
    <t>SGA(term)2normoglycaemia_3</t>
  </si>
  <si>
    <t>RDS2CLD_3</t>
  </si>
  <si>
    <t>RDS2noCLD_3</t>
  </si>
  <si>
    <t>noRDS2CLD_3</t>
  </si>
  <si>
    <t>noRDS2noCLD_3</t>
  </si>
  <si>
    <t>Hypo2CI_3</t>
  </si>
  <si>
    <t>Hypo2noCI_3</t>
  </si>
  <si>
    <t>noHypo2CI_3</t>
  </si>
  <si>
    <t>noHypo2noCI_3</t>
  </si>
  <si>
    <t>LB2prem_4</t>
  </si>
  <si>
    <t>LB2term_4</t>
  </si>
  <si>
    <t>Prem2NBW_4</t>
  </si>
  <si>
    <t>Term2LBW_4</t>
  </si>
  <si>
    <t>Term2NBW_4</t>
  </si>
  <si>
    <t>LBW(prem)2SGA_4</t>
  </si>
  <si>
    <t>LBW(prem)2AGA_4</t>
  </si>
  <si>
    <t>NBW(prem)2SGA_4</t>
  </si>
  <si>
    <t>NBW(prem)2AGA_4</t>
  </si>
  <si>
    <t>LBW(term)2SGA_4</t>
  </si>
  <si>
    <t>LBW(term)2AGA_4</t>
  </si>
  <si>
    <t>NBW(term)2SGA_4</t>
  </si>
  <si>
    <t>NBW(term)2AGA_4</t>
  </si>
  <si>
    <t>SGA(prem)2d_4</t>
  </si>
  <si>
    <t>SGA(prem)2s_4</t>
  </si>
  <si>
    <t>AGA(prem)2d_4</t>
  </si>
  <si>
    <t>AGA(prem)2s_4</t>
  </si>
  <si>
    <t>SGA(term)2d_4</t>
  </si>
  <si>
    <t>SGA(term)2s_4</t>
  </si>
  <si>
    <t>AGA(term)2d_4</t>
  </si>
  <si>
    <t>AGA(term)2s_4</t>
  </si>
  <si>
    <t>S(prem)2RDS_4</t>
  </si>
  <si>
    <t>S(prem)2noRDS_4</t>
  </si>
  <si>
    <t>S(term)2RDS_4</t>
  </si>
  <si>
    <t>S(term)2noRDS_4</t>
  </si>
  <si>
    <t>SGA(prem)2hypoglycaemia_4</t>
  </si>
  <si>
    <t>SGA(prem)2normoglycaemia_4</t>
  </si>
  <si>
    <t>SGA(term)2hypoglycaemia_4</t>
  </si>
  <si>
    <t>SGA(term)2normoglycaemia_4</t>
  </si>
  <si>
    <t>RDS2CLD_4</t>
  </si>
  <si>
    <t>RDS2noCLD_4</t>
  </si>
  <si>
    <t>noRDS2CLD_4</t>
  </si>
  <si>
    <t>noRDS2noCLD_4</t>
  </si>
  <si>
    <t>Hypo2CI_4</t>
  </si>
  <si>
    <t>Hypo2noCI_4</t>
  </si>
  <si>
    <t>noHypo2CI_4</t>
  </si>
  <si>
    <t>noHypo2noCI_4</t>
  </si>
  <si>
    <t>Grant effect</t>
  </si>
  <si>
    <t>Comment</t>
  </si>
  <si>
    <t>e_preterm</t>
  </si>
  <si>
    <t>NoANC2SB_2</t>
  </si>
  <si>
    <t>NoANC2LB_2</t>
  </si>
  <si>
    <t>No ANC to stillbirth</t>
  </si>
  <si>
    <t>No ANC to live birth</t>
  </si>
  <si>
    <t>NoANC2SB_4</t>
  </si>
  <si>
    <t>NoANC2LB_4</t>
  </si>
  <si>
    <t>Preterm AGA</t>
  </si>
  <si>
    <t>Term AGA</t>
  </si>
  <si>
    <t>0/100</t>
  </si>
  <si>
    <t>Araz 2006</t>
  </si>
  <si>
    <t>9/60</t>
  </si>
  <si>
    <t>Lubchenco</t>
  </si>
  <si>
    <t>AGA(prem)2normoglycaemia_4</t>
  </si>
  <si>
    <t>AGA(prem)2hypoglycaemia_4</t>
  </si>
  <si>
    <t>AGA term to hypoglycaemia</t>
  </si>
  <si>
    <t>AGA term to normoglycaemia</t>
  </si>
  <si>
    <t>AGA preterm to hypoglycaemia</t>
  </si>
  <si>
    <t>AGA preterm to normoglycaemia</t>
  </si>
  <si>
    <t>AGA(term)2hypoglycaemia_4</t>
  </si>
  <si>
    <t>AGA(term)2normoglycaemia_4</t>
  </si>
  <si>
    <t>10.1%-point more likely to take up at least one ANC service</t>
  </si>
  <si>
    <t>Rahman &amp; Pallikadavath (2018)</t>
  </si>
  <si>
    <t>Brownell et al., 2016</t>
  </si>
  <si>
    <t>95% CI 0.63–0.82</t>
  </si>
  <si>
    <t>95% CI 0.69–0.84</t>
  </si>
  <si>
    <t>95% CI 0.81–0.99</t>
  </si>
  <si>
    <t>Brownell et al., 2017</t>
  </si>
  <si>
    <t>Brownell et al., 2018</t>
  </si>
  <si>
    <t>e_mortality</t>
  </si>
  <si>
    <t>11% decline in infant mortality</t>
  </si>
  <si>
    <t>Barham 2005</t>
  </si>
  <si>
    <t>18 per 1000 to 16 per 1000</t>
  </si>
  <si>
    <t>AGA(prem)2hypoglycaemia_1</t>
  </si>
  <si>
    <t>AGA(prem)2normoglycaemia_1</t>
  </si>
  <si>
    <t>AGA(term)2hypoglycaemia_1</t>
  </si>
  <si>
    <t>AGA(term)2normoglycaemia_1</t>
  </si>
  <si>
    <t>AGA(prem)2hypoglycaemia_2</t>
  </si>
  <si>
    <t>AGA(prem)2normoglycaemia_2</t>
  </si>
  <si>
    <t>AGA(term)2hypoglycaemia_2</t>
  </si>
  <si>
    <t>AGA(term)2normoglycaemia_2</t>
  </si>
  <si>
    <t>AGA(prem)2hypoglycaemia_3</t>
  </si>
  <si>
    <t>AGA(prem)2normoglycaemia_3</t>
  </si>
  <si>
    <t>AGA(term)2hypoglycaemia_3</t>
  </si>
  <si>
    <t>AGA(term)2normoglycaemia_3</t>
  </si>
  <si>
    <t>complement</t>
  </si>
  <si>
    <t>assume 1 week in mortuary + certificate</t>
  </si>
  <si>
    <t>Contribution of YLLs</t>
  </si>
  <si>
    <t>Contribution of YLDs</t>
  </si>
  <si>
    <t>DALYs motor impairement</t>
  </si>
  <si>
    <t xml:space="preserve">Life expectancy at age of premature death </t>
  </si>
  <si>
    <t>Years lived with disease</t>
  </si>
  <si>
    <t xml:space="preserve">Disability weight </t>
  </si>
  <si>
    <t>https://cevr.shinyapps.io/DALYcalculation/</t>
  </si>
  <si>
    <t>Hutton 2002</t>
  </si>
  <si>
    <t>Discounted</t>
  </si>
  <si>
    <t>DW for moderately controlled asthma</t>
  </si>
  <si>
    <t>Katwyk 2020</t>
  </si>
  <si>
    <t>DW for moderate motor impairment due to prematurity 28-32 weeks</t>
  </si>
  <si>
    <t>Year lost</t>
  </si>
  <si>
    <t>Time</t>
  </si>
  <si>
    <t>0.061
(0.04-0.089)</t>
  </si>
  <si>
    <t>Year with disease</t>
  </si>
  <si>
    <t>Year</t>
  </si>
  <si>
    <t>Disability</t>
  </si>
  <si>
    <t xml:space="preserve">Life expectancy   </t>
  </si>
  <si>
    <t>0.133
(0.086-0.192)</t>
  </si>
  <si>
    <t xml:space="preserve">Life expectancy  </t>
  </si>
  <si>
    <t>https://www.uptodate.com/contents/natural-history-of-asthma</t>
  </si>
  <si>
    <t>Motor impairment</t>
  </si>
  <si>
    <t>DALYS</t>
  </si>
  <si>
    <t>x</t>
  </si>
  <si>
    <t>Difference (DALYs)</t>
  </si>
  <si>
    <t>Usual Care</t>
  </si>
  <si>
    <t>NICU costs (mainly for LBW)</t>
  </si>
  <si>
    <t>NICU days, &lt;1500g</t>
  </si>
  <si>
    <t>NICU days, 1500-2499g</t>
  </si>
  <si>
    <t>NICU days, &gt;2500g</t>
  </si>
  <si>
    <t>High care days, &lt;1500g</t>
  </si>
  <si>
    <t>High care days, 1500-2499g</t>
  </si>
  <si>
    <t>High care days, &gt;2500g</t>
  </si>
  <si>
    <t>NICU admission rate, &lt;1500g</t>
  </si>
  <si>
    <t>na</t>
  </si>
  <si>
    <t>NICU admission rate, 1500-2500g</t>
  </si>
  <si>
    <t>NICU admission rate, &gt;2500g</t>
  </si>
  <si>
    <t>Proportion LBW (&lt;2500g) that are &lt;1500g</t>
  </si>
  <si>
    <t>Proportion LBW (&lt;2500g) that are 1500-2499g</t>
  </si>
  <si>
    <t>c_NICU_NBW</t>
  </si>
  <si>
    <t>% change Sep 2021 vs. Sep 2020</t>
  </si>
  <si>
    <t>Annual USD-ZAR exchange rate 2021</t>
  </si>
  <si>
    <t>Dispensing fee</t>
  </si>
  <si>
    <t>Source is 2020 MPC or 2021 fee schedule unless otherwise stated</t>
  </si>
  <si>
    <t>Pharmacy fees</t>
  </si>
  <si>
    <t xml:space="preserve">Incl medication cost </t>
  </si>
  <si>
    <t>Incl medication cost and pharmacy fee</t>
  </si>
  <si>
    <t>CSG</t>
  </si>
  <si>
    <t>c_CSG</t>
  </si>
  <si>
    <t>DALYs averted</t>
  </si>
  <si>
    <t>Per person</t>
  </si>
  <si>
    <t>Disaggregated Costs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</si>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</sst>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quot;R&quot;#,##0;[Red]\-&quot;R&quot;#,##0"/>
    <numFmt numFmtId="165" formatCode="_-&quot;R&quot;* #,##0.00_-;\-&quot;R&quot;* #,##0.00_-;_-&quot;R&quot;* &quot;-&quot;??_-;_-@_-"/>
    <numFmt numFmtId="166" formatCode="_-* #,##0.00_-;\-* #,##0.00_-;_-* &quot;-&quot;??_-;_-@_-"/>
    <numFmt numFmtId="167" formatCode="0.0000"/>
    <numFmt numFmtId="168" formatCode="_(&quot;$&quot;* #,##0_);_(&quot;$&quot;* \(#,##0\);_(&quot;$&quot;* &quot;-&quot;??_);_(@_)"/>
    <numFmt numFmtId="169" formatCode="&quot;R&quot;#,##0.00"/>
    <numFmt numFmtId="170" formatCode="_-[$$-409]* #,##0.00_ ;_-[$$-409]* \-#,##0.00\ ;_-[$$-409]* &quot;-&quot;??_ ;_-@_ "/>
    <numFmt numFmtId="171" formatCode="_-&quot;£&quot;* #,##0.00_-;\-&quot;£&quot;* #,##0.00_-;_-&quot;£&quot;* &quot;-&quot;??_-;_-@_-"/>
    <numFmt numFmtId="172" formatCode="#,##0.0"/>
    <numFmt numFmtId="173" formatCode="0.0"/>
    <numFmt numFmtId="174" formatCode="0.000"/>
    <numFmt numFmtId="175" formatCode="_(* #,##0_);_(* \(#,##0\);_(* &quot;-&quot;??_);_(@_)"/>
    <numFmt numFmtId="176" formatCode="0.0000000E+00"/>
    <numFmt numFmtId="177" formatCode="&quot;R&quot;#,##0"/>
  </numFmts>
  <fonts count="46"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theme="2" tint="-0.249977111117893"/>
      <name val="Calibri"/>
      <family val="2"/>
      <scheme val="minor"/>
    </font>
    <font>
      <sz val="10"/>
      <color theme="2" tint="-0.249977111117893"/>
      <name val="Calibri"/>
      <family val="2"/>
      <scheme val="minor"/>
    </font>
    <font>
      <sz val="11"/>
      <name val="Calibri"/>
      <family val="2"/>
      <scheme val="minor"/>
    </font>
    <font>
      <b/>
      <sz val="11"/>
      <name val="Calibri"/>
      <family val="2"/>
      <scheme val="minor"/>
    </font>
    <font>
      <sz val="10"/>
      <name val="Calibri"/>
      <family val="2"/>
      <scheme val="minor"/>
    </font>
    <font>
      <sz val="10"/>
      <color theme="2" tint="-0.499984740745262"/>
      <name val="Calibri"/>
      <family val="2"/>
      <scheme val="minor"/>
    </font>
    <font>
      <sz val="11"/>
      <color theme="2" tint="-0.499984740745262"/>
      <name val="Calibri"/>
      <family val="2"/>
      <scheme val="minor"/>
    </font>
    <font>
      <b/>
      <sz val="11"/>
      <color theme="2" tint="-0.499984740745262"/>
      <name val="Calibri"/>
      <family val="2"/>
      <scheme val="minor"/>
    </font>
    <font>
      <sz val="8"/>
      <color rgb="FF222222"/>
      <name val="Arial"/>
      <family val="2"/>
    </font>
    <font>
      <b/>
      <sz val="11"/>
      <color theme="2" tint="-0.249977111117893"/>
      <name val="Calibri"/>
      <family val="2"/>
      <scheme val="minor"/>
    </font>
    <font>
      <sz val="8"/>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name val="Arial"/>
      <family val="2"/>
      <charset val="204"/>
    </font>
    <font>
      <i/>
      <sz val="9"/>
      <name val="Arial"/>
      <family val="2"/>
      <charset val="204"/>
    </font>
    <font>
      <sz val="10"/>
      <name val="Arial"/>
      <family val="2"/>
    </font>
    <font>
      <b/>
      <sz val="9"/>
      <name val="Arial"/>
      <family val="2"/>
    </font>
    <font>
      <b/>
      <i/>
      <sz val="9"/>
      <name val="Arial"/>
      <family val="2"/>
      <charset val="204"/>
    </font>
    <font>
      <b/>
      <sz val="11"/>
      <name val="Arial"/>
      <family val="2"/>
    </font>
    <font>
      <b/>
      <u/>
      <sz val="11"/>
      <color indexed="12"/>
      <name val="Arial"/>
      <family val="2"/>
    </font>
    <font>
      <b/>
      <sz val="10"/>
      <name val="Arial"/>
      <family val="2"/>
    </font>
    <font>
      <b/>
      <sz val="10"/>
      <name val="Courier New"/>
      <family val="3"/>
    </font>
    <font>
      <u/>
      <sz val="11"/>
      <color theme="10"/>
      <name val="Calibri"/>
      <family val="2"/>
      <scheme val="minor"/>
    </font>
    <font>
      <i/>
      <sz val="11"/>
      <name val="Calibri"/>
      <family val="2"/>
      <scheme val="minor"/>
    </font>
    <font>
      <i/>
      <sz val="11"/>
      <color theme="1"/>
      <name val="Calibri"/>
      <family val="2"/>
      <scheme val="minor"/>
    </font>
    <font>
      <sz val="8"/>
      <color rgb="FF000000"/>
      <name val="Times New Roman"/>
      <family val="1"/>
    </font>
    <font>
      <sz val="8"/>
      <color theme="1"/>
      <name val="Times New Roman"/>
      <family val="1"/>
    </font>
  </fonts>
  <fills count="4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indexed="41"/>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s>
  <borders count="28">
    <border>
      <left/>
      <right/>
      <top/>
      <bottom/>
      <diagonal/>
    </border>
    <border>
      <left/>
      <right style="thin">
        <color indexed="64"/>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bottom style="thin">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6">
    <xf numFmtId="0" fontId="0" fillId="0" borderId="0"/>
    <xf numFmtId="165" fontId="16" fillId="0" borderId="0" applyFont="0" applyFill="0" applyBorder="0" applyAlignment="0" applyProtection="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6" applyNumberFormat="0" applyAlignment="0" applyProtection="0"/>
    <xf numFmtId="0" fontId="25" fillId="10" borderId="7" applyNumberFormat="0" applyAlignment="0" applyProtection="0"/>
    <xf numFmtId="0" fontId="26" fillId="10" borderId="6" applyNumberFormat="0" applyAlignment="0" applyProtection="0"/>
    <xf numFmtId="0" fontId="27" fillId="0" borderId="8" applyNumberFormat="0" applyFill="0" applyAlignment="0" applyProtection="0"/>
    <xf numFmtId="0" fontId="28" fillId="11" borderId="9" applyNumberFormat="0" applyAlignment="0" applyProtection="0"/>
    <xf numFmtId="0" fontId="29" fillId="0" borderId="0" applyNumberFormat="0" applyFill="0" applyBorder="0" applyAlignment="0" applyProtection="0"/>
    <xf numFmtId="0" fontId="16" fillId="12" borderId="10" applyNumberFormat="0" applyFont="0" applyAlignment="0" applyProtection="0"/>
    <xf numFmtId="0" fontId="30" fillId="0" borderId="0" applyNumberFormat="0" applyFill="0" applyBorder="0" applyAlignment="0" applyProtection="0"/>
    <xf numFmtId="0" fontId="1" fillId="0" borderId="11" applyNumberFormat="0" applyFill="0" applyAlignment="0" applyProtection="0"/>
    <xf numFmtId="0" fontId="31"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31"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31"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31"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31"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31" fillId="33"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6" fillId="36" borderId="0" applyNumberFormat="0" applyBorder="0" applyAlignment="0" applyProtection="0"/>
    <xf numFmtId="0" fontId="34" fillId="0" borderId="0">
      <alignment vertical="top"/>
    </xf>
    <xf numFmtId="0" fontId="34" fillId="0" borderId="19">
      <alignment vertical="top"/>
    </xf>
    <xf numFmtId="0" fontId="37" fillId="0" borderId="20">
      <alignment vertical="top" wrapText="1"/>
    </xf>
    <xf numFmtId="0" fontId="38" fillId="0" borderId="20">
      <alignment vertical="top" wrapText="1"/>
    </xf>
    <xf numFmtId="0" fontId="39" fillId="0" borderId="0" applyNumberFormat="0" applyFill="0" applyBorder="0" applyProtection="0">
      <alignment vertical="top"/>
    </xf>
    <xf numFmtId="0" fontId="34" fillId="0" borderId="0" applyNumberFormat="0" applyFont="0" applyFill="0" applyBorder="0" applyProtection="0">
      <alignment wrapText="1"/>
    </xf>
    <xf numFmtId="9" fontId="16" fillId="0" borderId="0" applyFont="0" applyFill="0" applyBorder="0" applyAlignment="0" applyProtection="0"/>
    <xf numFmtId="0" fontId="34" fillId="0" borderId="0"/>
    <xf numFmtId="171" fontId="34" fillId="0" borderId="0" applyFont="0" applyFill="0" applyBorder="0" applyAlignment="0" applyProtection="0"/>
    <xf numFmtId="0" fontId="40" fillId="0" borderId="0"/>
    <xf numFmtId="166" fontId="34" fillId="0" borderId="0" applyFont="0" applyFill="0" applyBorder="0" applyAlignment="0" applyProtection="0"/>
    <xf numFmtId="0" fontId="41" fillId="0" borderId="0" applyNumberFormat="0" applyFill="0" applyBorder="0" applyAlignment="0" applyProtection="0"/>
    <xf numFmtId="43" fontId="16" fillId="0" borderId="0" applyFont="0" applyFill="0" applyBorder="0" applyAlignment="0" applyProtection="0"/>
  </cellStyleXfs>
  <cellXfs count="148">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0" fillId="2" borderId="0" xfId="0" applyFill="1" applyAlignment="1">
      <alignment wrapText="1"/>
    </xf>
    <xf numFmtId="0" fontId="0" fillId="0" borderId="1" xfId="0" applyBorder="1"/>
    <xf numFmtId="0" fontId="3" fillId="0" borderId="0" xfId="0" applyFont="1"/>
    <xf numFmtId="0" fontId="4" fillId="0" borderId="0" xfId="0" applyFont="1"/>
    <xf numFmtId="0" fontId="5" fillId="0" borderId="0" xfId="0" applyFont="1"/>
    <xf numFmtId="0" fontId="0" fillId="0" borderId="0" xfId="0" applyFill="1" applyBorder="1"/>
    <xf numFmtId="0" fontId="0" fillId="2" borderId="2" xfId="0" applyFill="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0" fillId="3" borderId="0" xfId="0" applyFill="1" applyBorder="1"/>
    <xf numFmtId="0" fontId="0" fillId="4" borderId="0" xfId="0" applyFill="1" applyBorder="1"/>
    <xf numFmtId="9" fontId="0" fillId="0" borderId="0" xfId="0" applyNumberFormat="1" applyFill="1" applyBorder="1"/>
    <xf numFmtId="10" fontId="0" fillId="0" borderId="0" xfId="0" applyNumberFormat="1" applyFill="1" applyBorder="1"/>
    <xf numFmtId="0" fontId="15" fillId="0" borderId="0" xfId="0" applyFont="1"/>
    <xf numFmtId="0" fontId="0" fillId="5" borderId="0" xfId="0" applyFill="1"/>
    <xf numFmtId="0" fontId="32" fillId="0" borderId="0" xfId="0" applyFont="1"/>
    <xf numFmtId="0" fontId="35" fillId="0" borderId="0" xfId="0" applyFont="1"/>
    <xf numFmtId="0" fontId="35" fillId="0" borderId="0" xfId="0" applyFont="1" applyAlignment="1">
      <alignment horizontal="center"/>
    </xf>
    <xf numFmtId="168" fontId="36" fillId="0" borderId="0" xfId="1" applyNumberFormat="1" applyFont="1" applyAlignment="1">
      <alignment horizontal="left"/>
    </xf>
    <xf numFmtId="0" fontId="32" fillId="0" borderId="14" xfId="0" applyFont="1" applyBorder="1"/>
    <xf numFmtId="0" fontId="32" fillId="0" borderId="0" xfId="0" applyFont="1" applyAlignment="1">
      <alignment horizontal="left"/>
    </xf>
    <xf numFmtId="0" fontId="32" fillId="0" borderId="15" xfId="0" applyFont="1" applyBorder="1"/>
    <xf numFmtId="0" fontId="0" fillId="37" borderId="0" xfId="0" applyFill="1"/>
    <xf numFmtId="169" fontId="33" fillId="38" borderId="13" xfId="1" applyNumberFormat="1" applyFont="1" applyFill="1" applyBorder="1" applyAlignment="1">
      <alignment horizontal="center"/>
    </xf>
    <xf numFmtId="0" fontId="0" fillId="3" borderId="0" xfId="0" applyFill="1"/>
    <xf numFmtId="0" fontId="1" fillId="39" borderId="0" xfId="0" applyFont="1" applyFill="1"/>
    <xf numFmtId="0" fontId="0" fillId="0" borderId="0" xfId="0" applyAlignment="1">
      <alignment wrapText="1"/>
    </xf>
    <xf numFmtId="0" fontId="0" fillId="40" borderId="0" xfId="0" applyFill="1"/>
    <xf numFmtId="9" fontId="0" fillId="0" borderId="0" xfId="0" applyNumberFormat="1"/>
    <xf numFmtId="0" fontId="1" fillId="37" borderId="0" xfId="0" applyFont="1" applyFill="1"/>
    <xf numFmtId="0" fontId="0" fillId="0" borderId="0" xfId="0"/>
    <xf numFmtId="169" fontId="0" fillId="37" borderId="0" xfId="0" applyNumberFormat="1" applyFill="1"/>
    <xf numFmtId="0" fontId="0" fillId="39" borderId="0" xfId="0" applyFill="1"/>
    <xf numFmtId="0" fontId="0" fillId="0" borderId="0" xfId="0" applyFill="1"/>
    <xf numFmtId="2" fontId="0" fillId="0" borderId="0" xfId="0" applyNumberFormat="1"/>
    <xf numFmtId="2" fontId="0" fillId="0" borderId="0" xfId="0" applyNumberFormat="1" applyFill="1"/>
    <xf numFmtId="9" fontId="0" fillId="0" borderId="0" xfId="49" applyFont="1" applyFill="1" applyBorder="1"/>
    <xf numFmtId="169" fontId="0" fillId="0" borderId="0" xfId="0" applyNumberFormat="1" applyFill="1" applyBorder="1"/>
    <xf numFmtId="2" fontId="0" fillId="0" borderId="0" xfId="0" applyNumberFormat="1" applyFill="1" applyBorder="1"/>
    <xf numFmtId="44" fontId="33" fillId="0" borderId="14" xfId="1" applyNumberFormat="1" applyFont="1" applyFill="1" applyBorder="1" applyAlignment="1">
      <alignment horizontal="center"/>
    </xf>
    <xf numFmtId="167" fontId="33" fillId="38" borderId="13" xfId="0" applyNumberFormat="1" applyFont="1" applyFill="1" applyBorder="1" applyAlignment="1">
      <alignment horizontal="center"/>
    </xf>
    <xf numFmtId="170" fontId="32" fillId="0" borderId="0" xfId="0" applyNumberFormat="1" applyFont="1"/>
    <xf numFmtId="0" fontId="0" fillId="0" borderId="0" xfId="0" applyFont="1"/>
    <xf numFmtId="0" fontId="0" fillId="3" borderId="0" xfId="0" applyFont="1" applyFill="1"/>
    <xf numFmtId="0" fontId="0" fillId="0" borderId="0" xfId="0" applyNumberFormat="1" applyFont="1" applyAlignment="1">
      <alignment horizontal="right"/>
    </xf>
    <xf numFmtId="0" fontId="0" fillId="41" borderId="0" xfId="0" applyFont="1" applyFill="1"/>
    <xf numFmtId="169" fontId="0" fillId="42" borderId="0" xfId="0" applyNumberFormat="1" applyFont="1" applyFill="1"/>
    <xf numFmtId="0" fontId="0" fillId="0" borderId="0" xfId="0" applyNumberFormat="1" applyFont="1" applyFill="1" applyAlignment="1">
      <alignment horizontal="right"/>
    </xf>
    <xf numFmtId="169" fontId="0" fillId="0" borderId="0" xfId="0" applyNumberFormat="1" applyFont="1"/>
    <xf numFmtId="0" fontId="0" fillId="4" borderId="0" xfId="0" applyFont="1" applyFill="1"/>
    <xf numFmtId="0" fontId="0" fillId="4" borderId="0" xfId="0" applyNumberFormat="1" applyFont="1" applyFill="1" applyAlignment="1">
      <alignment horizontal="right"/>
    </xf>
    <xf numFmtId="169" fontId="0" fillId="4" borderId="0" xfId="0" applyNumberFormat="1" applyFont="1" applyFill="1"/>
    <xf numFmtId="169" fontId="0" fillId="4" borderId="0" xfId="0" applyNumberFormat="1" applyFont="1" applyFill="1" applyAlignment="1">
      <alignment horizontal="right"/>
    </xf>
    <xf numFmtId="0" fontId="0" fillId="0" borderId="0" xfId="0" applyFont="1" applyFill="1"/>
    <xf numFmtId="169" fontId="0" fillId="0" borderId="0" xfId="0" applyNumberFormat="1" applyFont="1" applyFill="1"/>
    <xf numFmtId="0" fontId="7" fillId="37" borderId="0" xfId="0" applyNumberFormat="1" applyFont="1" applyFill="1" applyAlignment="1">
      <alignment horizontal="right"/>
    </xf>
    <xf numFmtId="0" fontId="7" fillId="37" borderId="0" xfId="0" applyFont="1" applyFill="1" applyAlignment="1"/>
    <xf numFmtId="169" fontId="7" fillId="37" borderId="0" xfId="0" applyNumberFormat="1" applyFont="1" applyFill="1" applyAlignment="1"/>
    <xf numFmtId="169" fontId="7" fillId="37" borderId="12" xfId="0" applyNumberFormat="1" applyFont="1" applyFill="1" applyBorder="1" applyAlignment="1"/>
    <xf numFmtId="0" fontId="7" fillId="37" borderId="12" xfId="0" applyNumberFormat="1" applyFont="1" applyFill="1" applyBorder="1" applyAlignment="1">
      <alignment horizontal="right"/>
    </xf>
    <xf numFmtId="0" fontId="7" fillId="37" borderId="12" xfId="0" applyFont="1" applyFill="1" applyBorder="1" applyAlignment="1"/>
    <xf numFmtId="0" fontId="7" fillId="0" borderId="0" xfId="0" applyNumberFormat="1" applyFont="1" applyFill="1" applyBorder="1" applyAlignment="1">
      <alignment horizontal="right"/>
    </xf>
    <xf numFmtId="0" fontId="6" fillId="0" borderId="0" xfId="0" applyFont="1" applyAlignment="1">
      <alignment horizontal="center"/>
    </xf>
    <xf numFmtId="169" fontId="6" fillId="0" borderId="0" xfId="0" applyNumberFormat="1" applyFont="1" applyAlignment="1">
      <alignment horizontal="center"/>
    </xf>
    <xf numFmtId="0" fontId="6" fillId="0" borderId="0" xfId="0" applyNumberFormat="1" applyFont="1" applyBorder="1" applyAlignment="1">
      <alignment horizontal="right"/>
    </xf>
    <xf numFmtId="0" fontId="6" fillId="0" borderId="0" xfId="0" applyFont="1" applyBorder="1" applyAlignment="1">
      <alignment horizontal="center"/>
    </xf>
    <xf numFmtId="169" fontId="6" fillId="0" borderId="0" xfId="0" applyNumberFormat="1" applyFont="1" applyBorder="1" applyAlignment="1">
      <alignment horizontal="center"/>
    </xf>
    <xf numFmtId="167" fontId="6" fillId="0" borderId="0" xfId="0" applyNumberFormat="1" applyFont="1" applyBorder="1" applyAlignment="1">
      <alignment horizontal="center"/>
    </xf>
    <xf numFmtId="0" fontId="6" fillId="0" borderId="0" xfId="0" applyNumberFormat="1" applyFont="1" applyAlignment="1">
      <alignment horizontal="right"/>
    </xf>
    <xf numFmtId="0" fontId="6" fillId="0" borderId="0" xfId="0" applyNumberFormat="1" applyFont="1" applyFill="1" applyAlignment="1">
      <alignment horizontal="right"/>
    </xf>
    <xf numFmtId="0" fontId="0" fillId="0" borderId="0" xfId="0" applyFont="1" applyAlignment="1">
      <alignment horizontal="center" vertical="center"/>
    </xf>
    <xf numFmtId="0" fontId="0" fillId="0" borderId="0" xfId="0" applyFont="1" applyFill="1" applyAlignment="1">
      <alignment horizontal="center" vertical="center"/>
    </xf>
    <xf numFmtId="0" fontId="6" fillId="43" borderId="0" xfId="0" applyFont="1" applyFill="1"/>
    <xf numFmtId="0" fontId="0" fillId="44" borderId="0" xfId="0" applyFill="1"/>
    <xf numFmtId="169" fontId="0" fillId="0" borderId="0" xfId="0" applyNumberFormat="1"/>
    <xf numFmtId="0" fontId="41" fillId="0" borderId="0" xfId="54"/>
    <xf numFmtId="0" fontId="42" fillId="4" borderId="0" xfId="0" applyFont="1" applyFill="1"/>
    <xf numFmtId="0" fontId="43" fillId="0" borderId="0" xfId="0" applyFont="1"/>
    <xf numFmtId="0" fontId="32" fillId="0" borderId="0" xfId="0" applyFont="1" applyBorder="1"/>
    <xf numFmtId="0" fontId="0" fillId="0" borderId="21" xfId="0" applyBorder="1"/>
    <xf numFmtId="164" fontId="0" fillId="0" borderId="21" xfId="0" applyNumberFormat="1" applyBorder="1"/>
    <xf numFmtId="169" fontId="1" fillId="39" borderId="0" xfId="0" applyNumberFormat="1" applyFont="1" applyFill="1" applyAlignment="1">
      <alignment wrapText="1"/>
    </xf>
    <xf numFmtId="169" fontId="0" fillId="3" borderId="0" xfId="0" applyNumberFormat="1" applyFill="1"/>
    <xf numFmtId="169" fontId="0" fillId="0" borderId="0" xfId="0" applyNumberFormat="1" applyFill="1"/>
    <xf numFmtId="0" fontId="0" fillId="4" borderId="0" xfId="0" applyFill="1"/>
    <xf numFmtId="0" fontId="0" fillId="45" borderId="0" xfId="0" applyFill="1"/>
    <xf numFmtId="0" fontId="0" fillId="45" borderId="0" xfId="0" applyFill="1" applyBorder="1"/>
    <xf numFmtId="2" fontId="0" fillId="45" borderId="0" xfId="0" applyNumberFormat="1" applyFill="1" applyBorder="1"/>
    <xf numFmtId="3" fontId="0" fillId="0" borderId="0" xfId="0" applyNumberFormat="1" applyFill="1"/>
    <xf numFmtId="172" fontId="0" fillId="0" borderId="0" xfId="0" applyNumberFormat="1" applyFill="1"/>
    <xf numFmtId="10" fontId="0" fillId="0" borderId="0" xfId="0" applyNumberFormat="1"/>
    <xf numFmtId="1" fontId="0" fillId="0" borderId="0" xfId="0" applyNumberFormat="1"/>
    <xf numFmtId="169" fontId="7" fillId="4" borderId="12" xfId="0" applyNumberFormat="1" applyFont="1" applyFill="1" applyBorder="1" applyAlignment="1"/>
    <xf numFmtId="0" fontId="7" fillId="4" borderId="12" xfId="0" applyFont="1" applyFill="1" applyBorder="1" applyAlignment="1"/>
    <xf numFmtId="0" fontId="0" fillId="0" borderId="15" xfId="0" applyFill="1" applyBorder="1"/>
    <xf numFmtId="0" fontId="7" fillId="4" borderId="22" xfId="0" applyNumberFormat="1" applyFont="1" applyFill="1" applyBorder="1" applyAlignment="1">
      <alignment horizontal="right"/>
    </xf>
    <xf numFmtId="0" fontId="0" fillId="46" borderId="0" xfId="0" applyFill="1"/>
    <xf numFmtId="2" fontId="0" fillId="4" borderId="0" xfId="0" applyNumberFormat="1" applyFill="1"/>
    <xf numFmtId="3" fontId="0" fillId="0" borderId="0" xfId="0" applyNumberFormat="1"/>
    <xf numFmtId="0" fontId="0" fillId="0" borderId="0" xfId="0" applyFont="1" applyFill="1" applyBorder="1"/>
    <xf numFmtId="0" fontId="0" fillId="0" borderId="2" xfId="0" applyBorder="1"/>
    <xf numFmtId="0" fontId="0" fillId="0" borderId="2" xfId="0" applyFont="1" applyFill="1" applyBorder="1"/>
    <xf numFmtId="0" fontId="43" fillId="4" borderId="0" xfId="0" applyFont="1" applyFill="1"/>
    <xf numFmtId="0" fontId="0" fillId="0" borderId="0" xfId="0" applyFill="1" applyAlignment="1">
      <alignment wrapText="1"/>
    </xf>
    <xf numFmtId="0" fontId="0" fillId="0" borderId="2" xfId="0" applyFill="1" applyBorder="1"/>
    <xf numFmtId="169" fontId="0" fillId="0" borderId="0" xfId="0" applyNumberFormat="1" applyFont="1" applyFill="1" applyBorder="1"/>
    <xf numFmtId="169" fontId="0" fillId="0" borderId="2" xfId="0" applyNumberFormat="1" applyFont="1" applyFill="1" applyBorder="1"/>
    <xf numFmtId="0" fontId="44" fillId="0" borderId="0" xfId="0" applyFont="1"/>
    <xf numFmtId="0" fontId="45" fillId="0" borderId="23" xfId="0" applyFont="1" applyBorder="1" applyAlignment="1">
      <alignment horizontal="center" vertical="center" wrapText="1"/>
    </xf>
    <xf numFmtId="174" fontId="0" fillId="0" borderId="0" xfId="0" applyNumberFormat="1" applyFill="1" applyBorder="1"/>
    <xf numFmtId="167" fontId="0" fillId="0" borderId="0" xfId="0" applyNumberFormat="1"/>
    <xf numFmtId="2" fontId="0" fillId="0" borderId="0" xfId="0" quotePrefix="1" applyNumberFormat="1"/>
    <xf numFmtId="0" fontId="35" fillId="0" borderId="13" xfId="0" applyFont="1" applyFill="1" applyBorder="1" applyAlignment="1">
      <alignment horizontal="center"/>
    </xf>
    <xf numFmtId="177" fontId="32" fillId="0" borderId="13" xfId="0" applyNumberFormat="1" applyFont="1" applyFill="1" applyBorder="1"/>
    <xf numFmtId="0" fontId="35" fillId="47" borderId="16" xfId="0" applyFont="1" applyFill="1" applyBorder="1"/>
    <xf numFmtId="169" fontId="32" fillId="47" borderId="17" xfId="0" applyNumberFormat="1" applyFont="1" applyFill="1" applyBorder="1"/>
    <xf numFmtId="0" fontId="35" fillId="47" borderId="18" xfId="0" applyFont="1" applyFill="1" applyBorder="1"/>
    <xf numFmtId="167" fontId="33" fillId="47" borderId="13" xfId="0" applyNumberFormat="1" applyFont="1" applyFill="1" applyBorder="1" applyAlignment="1">
      <alignment horizontal="center"/>
    </xf>
    <xf numFmtId="0" fontId="0" fillId="5" borderId="0" xfId="0" applyFont="1" applyFill="1"/>
    <xf numFmtId="169" fontId="0" fillId="5" borderId="0" xfId="0" applyNumberFormat="1" applyFont="1" applyFill="1"/>
    <xf numFmtId="0" fontId="0" fillId="5" borderId="2" xfId="0" applyFill="1" applyBorder="1"/>
    <xf numFmtId="0" fontId="7" fillId="4" borderId="24" xfId="0" applyFont="1" applyFill="1" applyBorder="1" applyAlignment="1"/>
    <xf numFmtId="0" fontId="0" fillId="0" borderId="0" xfId="0" applyBorder="1"/>
    <xf numFmtId="169" fontId="0" fillId="0" borderId="0" xfId="0" applyNumberFormat="1" applyBorder="1"/>
    <xf numFmtId="2" fontId="0" fillId="0" borderId="0" xfId="0" applyNumberFormat="1" applyBorder="1"/>
    <xf numFmtId="176" fontId="0" fillId="0" borderId="0" xfId="0" applyNumberFormat="1" applyBorder="1"/>
    <xf numFmtId="0" fontId="0" fillId="0" borderId="15" xfId="0" applyBorder="1"/>
    <xf numFmtId="0" fontId="0" fillId="4" borderId="26" xfId="0" applyFill="1" applyBorder="1"/>
    <xf numFmtId="0" fontId="0" fillId="4" borderId="27" xfId="0" applyFill="1" applyBorder="1"/>
    <xf numFmtId="0" fontId="0" fillId="4" borderId="25" xfId="0" applyFill="1" applyBorder="1"/>
    <xf numFmtId="2" fontId="0" fillId="4" borderId="26" xfId="0" applyNumberFormat="1" applyFill="1" applyBorder="1"/>
    <xf numFmtId="2" fontId="0" fillId="4" borderId="27" xfId="0" applyNumberFormat="1" applyFill="1" applyBorder="1"/>
    <xf numFmtId="173" fontId="0" fillId="0" borderId="0" xfId="0" applyNumberFormat="1" applyFill="1" applyBorder="1"/>
    <xf numFmtId="175" fontId="0" fillId="0" borderId="0" xfId="55" applyNumberFormat="1" applyFont="1" applyFill="1" applyBorder="1"/>
    <xf numFmtId="169" fontId="0" fillId="0" borderId="0" xfId="0" applyNumberFormat="1" applyAlignment="1">
      <alignment horizontal="right"/>
    </xf>
    <xf numFmtId="17" fontId="0" fillId="0" borderId="0" xfId="0" applyNumberFormat="1"/>
    <xf numFmtId="177" fontId="0" fillId="0" borderId="0" xfId="0" applyNumberFormat="1"/>
  </cellXfs>
  <cellStyles count="5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Bold" xfId="47" xr:uid="{00000000-0005-0000-0000-000019000000}"/>
    <cellStyle name="Calculation" xfId="12" builtinId="22" customBuiltin="1"/>
    <cellStyle name="Check Cell" xfId="14" builtinId="23" customBuiltin="1"/>
    <cellStyle name="Comma" xfId="55" builtinId="3"/>
    <cellStyle name="Comma 2" xfId="53" xr:uid="{00000000-0005-0000-0000-00001D000000}"/>
    <cellStyle name="Currency" xfId="1" builtinId="4"/>
    <cellStyle name="Currency 2" xfId="51" xr:uid="{00000000-0005-0000-0000-00001F000000}"/>
    <cellStyle name="Data" xfId="44" xr:uid="{00000000-0005-0000-0000-000020000000}"/>
    <cellStyle name="Explanatory Text" xfId="17" builtinId="53" customBuiltin="1"/>
    <cellStyle name="Good" xfId="7" builtinId="26" customBuiltin="1"/>
    <cellStyle name="Header" xfId="45" xr:uid="{00000000-0005-0000-0000-000023000000}"/>
    <cellStyle name="HeaderHyperlink" xfId="46" xr:uid="{00000000-0005-0000-0000-000024000000}"/>
    <cellStyle name="Heading 1" xfId="3" builtinId="16" customBuiltin="1"/>
    <cellStyle name="Heading 2" xfId="4" builtinId="17" customBuiltin="1"/>
    <cellStyle name="Heading 3" xfId="5" builtinId="18" customBuiltin="1"/>
    <cellStyle name="Heading 4" xfId="6" builtinId="19" customBuiltin="1"/>
    <cellStyle name="Hyperlink" xfId="54" builtinId="8"/>
    <cellStyle name="Input" xfId="10" builtinId="20" customBuiltin="1"/>
    <cellStyle name="Linked Cell" xfId="13" builtinId="24" customBuiltin="1"/>
    <cellStyle name="Neutral" xfId="9" builtinId="28" customBuiltin="1"/>
    <cellStyle name="Normal" xfId="0" builtinId="0"/>
    <cellStyle name="Normal 2" xfId="43" xr:uid="{00000000-0005-0000-0000-00002E000000}"/>
    <cellStyle name="Normal 2 2" xfId="50" xr:uid="{00000000-0005-0000-0000-00002F000000}"/>
    <cellStyle name="Normal 2 3" xfId="52" xr:uid="{00000000-0005-0000-0000-000030000000}"/>
    <cellStyle name="Note" xfId="16" builtinId="10" customBuiltin="1"/>
    <cellStyle name="Output" xfId="11" builtinId="21" customBuiltin="1"/>
    <cellStyle name="Percent" xfId="49" builtinId="5"/>
    <cellStyle name="Title" xfId="2" builtinId="15" customBuiltin="1"/>
    <cellStyle name="Total" xfId="18" builtinId="25" customBuiltin="1"/>
    <cellStyle name="Warning Text" xfId="15" builtinId="11" customBuiltin="1"/>
    <cellStyle name="WordWrap" xfId="48" xr:uid="{00000000-0005-0000-0000-00003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Cost-effectiveness plane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Output!$A$15</c:f>
              <c:strCache>
                <c:ptCount val="1"/>
                <c:pt idx="0">
                  <c:v>Threshold</c:v>
                </c:pt>
              </c:strCache>
            </c:strRef>
          </c:tx>
          <c:spPr>
            <a:ln w="25400" cap="rnd">
              <a:noFill/>
              <a:round/>
            </a:ln>
            <a:effectLst/>
          </c:spPr>
          <c:marker>
            <c:symbol val="circle"/>
            <c:size val="5"/>
            <c:spPr>
              <a:solidFill>
                <a:schemeClr val="accent1"/>
              </a:solidFill>
              <a:ln w="9525">
                <a:solidFill>
                  <a:schemeClr val="accent1"/>
                </a:solidFill>
              </a:ln>
              <a:effectLst/>
            </c:spPr>
          </c:marker>
          <c:xVal>
            <c:numRef>
              <c:f>Output!$C$15</c:f>
              <c:numCache>
                <c:formatCode>General</c:formatCode>
                <c:ptCount val="1"/>
                <c:pt idx="0">
                  <c:v>1</c:v>
                </c:pt>
              </c:numCache>
            </c:numRef>
          </c:xVal>
          <c:yVal>
            <c:numRef>
              <c:f>Output!$B$15</c:f>
              <c:numCache>
                <c:formatCode>General</c:formatCode>
                <c:ptCount val="1"/>
                <c:pt idx="0">
                  <c:v>38500</c:v>
                </c:pt>
              </c:numCache>
            </c:numRef>
          </c:yVal>
          <c:smooth val="0"/>
          <c:extLst>
            <c:ext xmlns:c16="http://schemas.microsoft.com/office/drawing/2014/chart" uri="{C3380CC4-5D6E-409C-BE32-E72D297353CC}">
              <c16:uniqueId val="{00000000-7761-4DDA-96B5-826085EF8BB9}"/>
            </c:ext>
          </c:extLst>
        </c:ser>
        <c:ser>
          <c:idx val="1"/>
          <c:order val="1"/>
          <c:tx>
            <c:strRef>
              <c:f>Output!$A$16</c:f>
              <c:strCache>
                <c:ptCount val="1"/>
                <c:pt idx="0">
                  <c:v>ICER</c:v>
                </c:pt>
              </c:strCache>
            </c:strRef>
          </c:tx>
          <c:spPr>
            <a:ln w="25400" cap="rnd">
              <a:noFill/>
              <a:round/>
            </a:ln>
            <a:effectLst/>
          </c:spPr>
          <c:marker>
            <c:symbol val="circle"/>
            <c:size val="5"/>
            <c:spPr>
              <a:solidFill>
                <a:schemeClr val="accent2"/>
              </a:solidFill>
              <a:ln w="9525">
                <a:solidFill>
                  <a:schemeClr val="accent2"/>
                </a:solidFill>
              </a:ln>
              <a:effectLst/>
            </c:spPr>
          </c:marker>
          <c:xVal>
            <c:numRef>
              <c:f>Output!$C$16</c:f>
              <c:numCache>
                <c:formatCode>General</c:formatCode>
                <c:ptCount val="1"/>
                <c:pt idx="0">
                  <c:v>1</c:v>
                </c:pt>
              </c:numCache>
            </c:numRef>
          </c:xVal>
          <c:yVal>
            <c:numRef>
              <c:f>Output!$B$16</c:f>
              <c:numCache>
                <c:formatCode>"R"#,##0</c:formatCode>
                <c:ptCount val="1"/>
                <c:pt idx="0">
                  <c:v>-179148.39556639441</c:v>
                </c:pt>
              </c:numCache>
            </c:numRef>
          </c:yVal>
          <c:smooth val="0"/>
          <c:extLst>
            <c:ext xmlns:c16="http://schemas.microsoft.com/office/drawing/2014/chart" uri="{C3380CC4-5D6E-409C-BE32-E72D297353CC}">
              <c16:uniqueId val="{00000001-7761-4DDA-96B5-826085EF8BB9}"/>
            </c:ext>
          </c:extLst>
        </c:ser>
        <c:ser>
          <c:idx val="2"/>
          <c:order val="2"/>
          <c:tx>
            <c:strRef>
              <c:f>Output!$A$17</c:f>
              <c:strCache>
                <c:ptCount val="1"/>
                <c:pt idx="0">
                  <c:v>Per person</c:v>
                </c:pt>
              </c:strCache>
            </c:strRef>
          </c:tx>
          <c:spPr>
            <a:ln w="25400" cap="rnd">
              <a:noFill/>
              <a:round/>
            </a:ln>
            <a:effectLst/>
          </c:spPr>
          <c:marker>
            <c:symbol val="circle"/>
            <c:size val="5"/>
            <c:spPr>
              <a:solidFill>
                <a:schemeClr val="accent3"/>
              </a:solidFill>
              <a:ln w="9525">
                <a:solidFill>
                  <a:schemeClr val="accent3"/>
                </a:solidFill>
              </a:ln>
              <a:effectLst/>
            </c:spPr>
          </c:marker>
          <c:xVal>
            <c:numRef>
              <c:f>Output!$C$17</c:f>
              <c:numCache>
                <c:formatCode>0.0000</c:formatCode>
                <c:ptCount val="1"/>
                <c:pt idx="0">
                  <c:v>0.13362335272991221</c:v>
                </c:pt>
              </c:numCache>
            </c:numRef>
          </c:xVal>
          <c:yVal>
            <c:numRef>
              <c:f>Output!$B$17</c:f>
              <c:numCache>
                <c:formatCode>"R"#,##0.00</c:formatCode>
                <c:ptCount val="1"/>
                <c:pt idx="0">
                  <c:v>-23938.409251766163</c:v>
                </c:pt>
              </c:numCache>
            </c:numRef>
          </c:yVal>
          <c:smooth val="0"/>
          <c:extLst>
            <c:ext xmlns:c16="http://schemas.microsoft.com/office/drawing/2014/chart" uri="{C3380CC4-5D6E-409C-BE32-E72D297353CC}">
              <c16:uniqueId val="{00000000-D2DA-47E8-936E-3A736B9BFCC6}"/>
            </c:ext>
          </c:extLst>
        </c:ser>
        <c:dLbls>
          <c:showLegendKey val="0"/>
          <c:showVal val="0"/>
          <c:showCatName val="0"/>
          <c:showSerName val="0"/>
          <c:showPercent val="0"/>
          <c:showBubbleSize val="0"/>
        </c:dLbls>
        <c:axId val="774169967"/>
        <c:axId val="774167887"/>
      </c:scatterChart>
      <c:valAx>
        <c:axId val="77416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DALYs averted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7887"/>
        <c:crosses val="autoZero"/>
        <c:crossBetween val="midCat"/>
      </c:valAx>
      <c:valAx>
        <c:axId val="7741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Incremental costs</a:t>
                </a:r>
              </a:p>
            </c:rich>
          </c:tx>
          <c:layout>
            <c:manualLayout>
              <c:xMode val="edge"/>
              <c:yMode val="edge"/>
              <c:x val="2.7777777777777776E-2"/>
              <c:y val="0.431747594050743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99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264885</xdr:colOff>
      <xdr:row>200</xdr:row>
      <xdr:rowOff>72571</xdr:rowOff>
    </xdr:from>
    <xdr:to>
      <xdr:col>2</xdr:col>
      <xdr:colOff>286656</xdr:colOff>
      <xdr:row>201</xdr:row>
      <xdr:rowOff>76200</xdr:rowOff>
    </xdr:to>
    <xdr:sp macro="" textlink="">
      <xdr:nvSpPr>
        <xdr:cNvPr id="2" name="Rectangle 1">
          <a:extLst>
            <a:ext uri="{FF2B5EF4-FFF2-40B4-BE49-F238E27FC236}">
              <a16:creationId xmlns:a16="http://schemas.microsoft.com/office/drawing/2014/main" id="{E40A454E-3209-43BB-9A2E-40E20026A289}"/>
            </a:ext>
          </a:extLst>
        </xdr:cNvPr>
        <xdr:cNvSpPr/>
      </xdr:nvSpPr>
      <xdr:spPr>
        <a:xfrm>
          <a:off x="874485" y="11959771"/>
          <a:ext cx="631371" cy="1865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6</xdr:col>
      <xdr:colOff>517071</xdr:colOff>
      <xdr:row>259</xdr:row>
      <xdr:rowOff>65313</xdr:rowOff>
    </xdr:from>
    <xdr:to>
      <xdr:col>8</xdr:col>
      <xdr:colOff>70757</xdr:colOff>
      <xdr:row>261</xdr:row>
      <xdr:rowOff>32656</xdr:rowOff>
    </xdr:to>
    <xdr:sp macro="" textlink="">
      <xdr:nvSpPr>
        <xdr:cNvPr id="3" name="Rectangle: Rounded Corners 2">
          <a:extLst>
            <a:ext uri="{FF2B5EF4-FFF2-40B4-BE49-F238E27FC236}">
              <a16:creationId xmlns:a16="http://schemas.microsoft.com/office/drawing/2014/main" id="{3F39285A-A756-449C-81F9-F96DFC60E149}"/>
            </a:ext>
          </a:extLst>
        </xdr:cNvPr>
        <xdr:cNvSpPr/>
      </xdr:nvSpPr>
      <xdr:spPr>
        <a:xfrm>
          <a:off x="4174671" y="23687313"/>
          <a:ext cx="772886" cy="3483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grant</a:t>
          </a:r>
        </a:p>
      </xdr:txBody>
    </xdr:sp>
    <xdr:clientData/>
  </xdr:twoCellAnchor>
  <xdr:twoCellAnchor>
    <xdr:from>
      <xdr:col>6</xdr:col>
      <xdr:colOff>261801</xdr:colOff>
      <xdr:row>80</xdr:row>
      <xdr:rowOff>165462</xdr:rowOff>
    </xdr:from>
    <xdr:to>
      <xdr:col>7</xdr:col>
      <xdr:colOff>501287</xdr:colOff>
      <xdr:row>83</xdr:row>
      <xdr:rowOff>121920</xdr:rowOff>
    </xdr:to>
    <xdr:sp macro="" textlink="">
      <xdr:nvSpPr>
        <xdr:cNvPr id="4" name="Rectangle: Rounded Corners 3">
          <a:extLst>
            <a:ext uri="{FF2B5EF4-FFF2-40B4-BE49-F238E27FC236}">
              <a16:creationId xmlns:a16="http://schemas.microsoft.com/office/drawing/2014/main" id="{D1FB4956-B9F8-4EEE-8E14-BC2A119919F2}"/>
            </a:ext>
          </a:extLst>
        </xdr:cNvPr>
        <xdr:cNvSpPr/>
      </xdr:nvSpPr>
      <xdr:spPr>
        <a:xfrm>
          <a:off x="3919401" y="147958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Received grant</a:t>
          </a:r>
        </a:p>
      </xdr:txBody>
    </xdr:sp>
    <xdr:clientData/>
  </xdr:twoCellAnchor>
  <xdr:twoCellAnchor>
    <xdr:from>
      <xdr:col>4</xdr:col>
      <xdr:colOff>468086</xdr:colOff>
      <xdr:row>148</xdr:row>
      <xdr:rowOff>0</xdr:rowOff>
    </xdr:from>
    <xdr:to>
      <xdr:col>5</xdr:col>
      <xdr:colOff>174171</xdr:colOff>
      <xdr:row>149</xdr:row>
      <xdr:rowOff>76200</xdr:rowOff>
    </xdr:to>
    <xdr:sp macro="" textlink="">
      <xdr:nvSpPr>
        <xdr:cNvPr id="5" name="Oval 4">
          <a:extLst>
            <a:ext uri="{FF2B5EF4-FFF2-40B4-BE49-F238E27FC236}">
              <a16:creationId xmlns:a16="http://schemas.microsoft.com/office/drawing/2014/main" id="{A4A06246-E676-48E4-9263-7334683EA504}"/>
            </a:ext>
          </a:extLst>
        </xdr:cNvPr>
        <xdr:cNvSpPr/>
      </xdr:nvSpPr>
      <xdr:spPr>
        <a:xfrm>
          <a:off x="2906486" y="7863840"/>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613461</xdr:colOff>
      <xdr:row>148</xdr:row>
      <xdr:rowOff>130279</xdr:rowOff>
    </xdr:from>
    <xdr:to>
      <xdr:col>4</xdr:col>
      <xdr:colOff>468085</xdr:colOff>
      <xdr:row>151</xdr:row>
      <xdr:rowOff>7726</xdr:rowOff>
    </xdr:to>
    <xdr:cxnSp macro="">
      <xdr:nvCxnSpPr>
        <xdr:cNvPr id="6" name="Connector: Elbow 5">
          <a:extLst>
            <a:ext uri="{FF2B5EF4-FFF2-40B4-BE49-F238E27FC236}">
              <a16:creationId xmlns:a16="http://schemas.microsoft.com/office/drawing/2014/main" id="{140A5E73-D249-4085-9BD4-AD69411EBD85}"/>
            </a:ext>
          </a:extLst>
        </xdr:cNvPr>
        <xdr:cNvCxnSpPr>
          <a:stCxn id="255" idx="0"/>
          <a:endCxn id="5" idx="2"/>
        </xdr:cNvCxnSpPr>
      </xdr:nvCxnSpPr>
      <xdr:spPr>
        <a:xfrm rot="5400000" flipH="1" flipV="1">
          <a:off x="1847919" y="7361641"/>
          <a:ext cx="426087" cy="169104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16330</xdr:colOff>
      <xdr:row>82</xdr:row>
      <xdr:rowOff>52251</xdr:rowOff>
    </xdr:from>
    <xdr:to>
      <xdr:col>6</xdr:col>
      <xdr:colOff>261802</xdr:colOff>
      <xdr:row>148</xdr:row>
      <xdr:rowOff>0</xdr:rowOff>
    </xdr:to>
    <xdr:cxnSp macro="">
      <xdr:nvCxnSpPr>
        <xdr:cNvPr id="7" name="Connector: Elbow 6">
          <a:extLst>
            <a:ext uri="{FF2B5EF4-FFF2-40B4-BE49-F238E27FC236}">
              <a16:creationId xmlns:a16="http://schemas.microsoft.com/office/drawing/2014/main" id="{4217E341-150B-40E5-B5CC-03CAB84CBAC6}"/>
            </a:ext>
          </a:extLst>
        </xdr:cNvPr>
        <xdr:cNvCxnSpPr>
          <a:stCxn id="5" idx="0"/>
          <a:endCxn id="4" idx="1"/>
        </xdr:cNvCxnSpPr>
      </xdr:nvCxnSpPr>
      <xdr:spPr>
        <a:xfrm rot="5400000" flipH="1" flipV="1">
          <a:off x="-2539909" y="20652650"/>
          <a:ext cx="12063549" cy="8550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16330</xdr:colOff>
      <xdr:row>149</xdr:row>
      <xdr:rowOff>76199</xdr:rowOff>
    </xdr:from>
    <xdr:to>
      <xdr:col>6</xdr:col>
      <xdr:colOff>517072</xdr:colOff>
      <xdr:row>260</xdr:row>
      <xdr:rowOff>48984</xdr:rowOff>
    </xdr:to>
    <xdr:cxnSp macro="">
      <xdr:nvCxnSpPr>
        <xdr:cNvPr id="8" name="Connector: Elbow 7">
          <a:extLst>
            <a:ext uri="{FF2B5EF4-FFF2-40B4-BE49-F238E27FC236}">
              <a16:creationId xmlns:a16="http://schemas.microsoft.com/office/drawing/2014/main" id="{EEBFEF34-5129-407D-A3D6-A38214C40EAE}"/>
            </a:ext>
          </a:extLst>
        </xdr:cNvPr>
        <xdr:cNvCxnSpPr>
          <a:stCxn id="5" idx="4"/>
          <a:endCxn id="3" idx="1"/>
        </xdr:cNvCxnSpPr>
      </xdr:nvCxnSpPr>
      <xdr:spPr>
        <a:xfrm rot="16200000" flipH="1">
          <a:off x="-4082142" y="15604671"/>
          <a:ext cx="15403285" cy="111034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578032</xdr:colOff>
      <xdr:row>149</xdr:row>
      <xdr:rowOff>20139</xdr:rowOff>
    </xdr:from>
    <xdr:to>
      <xdr:col>12</xdr:col>
      <xdr:colOff>207918</xdr:colOff>
      <xdr:row>151</xdr:row>
      <xdr:rowOff>41911</xdr:rowOff>
    </xdr:to>
    <xdr:sp macro="" textlink="">
      <xdr:nvSpPr>
        <xdr:cNvPr id="9" name="Rectangle: Rounded Corners 8">
          <a:extLst>
            <a:ext uri="{FF2B5EF4-FFF2-40B4-BE49-F238E27FC236}">
              <a16:creationId xmlns:a16="http://schemas.microsoft.com/office/drawing/2014/main" id="{077FADF7-BF98-4AD8-9E6C-570034FF8E54}"/>
            </a:ext>
          </a:extLst>
        </xdr:cNvPr>
        <xdr:cNvSpPr/>
      </xdr:nvSpPr>
      <xdr:spPr>
        <a:xfrm>
          <a:off x="6674032" y="27314979"/>
          <a:ext cx="849086" cy="38753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10</xdr:col>
      <xdr:colOff>393517</xdr:colOff>
      <xdr:row>57</xdr:row>
      <xdr:rowOff>89807</xdr:rowOff>
    </xdr:from>
    <xdr:to>
      <xdr:col>12</xdr:col>
      <xdr:colOff>23403</xdr:colOff>
      <xdr:row>60</xdr:row>
      <xdr:rowOff>46265</xdr:rowOff>
    </xdr:to>
    <xdr:sp macro="" textlink="">
      <xdr:nvSpPr>
        <xdr:cNvPr id="10" name="Rectangle: Rounded Corners 9">
          <a:extLst>
            <a:ext uri="{FF2B5EF4-FFF2-40B4-BE49-F238E27FC236}">
              <a16:creationId xmlns:a16="http://schemas.microsoft.com/office/drawing/2014/main" id="{B6846366-0DE2-49C1-A9C7-54CFA7BF0652}"/>
            </a:ext>
          </a:extLst>
        </xdr:cNvPr>
        <xdr:cNvSpPr/>
      </xdr:nvSpPr>
      <xdr:spPr>
        <a:xfrm>
          <a:off x="6489517" y="10513967"/>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11</xdr:col>
      <xdr:colOff>367395</xdr:colOff>
      <xdr:row>353</xdr:row>
      <xdr:rowOff>162199</xdr:rowOff>
    </xdr:from>
    <xdr:to>
      <xdr:col>12</xdr:col>
      <xdr:colOff>606881</xdr:colOff>
      <xdr:row>356</xdr:row>
      <xdr:rowOff>1090</xdr:rowOff>
    </xdr:to>
    <xdr:sp macro="" textlink="">
      <xdr:nvSpPr>
        <xdr:cNvPr id="11" name="Rectangle: Rounded Corners 10">
          <a:extLst>
            <a:ext uri="{FF2B5EF4-FFF2-40B4-BE49-F238E27FC236}">
              <a16:creationId xmlns:a16="http://schemas.microsoft.com/office/drawing/2014/main" id="{004FA3D8-CD77-4147-913B-656DE4045D28}"/>
            </a:ext>
          </a:extLst>
        </xdr:cNvPr>
        <xdr:cNvSpPr/>
      </xdr:nvSpPr>
      <xdr:spPr>
        <a:xfrm>
          <a:off x="7072995" y="64688359"/>
          <a:ext cx="849086" cy="38753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11</xdr:col>
      <xdr:colOff>423998</xdr:colOff>
      <xdr:row>249</xdr:row>
      <xdr:rowOff>99059</xdr:rowOff>
    </xdr:from>
    <xdr:to>
      <xdr:col>13</xdr:col>
      <xdr:colOff>53884</xdr:colOff>
      <xdr:row>252</xdr:row>
      <xdr:rowOff>55517</xdr:rowOff>
    </xdr:to>
    <xdr:sp macro="" textlink="">
      <xdr:nvSpPr>
        <xdr:cNvPr id="12" name="Rectangle: Rounded Corners 11">
          <a:extLst>
            <a:ext uri="{FF2B5EF4-FFF2-40B4-BE49-F238E27FC236}">
              <a16:creationId xmlns:a16="http://schemas.microsoft.com/office/drawing/2014/main" id="{6608FFB1-223B-4E78-8A88-A40319F597EB}"/>
            </a:ext>
          </a:extLst>
        </xdr:cNvPr>
        <xdr:cNvSpPr/>
      </xdr:nvSpPr>
      <xdr:spPr>
        <a:xfrm>
          <a:off x="7129598" y="45605699"/>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9</xdr:col>
      <xdr:colOff>234044</xdr:colOff>
      <xdr:row>58</xdr:row>
      <xdr:rowOff>159476</xdr:rowOff>
    </xdr:from>
    <xdr:to>
      <xdr:col>10</xdr:col>
      <xdr:colOff>393518</xdr:colOff>
      <xdr:row>81</xdr:row>
      <xdr:rowOff>119197</xdr:rowOff>
    </xdr:to>
    <xdr:cxnSp macro="">
      <xdr:nvCxnSpPr>
        <xdr:cNvPr id="13" name="Connector: Elbow 12">
          <a:extLst>
            <a:ext uri="{FF2B5EF4-FFF2-40B4-BE49-F238E27FC236}">
              <a16:creationId xmlns:a16="http://schemas.microsoft.com/office/drawing/2014/main" id="{2A938C7B-FBEC-4E5F-BD02-8754D709A374}"/>
            </a:ext>
          </a:extLst>
        </xdr:cNvPr>
        <xdr:cNvCxnSpPr>
          <a:stCxn id="18" idx="0"/>
          <a:endCxn id="10" idx="1"/>
        </xdr:cNvCxnSpPr>
      </xdr:nvCxnSpPr>
      <xdr:spPr>
        <a:xfrm rot="5400000" flipH="1" flipV="1">
          <a:off x="4022000" y="12464960"/>
          <a:ext cx="4165961" cy="76907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234043</xdr:colOff>
      <xdr:row>83</xdr:row>
      <xdr:rowOff>17959</xdr:rowOff>
    </xdr:from>
    <xdr:to>
      <xdr:col>10</xdr:col>
      <xdr:colOff>578032</xdr:colOff>
      <xdr:row>150</xdr:row>
      <xdr:rowOff>31024</xdr:rowOff>
    </xdr:to>
    <xdr:cxnSp macro="">
      <xdr:nvCxnSpPr>
        <xdr:cNvPr id="14" name="Connector: Elbow 13">
          <a:extLst>
            <a:ext uri="{FF2B5EF4-FFF2-40B4-BE49-F238E27FC236}">
              <a16:creationId xmlns:a16="http://schemas.microsoft.com/office/drawing/2014/main" id="{969D1E34-8FB3-47D0-B0F2-9D3C37C64121}"/>
            </a:ext>
          </a:extLst>
        </xdr:cNvPr>
        <xdr:cNvCxnSpPr>
          <a:stCxn id="18" idx="4"/>
          <a:endCxn id="9" idx="1"/>
        </xdr:cNvCxnSpPr>
      </xdr:nvCxnSpPr>
      <xdr:spPr>
        <a:xfrm rot="16200000" flipH="1">
          <a:off x="41365" y="20876077"/>
          <a:ext cx="12311745" cy="95358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462645</xdr:colOff>
      <xdr:row>250</xdr:row>
      <xdr:rowOff>168728</xdr:rowOff>
    </xdr:from>
    <xdr:to>
      <xdr:col>11</xdr:col>
      <xdr:colOff>423999</xdr:colOff>
      <xdr:row>259</xdr:row>
      <xdr:rowOff>111579</xdr:rowOff>
    </xdr:to>
    <xdr:cxnSp macro="">
      <xdr:nvCxnSpPr>
        <xdr:cNvPr id="15" name="Connector: Elbow 14">
          <a:extLst>
            <a:ext uri="{FF2B5EF4-FFF2-40B4-BE49-F238E27FC236}">
              <a16:creationId xmlns:a16="http://schemas.microsoft.com/office/drawing/2014/main" id="{D130EB40-E738-4407-BB93-D9584FAE7D36}"/>
            </a:ext>
          </a:extLst>
        </xdr:cNvPr>
        <xdr:cNvCxnSpPr>
          <a:stCxn id="19" idx="0"/>
          <a:endCxn id="12" idx="1"/>
        </xdr:cNvCxnSpPr>
      </xdr:nvCxnSpPr>
      <xdr:spPr>
        <a:xfrm rot="5400000" flipH="1" flipV="1">
          <a:off x="5744936" y="46062357"/>
          <a:ext cx="1588771" cy="118055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462644</xdr:colOff>
      <xdr:row>261</xdr:row>
      <xdr:rowOff>2721</xdr:rowOff>
    </xdr:from>
    <xdr:to>
      <xdr:col>11</xdr:col>
      <xdr:colOff>367395</xdr:colOff>
      <xdr:row>354</xdr:row>
      <xdr:rowOff>173084</xdr:rowOff>
    </xdr:to>
    <xdr:cxnSp macro="">
      <xdr:nvCxnSpPr>
        <xdr:cNvPr id="16" name="Connector: Elbow 15">
          <a:extLst>
            <a:ext uri="{FF2B5EF4-FFF2-40B4-BE49-F238E27FC236}">
              <a16:creationId xmlns:a16="http://schemas.microsoft.com/office/drawing/2014/main" id="{65A17A16-464F-4D7E-B387-67474717F3AC}"/>
            </a:ext>
          </a:extLst>
        </xdr:cNvPr>
        <xdr:cNvCxnSpPr>
          <a:stCxn id="19" idx="4"/>
          <a:endCxn id="11" idx="1"/>
        </xdr:cNvCxnSpPr>
      </xdr:nvCxnSpPr>
      <xdr:spPr>
        <a:xfrm rot="16200000" flipH="1">
          <a:off x="-2078082" y="55731047"/>
          <a:ext cx="17178203" cy="112395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81</xdr:row>
      <xdr:rowOff>119197</xdr:rowOff>
    </xdr:from>
    <xdr:to>
      <xdr:col>9</xdr:col>
      <xdr:colOff>391885</xdr:colOff>
      <xdr:row>83</xdr:row>
      <xdr:rowOff>17960</xdr:rowOff>
    </xdr:to>
    <xdr:sp macro="" textlink="">
      <xdr:nvSpPr>
        <xdr:cNvPr id="18" name="Oval 17">
          <a:extLst>
            <a:ext uri="{FF2B5EF4-FFF2-40B4-BE49-F238E27FC236}">
              <a16:creationId xmlns:a16="http://schemas.microsoft.com/office/drawing/2014/main" id="{A6933139-F34D-4FC1-9FE6-BF40CAD4A511}"/>
            </a:ext>
          </a:extLst>
        </xdr:cNvPr>
        <xdr:cNvSpPr/>
      </xdr:nvSpPr>
      <xdr:spPr>
        <a:xfrm>
          <a:off x="5562600" y="14932477"/>
          <a:ext cx="315685" cy="26452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304801</xdr:colOff>
      <xdr:row>259</xdr:row>
      <xdr:rowOff>111579</xdr:rowOff>
    </xdr:from>
    <xdr:to>
      <xdr:col>10</xdr:col>
      <xdr:colOff>10886</xdr:colOff>
      <xdr:row>261</xdr:row>
      <xdr:rowOff>2722</xdr:rowOff>
    </xdr:to>
    <xdr:sp macro="" textlink="">
      <xdr:nvSpPr>
        <xdr:cNvPr id="19" name="Oval 18">
          <a:extLst>
            <a:ext uri="{FF2B5EF4-FFF2-40B4-BE49-F238E27FC236}">
              <a16:creationId xmlns:a16="http://schemas.microsoft.com/office/drawing/2014/main" id="{D0F3D32B-4DE6-4B9A-B6C8-DBF1EFC6AE63}"/>
            </a:ext>
          </a:extLst>
        </xdr:cNvPr>
        <xdr:cNvSpPr/>
      </xdr:nvSpPr>
      <xdr:spPr>
        <a:xfrm>
          <a:off x="5791201" y="23733579"/>
          <a:ext cx="315685" cy="2721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7</xdr:col>
      <xdr:colOff>501287</xdr:colOff>
      <xdr:row>82</xdr:row>
      <xdr:rowOff>52251</xdr:rowOff>
    </xdr:from>
    <xdr:to>
      <xdr:col>9</xdr:col>
      <xdr:colOff>76200</xdr:colOff>
      <xdr:row>82</xdr:row>
      <xdr:rowOff>68579</xdr:rowOff>
    </xdr:to>
    <xdr:cxnSp macro="">
      <xdr:nvCxnSpPr>
        <xdr:cNvPr id="24" name="Connector: Elbow 42">
          <a:extLst>
            <a:ext uri="{FF2B5EF4-FFF2-40B4-BE49-F238E27FC236}">
              <a16:creationId xmlns:a16="http://schemas.microsoft.com/office/drawing/2014/main" id="{8E067974-D8BB-4C82-805C-BB2AB21E3C47}"/>
            </a:ext>
          </a:extLst>
        </xdr:cNvPr>
        <xdr:cNvCxnSpPr>
          <a:cxnSpLocks/>
          <a:stCxn id="4" idx="3"/>
          <a:endCxn id="18" idx="2"/>
        </xdr:cNvCxnSpPr>
      </xdr:nvCxnSpPr>
      <xdr:spPr>
        <a:xfrm>
          <a:off x="4768487" y="15048411"/>
          <a:ext cx="794113" cy="1632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70757</xdr:colOff>
      <xdr:row>260</xdr:row>
      <xdr:rowOff>48985</xdr:rowOff>
    </xdr:from>
    <xdr:to>
      <xdr:col>9</xdr:col>
      <xdr:colOff>304801</xdr:colOff>
      <xdr:row>260</xdr:row>
      <xdr:rowOff>57151</xdr:rowOff>
    </xdr:to>
    <xdr:cxnSp macro="">
      <xdr:nvCxnSpPr>
        <xdr:cNvPr id="26" name="Connector: Elbow 47">
          <a:extLst>
            <a:ext uri="{FF2B5EF4-FFF2-40B4-BE49-F238E27FC236}">
              <a16:creationId xmlns:a16="http://schemas.microsoft.com/office/drawing/2014/main" id="{D641265C-6530-4C3D-81C7-AFB37FE3A134}"/>
            </a:ext>
          </a:extLst>
        </xdr:cNvPr>
        <xdr:cNvCxnSpPr>
          <a:cxnSpLocks/>
          <a:stCxn id="3" idx="3"/>
          <a:endCxn id="19" idx="2"/>
        </xdr:cNvCxnSpPr>
      </xdr:nvCxnSpPr>
      <xdr:spPr>
        <a:xfrm>
          <a:off x="4947557" y="23861485"/>
          <a:ext cx="843644" cy="816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594904</xdr:colOff>
      <xdr:row>39</xdr:row>
      <xdr:rowOff>81643</xdr:rowOff>
    </xdr:from>
    <xdr:to>
      <xdr:col>15</xdr:col>
      <xdr:colOff>224790</xdr:colOff>
      <xdr:row>42</xdr:row>
      <xdr:rowOff>38100</xdr:rowOff>
    </xdr:to>
    <xdr:sp macro="" textlink="">
      <xdr:nvSpPr>
        <xdr:cNvPr id="27" name="Rectangle: Rounded Corners 26">
          <a:extLst>
            <a:ext uri="{FF2B5EF4-FFF2-40B4-BE49-F238E27FC236}">
              <a16:creationId xmlns:a16="http://schemas.microsoft.com/office/drawing/2014/main" id="{7A85BD1C-9AD0-4283-B6D9-382818BC9D88}"/>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283573</xdr:colOff>
      <xdr:row>78</xdr:row>
      <xdr:rowOff>81099</xdr:rowOff>
    </xdr:from>
    <xdr:to>
      <xdr:col>15</xdr:col>
      <xdr:colOff>523059</xdr:colOff>
      <xdr:row>81</xdr:row>
      <xdr:rowOff>30480</xdr:rowOff>
    </xdr:to>
    <xdr:sp macro="" textlink="">
      <xdr:nvSpPr>
        <xdr:cNvPr id="28" name="Rectangle: Rounded Corners 27">
          <a:extLst>
            <a:ext uri="{FF2B5EF4-FFF2-40B4-BE49-F238E27FC236}">
              <a16:creationId xmlns:a16="http://schemas.microsoft.com/office/drawing/2014/main" id="{AE1A7D96-C319-4A7C-A22E-C313FB39BAB1}"/>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304801</xdr:colOff>
      <xdr:row>40</xdr:row>
      <xdr:rowOff>151313</xdr:rowOff>
    </xdr:from>
    <xdr:to>
      <xdr:col>13</xdr:col>
      <xdr:colOff>594904</xdr:colOff>
      <xdr:row>58</xdr:row>
      <xdr:rowOff>39188</xdr:rowOff>
    </xdr:to>
    <xdr:cxnSp macro="">
      <xdr:nvCxnSpPr>
        <xdr:cNvPr id="29" name="Connector: Elbow 28">
          <a:extLst>
            <a:ext uri="{FF2B5EF4-FFF2-40B4-BE49-F238E27FC236}">
              <a16:creationId xmlns:a16="http://schemas.microsoft.com/office/drawing/2014/main" id="{45E54F4A-51CC-44EE-99FF-D4490F85F6C1}"/>
            </a:ext>
          </a:extLst>
        </xdr:cNvPr>
        <xdr:cNvCxnSpPr>
          <a:stCxn id="31" idx="0"/>
          <a:endCxn id="27" idx="1"/>
        </xdr:cNvCxnSpPr>
      </xdr:nvCxnSpPr>
      <xdr:spPr>
        <a:xfrm rot="5400000" flipH="1" flipV="1">
          <a:off x="6784795" y="8911319"/>
          <a:ext cx="3179715" cy="2901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304802</xdr:colOff>
      <xdr:row>59</xdr:row>
      <xdr:rowOff>115386</xdr:rowOff>
    </xdr:from>
    <xdr:to>
      <xdr:col>14</xdr:col>
      <xdr:colOff>283574</xdr:colOff>
      <xdr:row>79</xdr:row>
      <xdr:rowOff>147229</xdr:rowOff>
    </xdr:to>
    <xdr:cxnSp macro="">
      <xdr:nvCxnSpPr>
        <xdr:cNvPr id="30" name="Connector: Elbow 29">
          <a:extLst>
            <a:ext uri="{FF2B5EF4-FFF2-40B4-BE49-F238E27FC236}">
              <a16:creationId xmlns:a16="http://schemas.microsoft.com/office/drawing/2014/main" id="{B5DE888E-D4D6-46E0-A680-EADE53CC97E4}"/>
            </a:ext>
          </a:extLst>
        </xdr:cNvPr>
        <xdr:cNvCxnSpPr>
          <a:stCxn id="31" idx="4"/>
          <a:endCxn id="28" idx="1"/>
        </xdr:cNvCxnSpPr>
      </xdr:nvCxnSpPr>
      <xdr:spPr>
        <a:xfrm rot="16200000" flipH="1">
          <a:off x="6679066" y="12455842"/>
          <a:ext cx="3689443" cy="5883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146958</xdr:colOff>
      <xdr:row>58</xdr:row>
      <xdr:rowOff>39187</xdr:rowOff>
    </xdr:from>
    <xdr:to>
      <xdr:col>13</xdr:col>
      <xdr:colOff>462643</xdr:colOff>
      <xdr:row>59</xdr:row>
      <xdr:rowOff>115387</xdr:rowOff>
    </xdr:to>
    <xdr:sp macro="" textlink="">
      <xdr:nvSpPr>
        <xdr:cNvPr id="31" name="Oval 30">
          <a:extLst>
            <a:ext uri="{FF2B5EF4-FFF2-40B4-BE49-F238E27FC236}">
              <a16:creationId xmlns:a16="http://schemas.microsoft.com/office/drawing/2014/main" id="{1EB8D14F-C8BD-4BE4-999C-CA1433169759}"/>
            </a:ext>
          </a:extLst>
        </xdr:cNvPr>
        <xdr:cNvSpPr/>
      </xdr:nvSpPr>
      <xdr:spPr>
        <a:xfrm>
          <a:off x="8071758" y="106462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23403</xdr:colOff>
      <xdr:row>58</xdr:row>
      <xdr:rowOff>159476</xdr:rowOff>
    </xdr:from>
    <xdr:to>
      <xdr:col>13</xdr:col>
      <xdr:colOff>146958</xdr:colOff>
      <xdr:row>58</xdr:row>
      <xdr:rowOff>168727</xdr:rowOff>
    </xdr:to>
    <xdr:cxnSp macro="">
      <xdr:nvCxnSpPr>
        <xdr:cNvPr id="32" name="Connector: Elbow 42">
          <a:extLst>
            <a:ext uri="{FF2B5EF4-FFF2-40B4-BE49-F238E27FC236}">
              <a16:creationId xmlns:a16="http://schemas.microsoft.com/office/drawing/2014/main" id="{1C8B558F-93C1-43D9-8428-B4C7F010BE9D}"/>
            </a:ext>
          </a:extLst>
        </xdr:cNvPr>
        <xdr:cNvCxnSpPr>
          <a:cxnSpLocks/>
          <a:stCxn id="10" idx="3"/>
          <a:endCxn id="31" idx="2"/>
        </xdr:cNvCxnSpPr>
      </xdr:nvCxnSpPr>
      <xdr:spPr>
        <a:xfrm>
          <a:off x="7338603" y="10766516"/>
          <a:ext cx="733155" cy="925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207918</xdr:colOff>
      <xdr:row>150</xdr:row>
      <xdr:rowOff>31025</xdr:rowOff>
    </xdr:from>
    <xdr:to>
      <xdr:col>12</xdr:col>
      <xdr:colOff>451758</xdr:colOff>
      <xdr:row>150</xdr:row>
      <xdr:rowOff>46807</xdr:rowOff>
    </xdr:to>
    <xdr:cxnSp macro="">
      <xdr:nvCxnSpPr>
        <xdr:cNvPr id="36" name="Connector: Elbow 42">
          <a:extLst>
            <a:ext uri="{FF2B5EF4-FFF2-40B4-BE49-F238E27FC236}">
              <a16:creationId xmlns:a16="http://schemas.microsoft.com/office/drawing/2014/main" id="{F545EAF1-8A40-4942-8B68-7569A45F1D51}"/>
            </a:ext>
          </a:extLst>
        </xdr:cNvPr>
        <xdr:cNvCxnSpPr>
          <a:cxnSpLocks/>
          <a:stCxn id="9" idx="3"/>
          <a:endCxn id="448" idx="2"/>
        </xdr:cNvCxnSpPr>
      </xdr:nvCxnSpPr>
      <xdr:spPr>
        <a:xfrm>
          <a:off x="7523118" y="27508745"/>
          <a:ext cx="243840" cy="1578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53884</xdr:colOff>
      <xdr:row>250</xdr:row>
      <xdr:rowOff>168728</xdr:rowOff>
    </xdr:from>
    <xdr:to>
      <xdr:col>14</xdr:col>
      <xdr:colOff>451758</xdr:colOff>
      <xdr:row>251</xdr:row>
      <xdr:rowOff>46807</xdr:rowOff>
    </xdr:to>
    <xdr:cxnSp macro="">
      <xdr:nvCxnSpPr>
        <xdr:cNvPr id="42" name="Connector: Elbow 42">
          <a:extLst>
            <a:ext uri="{FF2B5EF4-FFF2-40B4-BE49-F238E27FC236}">
              <a16:creationId xmlns:a16="http://schemas.microsoft.com/office/drawing/2014/main" id="{C302A273-E714-4519-86D0-A5A87F6E5984}"/>
            </a:ext>
          </a:extLst>
        </xdr:cNvPr>
        <xdr:cNvCxnSpPr>
          <a:cxnSpLocks/>
          <a:stCxn id="12" idx="3"/>
          <a:endCxn id="521" idx="2"/>
        </xdr:cNvCxnSpPr>
      </xdr:nvCxnSpPr>
      <xdr:spPr>
        <a:xfrm>
          <a:off x="7978684" y="45858248"/>
          <a:ext cx="1007474" cy="6095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606881</xdr:colOff>
      <xdr:row>354</xdr:row>
      <xdr:rowOff>173085</xdr:rowOff>
    </xdr:from>
    <xdr:to>
      <xdr:col>14</xdr:col>
      <xdr:colOff>451758</xdr:colOff>
      <xdr:row>355</xdr:row>
      <xdr:rowOff>46807</xdr:rowOff>
    </xdr:to>
    <xdr:cxnSp macro="">
      <xdr:nvCxnSpPr>
        <xdr:cNvPr id="48" name="Connector: Elbow 42">
          <a:extLst>
            <a:ext uri="{FF2B5EF4-FFF2-40B4-BE49-F238E27FC236}">
              <a16:creationId xmlns:a16="http://schemas.microsoft.com/office/drawing/2014/main" id="{29652CFC-9422-499F-AC75-089AE6280933}"/>
            </a:ext>
          </a:extLst>
        </xdr:cNvPr>
        <xdr:cNvCxnSpPr>
          <a:cxnSpLocks/>
          <a:stCxn id="11" idx="3"/>
          <a:endCxn id="594" idx="2"/>
        </xdr:cNvCxnSpPr>
      </xdr:nvCxnSpPr>
      <xdr:spPr>
        <a:xfrm>
          <a:off x="7922081" y="64882125"/>
          <a:ext cx="1064077" cy="5660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523059</xdr:colOff>
      <xdr:row>79</xdr:row>
      <xdr:rowOff>147230</xdr:rowOff>
    </xdr:from>
    <xdr:to>
      <xdr:col>17</xdr:col>
      <xdr:colOff>516528</xdr:colOff>
      <xdr:row>79</xdr:row>
      <xdr:rowOff>166551</xdr:rowOff>
    </xdr:to>
    <xdr:cxnSp macro="">
      <xdr:nvCxnSpPr>
        <xdr:cNvPr id="64" name="Connector: Elbow 351">
          <a:extLst>
            <a:ext uri="{FF2B5EF4-FFF2-40B4-BE49-F238E27FC236}">
              <a16:creationId xmlns:a16="http://schemas.microsoft.com/office/drawing/2014/main" id="{2F159C0E-B73B-4023-8557-E041E7187E6C}"/>
            </a:ext>
          </a:extLst>
        </xdr:cNvPr>
        <xdr:cNvCxnSpPr>
          <a:cxnSpLocks/>
          <a:stCxn id="28" idx="3"/>
          <a:endCxn id="340"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141514</xdr:colOff>
      <xdr:row>22</xdr:row>
      <xdr:rowOff>57150</xdr:rowOff>
    </xdr:from>
    <xdr:to>
      <xdr:col>18</xdr:col>
      <xdr:colOff>381000</xdr:colOff>
      <xdr:row>25</xdr:row>
      <xdr:rowOff>8164</xdr:rowOff>
    </xdr:to>
    <xdr:sp macro="" textlink="">
      <xdr:nvSpPr>
        <xdr:cNvPr id="75" name="Rectangle: Rounded Corners 74">
          <a:extLst>
            <a:ext uri="{FF2B5EF4-FFF2-40B4-BE49-F238E27FC236}">
              <a16:creationId xmlns:a16="http://schemas.microsoft.com/office/drawing/2014/main" id="{45B1DDA3-C857-4BB2-9BD0-B26390398B7C}"/>
            </a:ext>
          </a:extLst>
        </xdr:cNvPr>
        <xdr:cNvSpPr/>
      </xdr:nvSpPr>
      <xdr:spPr>
        <a:xfrm>
          <a:off x="10504714" y="4248150"/>
          <a:ext cx="849086" cy="52251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547042</xdr:colOff>
      <xdr:row>37</xdr:row>
      <xdr:rowOff>144797</xdr:rowOff>
    </xdr:from>
    <xdr:to>
      <xdr:col>19</xdr:col>
      <xdr:colOff>176928</xdr:colOff>
      <xdr:row>40</xdr:row>
      <xdr:rowOff>95110</xdr:rowOff>
    </xdr:to>
    <xdr:sp macro="" textlink="">
      <xdr:nvSpPr>
        <xdr:cNvPr id="76" name="Rectangle: Rounded Corners 75">
          <a:extLst>
            <a:ext uri="{FF2B5EF4-FFF2-40B4-BE49-F238E27FC236}">
              <a16:creationId xmlns:a16="http://schemas.microsoft.com/office/drawing/2014/main" id="{2CC5460C-2BED-48B8-B28B-E7346FA175DA}"/>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17</xdr:col>
      <xdr:colOff>487136</xdr:colOff>
      <xdr:row>46</xdr:row>
      <xdr:rowOff>127907</xdr:rowOff>
    </xdr:from>
    <xdr:to>
      <xdr:col>19</xdr:col>
      <xdr:colOff>117022</xdr:colOff>
      <xdr:row>49</xdr:row>
      <xdr:rowOff>78922</xdr:rowOff>
    </xdr:to>
    <xdr:sp macro="" textlink="">
      <xdr:nvSpPr>
        <xdr:cNvPr id="77" name="Rectangle: Rounded Corners 76">
          <a:extLst>
            <a:ext uri="{FF2B5EF4-FFF2-40B4-BE49-F238E27FC236}">
              <a16:creationId xmlns:a16="http://schemas.microsoft.com/office/drawing/2014/main" id="{AE9DF92C-1E32-441A-B064-5D11C7E176CA}"/>
            </a:ext>
          </a:extLst>
        </xdr:cNvPr>
        <xdr:cNvSpPr/>
      </xdr:nvSpPr>
      <xdr:spPr>
        <a:xfrm>
          <a:off x="10850336" y="8890907"/>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13608</xdr:colOff>
      <xdr:row>40</xdr:row>
      <xdr:rowOff>21771</xdr:rowOff>
    </xdr:from>
    <xdr:to>
      <xdr:col>16</xdr:col>
      <xdr:colOff>329293</xdr:colOff>
      <xdr:row>41</xdr:row>
      <xdr:rowOff>97970</xdr:rowOff>
    </xdr:to>
    <xdr:sp macro="" textlink="">
      <xdr:nvSpPr>
        <xdr:cNvPr id="78" name="Oval 77">
          <a:extLst>
            <a:ext uri="{FF2B5EF4-FFF2-40B4-BE49-F238E27FC236}">
              <a16:creationId xmlns:a16="http://schemas.microsoft.com/office/drawing/2014/main" id="{4A61BDE0-FCB0-4B37-96BD-E7CFFD60B638}"/>
            </a:ext>
          </a:extLst>
        </xdr:cNvPr>
        <xdr:cNvSpPr/>
      </xdr:nvSpPr>
      <xdr:spPr>
        <a:xfrm>
          <a:off x="9767208" y="7641771"/>
          <a:ext cx="315685" cy="2666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224790</xdr:colOff>
      <xdr:row>40</xdr:row>
      <xdr:rowOff>151311</xdr:rowOff>
    </xdr:from>
    <xdr:to>
      <xdr:col>16</xdr:col>
      <xdr:colOff>13608</xdr:colOff>
      <xdr:row>40</xdr:row>
      <xdr:rowOff>151312</xdr:rowOff>
    </xdr:to>
    <xdr:cxnSp macro="">
      <xdr:nvCxnSpPr>
        <xdr:cNvPr id="79" name="Connector: Elbow 42">
          <a:extLst>
            <a:ext uri="{FF2B5EF4-FFF2-40B4-BE49-F238E27FC236}">
              <a16:creationId xmlns:a16="http://schemas.microsoft.com/office/drawing/2014/main" id="{B449F311-F0E2-4B2A-B88F-C44EAB653186}"/>
            </a:ext>
          </a:extLst>
        </xdr:cNvPr>
        <xdr:cNvCxnSpPr>
          <a:cxnSpLocks/>
          <a:stCxn id="27" idx="3"/>
          <a:endCxn id="78"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23</xdr:row>
      <xdr:rowOff>127908</xdr:rowOff>
    </xdr:from>
    <xdr:to>
      <xdr:col>17</xdr:col>
      <xdr:colOff>141513</xdr:colOff>
      <xdr:row>40</xdr:row>
      <xdr:rowOff>21772</xdr:rowOff>
    </xdr:to>
    <xdr:cxnSp macro="">
      <xdr:nvCxnSpPr>
        <xdr:cNvPr id="80" name="Connector: Elbow 79">
          <a:extLst>
            <a:ext uri="{FF2B5EF4-FFF2-40B4-BE49-F238E27FC236}">
              <a16:creationId xmlns:a16="http://schemas.microsoft.com/office/drawing/2014/main" id="{C52F5978-7457-4619-BB87-2CAEF8543785}"/>
            </a:ext>
          </a:extLst>
        </xdr:cNvPr>
        <xdr:cNvCxnSpPr>
          <a:stCxn id="78" idx="0"/>
          <a:endCxn id="75" idx="1"/>
        </xdr:cNvCxnSpPr>
      </xdr:nvCxnSpPr>
      <xdr:spPr>
        <a:xfrm rot="5400000" flipH="1" flipV="1">
          <a:off x="8648700" y="5785758"/>
          <a:ext cx="313236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329293</xdr:colOff>
      <xdr:row>39</xdr:row>
      <xdr:rowOff>28514</xdr:rowOff>
    </xdr:from>
    <xdr:to>
      <xdr:col>17</xdr:col>
      <xdr:colOff>547042</xdr:colOff>
      <xdr:row>40</xdr:row>
      <xdr:rowOff>151311</xdr:rowOff>
    </xdr:to>
    <xdr:cxnSp macro="">
      <xdr:nvCxnSpPr>
        <xdr:cNvPr id="81" name="Connector: Elbow 80">
          <a:extLst>
            <a:ext uri="{FF2B5EF4-FFF2-40B4-BE49-F238E27FC236}">
              <a16:creationId xmlns:a16="http://schemas.microsoft.com/office/drawing/2014/main" id="{AC3C9AC8-F73C-493F-BE35-A655B87F76FE}"/>
            </a:ext>
          </a:extLst>
        </xdr:cNvPr>
        <xdr:cNvCxnSpPr>
          <a:stCxn id="78" idx="6"/>
          <a:endCxn id="76"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171451</xdr:colOff>
      <xdr:row>41</xdr:row>
      <xdr:rowOff>97969</xdr:rowOff>
    </xdr:from>
    <xdr:to>
      <xdr:col>17</xdr:col>
      <xdr:colOff>487136</xdr:colOff>
      <xdr:row>48</xdr:row>
      <xdr:rowOff>8164</xdr:rowOff>
    </xdr:to>
    <xdr:cxnSp macro="">
      <xdr:nvCxnSpPr>
        <xdr:cNvPr id="82" name="Connector: Elbow 81">
          <a:extLst>
            <a:ext uri="{FF2B5EF4-FFF2-40B4-BE49-F238E27FC236}">
              <a16:creationId xmlns:a16="http://schemas.microsoft.com/office/drawing/2014/main" id="{0D1E5949-8C07-40E0-B9FC-5E4BA2990B9B}"/>
            </a:ext>
          </a:extLst>
        </xdr:cNvPr>
        <xdr:cNvCxnSpPr>
          <a:stCxn id="78" idx="4"/>
          <a:endCxn id="77" idx="1"/>
        </xdr:cNvCxnSpPr>
      </xdr:nvCxnSpPr>
      <xdr:spPr>
        <a:xfrm rot="16200000" flipH="1">
          <a:off x="9765846" y="8067674"/>
          <a:ext cx="124369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103415</xdr:colOff>
      <xdr:row>47</xdr:row>
      <xdr:rowOff>76206</xdr:rowOff>
    </xdr:from>
    <xdr:to>
      <xdr:col>20</xdr:col>
      <xdr:colOff>310244</xdr:colOff>
      <xdr:row>48</xdr:row>
      <xdr:rowOff>130634</xdr:rowOff>
    </xdr:to>
    <xdr:sp macro="" textlink="">
      <xdr:nvSpPr>
        <xdr:cNvPr id="143" name="Isosceles Triangle 142">
          <a:extLst>
            <a:ext uri="{FF2B5EF4-FFF2-40B4-BE49-F238E27FC236}">
              <a16:creationId xmlns:a16="http://schemas.microsoft.com/office/drawing/2014/main" id="{7500A86C-D314-46C5-98CA-D99AAF40B899}"/>
            </a:ext>
          </a:extLst>
        </xdr:cNvPr>
        <xdr:cNvSpPr/>
      </xdr:nvSpPr>
      <xdr:spPr>
        <a:xfrm rot="5400000">
          <a:off x="12276366" y="9048755"/>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117022</xdr:colOff>
      <xdr:row>48</xdr:row>
      <xdr:rowOff>8165</xdr:rowOff>
    </xdr:from>
    <xdr:to>
      <xdr:col>20</xdr:col>
      <xdr:colOff>103416</xdr:colOff>
      <xdr:row>48</xdr:row>
      <xdr:rowOff>8170</xdr:rowOff>
    </xdr:to>
    <xdr:cxnSp macro="">
      <xdr:nvCxnSpPr>
        <xdr:cNvPr id="144" name="Connector: Elbow 351">
          <a:extLst>
            <a:ext uri="{FF2B5EF4-FFF2-40B4-BE49-F238E27FC236}">
              <a16:creationId xmlns:a16="http://schemas.microsoft.com/office/drawing/2014/main" id="{71251D40-88CE-47C3-AB43-5D5BBDC1CBF9}"/>
            </a:ext>
          </a:extLst>
        </xdr:cNvPr>
        <xdr:cNvCxnSpPr>
          <a:stCxn id="77" idx="3"/>
          <a:endCxn id="143" idx="3"/>
        </xdr:cNvCxnSpPr>
      </xdr:nvCxnSpPr>
      <xdr:spPr>
        <a:xfrm>
          <a:off x="11699422" y="915216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293546</xdr:colOff>
      <xdr:row>38</xdr:row>
      <xdr:rowOff>74114</xdr:rowOff>
    </xdr:from>
    <xdr:to>
      <xdr:col>20</xdr:col>
      <xdr:colOff>500375</xdr:colOff>
      <xdr:row>39</xdr:row>
      <xdr:rowOff>134687</xdr:rowOff>
    </xdr:to>
    <xdr:sp macro="" textlink="">
      <xdr:nvSpPr>
        <xdr:cNvPr id="145" name="Isosceles Triangle 144">
          <a:extLst>
            <a:ext uri="{FF2B5EF4-FFF2-40B4-BE49-F238E27FC236}">
              <a16:creationId xmlns:a16="http://schemas.microsoft.com/office/drawing/2014/main" id="{0F5D6210-0BB6-4A6F-B802-9B83EB0D32A5}"/>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176928</xdr:colOff>
      <xdr:row>39</xdr:row>
      <xdr:rowOff>12961</xdr:rowOff>
    </xdr:from>
    <xdr:to>
      <xdr:col>20</xdr:col>
      <xdr:colOff>293546</xdr:colOff>
      <xdr:row>39</xdr:row>
      <xdr:rowOff>28514</xdr:rowOff>
    </xdr:to>
    <xdr:cxnSp macro="">
      <xdr:nvCxnSpPr>
        <xdr:cNvPr id="146" name="Connector: Elbow 351">
          <a:extLst>
            <a:ext uri="{FF2B5EF4-FFF2-40B4-BE49-F238E27FC236}">
              <a16:creationId xmlns:a16="http://schemas.microsoft.com/office/drawing/2014/main" id="{36EFF983-8A44-49C6-86C3-89465EBB928B}"/>
            </a:ext>
          </a:extLst>
        </xdr:cNvPr>
        <xdr:cNvCxnSpPr>
          <a:stCxn id="76" idx="3"/>
          <a:endCxn id="145"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480604</xdr:colOff>
      <xdr:row>13</xdr:row>
      <xdr:rowOff>171450</xdr:rowOff>
    </xdr:from>
    <xdr:to>
      <xdr:col>23</xdr:col>
      <xdr:colOff>110490</xdr:colOff>
      <xdr:row>16</xdr:row>
      <xdr:rowOff>130084</xdr:rowOff>
    </xdr:to>
    <xdr:sp macro="" textlink="">
      <xdr:nvSpPr>
        <xdr:cNvPr id="147" name="Rectangle: Rounded Corners 146">
          <a:extLst>
            <a:ext uri="{FF2B5EF4-FFF2-40B4-BE49-F238E27FC236}">
              <a16:creationId xmlns:a16="http://schemas.microsoft.com/office/drawing/2014/main" id="{EAB6C15B-3327-49C5-9C7E-FBE3954EAE7C}"/>
            </a:ext>
          </a:extLst>
        </xdr:cNvPr>
        <xdr:cNvSpPr/>
      </xdr:nvSpPr>
      <xdr:spPr>
        <a:xfrm>
          <a:off x="13282204" y="474345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21</xdr:col>
      <xdr:colOff>534629</xdr:colOff>
      <xdr:row>21</xdr:row>
      <xdr:rowOff>56922</xdr:rowOff>
    </xdr:from>
    <xdr:to>
      <xdr:col>23</xdr:col>
      <xdr:colOff>164515</xdr:colOff>
      <xdr:row>25</xdr:row>
      <xdr:rowOff>0</xdr:rowOff>
    </xdr:to>
    <xdr:sp macro="" textlink="">
      <xdr:nvSpPr>
        <xdr:cNvPr id="148" name="Rectangle: Rounded Corners 147">
          <a:extLst>
            <a:ext uri="{FF2B5EF4-FFF2-40B4-BE49-F238E27FC236}">
              <a16:creationId xmlns:a16="http://schemas.microsoft.com/office/drawing/2014/main" id="{BAF76EBF-93EA-441B-9E73-B97289A9BE0C}"/>
            </a:ext>
          </a:extLst>
        </xdr:cNvPr>
        <xdr:cNvSpPr/>
      </xdr:nvSpPr>
      <xdr:spPr>
        <a:xfrm>
          <a:off x="13336229" y="3897402"/>
          <a:ext cx="849086" cy="674598"/>
        </a:xfrm>
        <a:prstGeom prst="roundRect">
          <a:avLst>
            <a:gd name="adj" fmla="val 16667"/>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19</xdr:col>
      <xdr:colOff>601436</xdr:colOff>
      <xdr:row>23</xdr:row>
      <xdr:rowOff>-1</xdr:rowOff>
    </xdr:from>
    <xdr:to>
      <xdr:col>20</xdr:col>
      <xdr:colOff>307521</xdr:colOff>
      <xdr:row>24</xdr:row>
      <xdr:rowOff>76199</xdr:rowOff>
    </xdr:to>
    <xdr:sp macro="" textlink="">
      <xdr:nvSpPr>
        <xdr:cNvPr id="149" name="Oval 148">
          <a:extLst>
            <a:ext uri="{FF2B5EF4-FFF2-40B4-BE49-F238E27FC236}">
              <a16:creationId xmlns:a16="http://schemas.microsoft.com/office/drawing/2014/main" id="{FA83618D-2376-413B-AF79-64B446C0763E}"/>
            </a:ext>
          </a:extLst>
        </xdr:cNvPr>
        <xdr:cNvSpPr/>
      </xdr:nvSpPr>
      <xdr:spPr>
        <a:xfrm>
          <a:off x="12183836" y="4381499"/>
          <a:ext cx="315685" cy="266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381000</xdr:colOff>
      <xdr:row>23</xdr:row>
      <xdr:rowOff>127907</xdr:rowOff>
    </xdr:from>
    <xdr:to>
      <xdr:col>19</xdr:col>
      <xdr:colOff>601436</xdr:colOff>
      <xdr:row>23</xdr:row>
      <xdr:rowOff>133349</xdr:rowOff>
    </xdr:to>
    <xdr:cxnSp macro="">
      <xdr:nvCxnSpPr>
        <xdr:cNvPr id="150" name="Connector: Elbow 42">
          <a:extLst>
            <a:ext uri="{FF2B5EF4-FFF2-40B4-BE49-F238E27FC236}">
              <a16:creationId xmlns:a16="http://schemas.microsoft.com/office/drawing/2014/main" id="{9435B7B6-D984-435E-A126-62ACDFC27099}"/>
            </a:ext>
          </a:extLst>
        </xdr:cNvPr>
        <xdr:cNvCxnSpPr>
          <a:cxnSpLocks/>
          <a:stCxn id="75" idx="3"/>
          <a:endCxn id="149" idx="2"/>
        </xdr:cNvCxnSpPr>
      </xdr:nvCxnSpPr>
      <xdr:spPr>
        <a:xfrm>
          <a:off x="11353800" y="450940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149678</xdr:colOff>
      <xdr:row>15</xdr:row>
      <xdr:rowOff>59328</xdr:rowOff>
    </xdr:from>
    <xdr:to>
      <xdr:col>21</xdr:col>
      <xdr:colOff>480603</xdr:colOff>
      <xdr:row>23</xdr:row>
      <xdr:rowOff>0</xdr:rowOff>
    </xdr:to>
    <xdr:cxnSp macro="">
      <xdr:nvCxnSpPr>
        <xdr:cNvPr id="151" name="Connector: Elbow 150">
          <a:extLst>
            <a:ext uri="{FF2B5EF4-FFF2-40B4-BE49-F238E27FC236}">
              <a16:creationId xmlns:a16="http://schemas.microsoft.com/office/drawing/2014/main" id="{1799B385-5D49-4241-A1C3-C96EE6F6F3F4}"/>
            </a:ext>
          </a:extLst>
        </xdr:cNvPr>
        <xdr:cNvCxnSpPr>
          <a:stCxn id="149" idx="0"/>
          <a:endCxn id="147"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307521</xdr:colOff>
      <xdr:row>23</xdr:row>
      <xdr:rowOff>28461</xdr:rowOff>
    </xdr:from>
    <xdr:to>
      <xdr:col>21</xdr:col>
      <xdr:colOff>534629</xdr:colOff>
      <xdr:row>23</xdr:row>
      <xdr:rowOff>129539</xdr:rowOff>
    </xdr:to>
    <xdr:cxnSp macro="">
      <xdr:nvCxnSpPr>
        <xdr:cNvPr id="152" name="Connector: Elbow 151">
          <a:extLst>
            <a:ext uri="{FF2B5EF4-FFF2-40B4-BE49-F238E27FC236}">
              <a16:creationId xmlns:a16="http://schemas.microsoft.com/office/drawing/2014/main" id="{8EE55291-97A0-4BCE-A6E6-05A504FEDFF5}"/>
            </a:ext>
          </a:extLst>
        </xdr:cNvPr>
        <xdr:cNvCxnSpPr>
          <a:stCxn id="149" idx="6"/>
          <a:endCxn id="148" idx="1"/>
        </xdr:cNvCxnSpPr>
      </xdr:nvCxnSpPr>
      <xdr:spPr>
        <a:xfrm flipV="1">
          <a:off x="12499521" y="4234701"/>
          <a:ext cx="836708" cy="101078"/>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385355</xdr:colOff>
      <xdr:row>22</xdr:row>
      <xdr:rowOff>105458</xdr:rowOff>
    </xdr:from>
    <xdr:to>
      <xdr:col>24</xdr:col>
      <xdr:colOff>592184</xdr:colOff>
      <xdr:row>23</xdr:row>
      <xdr:rowOff>159886</xdr:rowOff>
    </xdr:to>
    <xdr:sp macro="" textlink="">
      <xdr:nvSpPr>
        <xdr:cNvPr id="153" name="Isosceles Triangle 152">
          <a:extLst>
            <a:ext uri="{FF2B5EF4-FFF2-40B4-BE49-F238E27FC236}">
              <a16:creationId xmlns:a16="http://schemas.microsoft.com/office/drawing/2014/main" id="{C0D9BB01-A5B1-42BA-9454-DDC029E7AB8D}"/>
            </a:ext>
          </a:extLst>
        </xdr:cNvPr>
        <xdr:cNvSpPr/>
      </xdr:nvSpPr>
      <xdr:spPr>
        <a:xfrm rot="5400000">
          <a:off x="15000516" y="4144057"/>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164515</xdr:colOff>
      <xdr:row>23</xdr:row>
      <xdr:rowOff>28461</xdr:rowOff>
    </xdr:from>
    <xdr:to>
      <xdr:col>24</xdr:col>
      <xdr:colOff>385356</xdr:colOff>
      <xdr:row>23</xdr:row>
      <xdr:rowOff>41232</xdr:rowOff>
    </xdr:to>
    <xdr:cxnSp macro="">
      <xdr:nvCxnSpPr>
        <xdr:cNvPr id="154" name="Connector: Elbow 351">
          <a:extLst>
            <a:ext uri="{FF2B5EF4-FFF2-40B4-BE49-F238E27FC236}">
              <a16:creationId xmlns:a16="http://schemas.microsoft.com/office/drawing/2014/main" id="{1A13CCA7-016C-4207-8074-7ED600371847}"/>
            </a:ext>
          </a:extLst>
        </xdr:cNvPr>
        <xdr:cNvCxnSpPr>
          <a:cxnSpLocks/>
          <a:stCxn id="148" idx="3"/>
          <a:endCxn id="153" idx="3"/>
        </xdr:cNvCxnSpPr>
      </xdr:nvCxnSpPr>
      <xdr:spPr>
        <a:xfrm>
          <a:off x="14185315" y="4234701"/>
          <a:ext cx="830441" cy="1277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110490</xdr:colOff>
      <xdr:row>15</xdr:row>
      <xdr:rowOff>59327</xdr:rowOff>
    </xdr:from>
    <xdr:to>
      <xdr:col>24</xdr:col>
      <xdr:colOff>400948</xdr:colOff>
      <xdr:row>15</xdr:row>
      <xdr:rowOff>81824</xdr:rowOff>
    </xdr:to>
    <xdr:cxnSp macro="">
      <xdr:nvCxnSpPr>
        <xdr:cNvPr id="202" name="Connector: Elbow 42">
          <a:extLst>
            <a:ext uri="{FF2B5EF4-FFF2-40B4-BE49-F238E27FC236}">
              <a16:creationId xmlns:a16="http://schemas.microsoft.com/office/drawing/2014/main" id="{0F2144CB-7B6E-4B1C-A866-B1F1586902D5}"/>
            </a:ext>
          </a:extLst>
        </xdr:cNvPr>
        <xdr:cNvCxnSpPr>
          <a:cxnSpLocks/>
          <a:stCxn id="147" idx="3"/>
          <a:endCxn id="336"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186461</xdr:colOff>
      <xdr:row>151</xdr:row>
      <xdr:rowOff>7725</xdr:rowOff>
    </xdr:from>
    <xdr:to>
      <xdr:col>2</xdr:col>
      <xdr:colOff>425947</xdr:colOff>
      <xdr:row>153</xdr:row>
      <xdr:rowOff>148538</xdr:rowOff>
    </xdr:to>
    <xdr:sp macro="" textlink="">
      <xdr:nvSpPr>
        <xdr:cNvPr id="255" name="Rectangle: Rounded Corners 254">
          <a:extLst>
            <a:ext uri="{FF2B5EF4-FFF2-40B4-BE49-F238E27FC236}">
              <a16:creationId xmlns:a16="http://schemas.microsoft.com/office/drawing/2014/main" id="{EC117348-1348-41F8-A163-65CE7E44FD79}"/>
            </a:ext>
          </a:extLst>
        </xdr:cNvPr>
        <xdr:cNvSpPr/>
      </xdr:nvSpPr>
      <xdr:spPr>
        <a:xfrm>
          <a:off x="796061" y="8420205"/>
          <a:ext cx="849086" cy="50657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PSG</a:t>
          </a:r>
        </a:p>
      </xdr:txBody>
    </xdr:sp>
    <xdr:clientData/>
  </xdr:twoCellAnchor>
  <xdr:twoCellAnchor>
    <xdr:from>
      <xdr:col>1</xdr:col>
      <xdr:colOff>583029</xdr:colOff>
      <xdr:row>153</xdr:row>
      <xdr:rowOff>148538</xdr:rowOff>
    </xdr:from>
    <xdr:to>
      <xdr:col>1</xdr:col>
      <xdr:colOff>613462</xdr:colOff>
      <xdr:row>200</xdr:row>
      <xdr:rowOff>72571</xdr:rowOff>
    </xdr:to>
    <xdr:cxnSp macro="">
      <xdr:nvCxnSpPr>
        <xdr:cNvPr id="256" name="Connector: Elbow 833">
          <a:extLst>
            <a:ext uri="{FF2B5EF4-FFF2-40B4-BE49-F238E27FC236}">
              <a16:creationId xmlns:a16="http://schemas.microsoft.com/office/drawing/2014/main" id="{52E9F22E-5E5F-47AD-9E5E-63758B12CAF4}"/>
            </a:ext>
          </a:extLst>
        </xdr:cNvPr>
        <xdr:cNvCxnSpPr>
          <a:stCxn id="2" idx="0"/>
          <a:endCxn id="255" idx="2"/>
        </xdr:cNvCxnSpPr>
      </xdr:nvCxnSpPr>
      <xdr:spPr>
        <a:xfrm flipV="1">
          <a:off x="1192629" y="8926778"/>
          <a:ext cx="22813" cy="303299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549869</xdr:colOff>
      <xdr:row>31</xdr:row>
      <xdr:rowOff>26442</xdr:rowOff>
    </xdr:from>
    <xdr:to>
      <xdr:col>23</xdr:col>
      <xdr:colOff>179755</xdr:colOff>
      <xdr:row>33</xdr:row>
      <xdr:rowOff>165780</xdr:rowOff>
    </xdr:to>
    <xdr:sp macro="" textlink="">
      <xdr:nvSpPr>
        <xdr:cNvPr id="618" name="Rectangle: Rounded Corners 617">
          <a:extLst>
            <a:ext uri="{FF2B5EF4-FFF2-40B4-BE49-F238E27FC236}">
              <a16:creationId xmlns:a16="http://schemas.microsoft.com/office/drawing/2014/main" id="{311D6A25-8160-4243-9112-4B5A695937D2}"/>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20</xdr:col>
      <xdr:colOff>149679</xdr:colOff>
      <xdr:row>24</xdr:row>
      <xdr:rowOff>76199</xdr:rowOff>
    </xdr:from>
    <xdr:to>
      <xdr:col>21</xdr:col>
      <xdr:colOff>549869</xdr:colOff>
      <xdr:row>32</xdr:row>
      <xdr:rowOff>96111</xdr:rowOff>
    </xdr:to>
    <xdr:cxnSp macro="">
      <xdr:nvCxnSpPr>
        <xdr:cNvPr id="619" name="Connector: Elbow 618">
          <a:extLst>
            <a:ext uri="{FF2B5EF4-FFF2-40B4-BE49-F238E27FC236}">
              <a16:creationId xmlns:a16="http://schemas.microsoft.com/office/drawing/2014/main" id="{2A4B2F02-8AA7-48D5-9AB7-1F5B226815BC}"/>
            </a:ext>
          </a:extLst>
        </xdr:cNvPr>
        <xdr:cNvCxnSpPr>
          <a:stCxn id="149" idx="4"/>
          <a:endCxn id="618"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34835</xdr:colOff>
      <xdr:row>31</xdr:row>
      <xdr:rowOff>181655</xdr:rowOff>
    </xdr:from>
    <xdr:to>
      <xdr:col>25</xdr:col>
      <xdr:colOff>241664</xdr:colOff>
      <xdr:row>33</xdr:row>
      <xdr:rowOff>53203</xdr:rowOff>
    </xdr:to>
    <xdr:sp macro="" textlink="">
      <xdr:nvSpPr>
        <xdr:cNvPr id="625" name="Isosceles Triangle 624">
          <a:extLst>
            <a:ext uri="{FF2B5EF4-FFF2-40B4-BE49-F238E27FC236}">
              <a16:creationId xmlns:a16="http://schemas.microsoft.com/office/drawing/2014/main" id="{AD759988-295A-43B8-AD23-87653D38D2FE}"/>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179755</xdr:colOff>
      <xdr:row>32</xdr:row>
      <xdr:rowOff>96111</xdr:rowOff>
    </xdr:from>
    <xdr:to>
      <xdr:col>25</xdr:col>
      <xdr:colOff>34836</xdr:colOff>
      <xdr:row>32</xdr:row>
      <xdr:rowOff>117429</xdr:rowOff>
    </xdr:to>
    <xdr:cxnSp macro="">
      <xdr:nvCxnSpPr>
        <xdr:cNvPr id="626" name="Connector: Elbow 351">
          <a:extLst>
            <a:ext uri="{FF2B5EF4-FFF2-40B4-BE49-F238E27FC236}">
              <a16:creationId xmlns:a16="http://schemas.microsoft.com/office/drawing/2014/main" id="{499FCA09-A8C4-45AE-A620-C89D405EBA90}"/>
            </a:ext>
          </a:extLst>
        </xdr:cNvPr>
        <xdr:cNvCxnSpPr>
          <a:cxnSpLocks/>
          <a:stCxn id="618" idx="3"/>
          <a:endCxn id="625"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400947</xdr:colOff>
      <xdr:row>14</xdr:row>
      <xdr:rowOff>149860</xdr:rowOff>
    </xdr:from>
    <xdr:to>
      <xdr:col>24</xdr:col>
      <xdr:colOff>607776</xdr:colOff>
      <xdr:row>16</xdr:row>
      <xdr:rowOff>13788</xdr:rowOff>
    </xdr:to>
    <xdr:sp macro="" textlink="">
      <xdr:nvSpPr>
        <xdr:cNvPr id="336" name="Isosceles Triangle 335">
          <a:extLst>
            <a:ext uri="{FF2B5EF4-FFF2-40B4-BE49-F238E27FC236}">
              <a16:creationId xmlns:a16="http://schemas.microsoft.com/office/drawing/2014/main" id="{95F54433-8E9C-4177-82A7-F77BC25C4D6E}"/>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385354</xdr:colOff>
      <xdr:row>72</xdr:row>
      <xdr:rowOff>26670</xdr:rowOff>
    </xdr:from>
    <xdr:to>
      <xdr:col>21</xdr:col>
      <xdr:colOff>15240</xdr:colOff>
      <xdr:row>74</xdr:row>
      <xdr:rowOff>160564</xdr:rowOff>
    </xdr:to>
    <xdr:sp macro="" textlink="">
      <xdr:nvSpPr>
        <xdr:cNvPr id="337" name="Rectangle: Rounded Corners 336">
          <a:extLst>
            <a:ext uri="{FF2B5EF4-FFF2-40B4-BE49-F238E27FC236}">
              <a16:creationId xmlns:a16="http://schemas.microsoft.com/office/drawing/2014/main" id="{293DFF63-5DE4-44BD-871E-B62B5CEF6AB6}"/>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19</xdr:col>
      <xdr:colOff>547042</xdr:colOff>
      <xdr:row>87</xdr:row>
      <xdr:rowOff>144797</xdr:rowOff>
    </xdr:from>
    <xdr:to>
      <xdr:col>21</xdr:col>
      <xdr:colOff>176928</xdr:colOff>
      <xdr:row>90</xdr:row>
      <xdr:rowOff>95110</xdr:rowOff>
    </xdr:to>
    <xdr:sp macro="" textlink="">
      <xdr:nvSpPr>
        <xdr:cNvPr id="338" name="Rectangle: Rounded Corners 337">
          <a:extLst>
            <a:ext uri="{FF2B5EF4-FFF2-40B4-BE49-F238E27FC236}">
              <a16:creationId xmlns:a16="http://schemas.microsoft.com/office/drawing/2014/main" id="{A8DC32D9-C208-4227-BC87-FAB09CD1C523}"/>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96</xdr:row>
      <xdr:rowOff>127907</xdr:rowOff>
    </xdr:from>
    <xdr:to>
      <xdr:col>21</xdr:col>
      <xdr:colOff>117022</xdr:colOff>
      <xdr:row>99</xdr:row>
      <xdr:rowOff>78922</xdr:rowOff>
    </xdr:to>
    <xdr:sp macro="" textlink="">
      <xdr:nvSpPr>
        <xdr:cNvPr id="339" name="Rectangle: Rounded Corners 338">
          <a:extLst>
            <a:ext uri="{FF2B5EF4-FFF2-40B4-BE49-F238E27FC236}">
              <a16:creationId xmlns:a16="http://schemas.microsoft.com/office/drawing/2014/main" id="{165BF26A-3061-4367-ABD2-F770C9B21C22}"/>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17</xdr:col>
      <xdr:colOff>516528</xdr:colOff>
      <xdr:row>79</xdr:row>
      <xdr:rowOff>37011</xdr:rowOff>
    </xdr:from>
    <xdr:to>
      <xdr:col>18</xdr:col>
      <xdr:colOff>222613</xdr:colOff>
      <xdr:row>80</xdr:row>
      <xdr:rowOff>113210</xdr:rowOff>
    </xdr:to>
    <xdr:sp macro="" textlink="">
      <xdr:nvSpPr>
        <xdr:cNvPr id="340" name="Oval 339">
          <a:extLst>
            <a:ext uri="{FF2B5EF4-FFF2-40B4-BE49-F238E27FC236}">
              <a16:creationId xmlns:a16="http://schemas.microsoft.com/office/drawing/2014/main" id="{F1BC9F5F-988A-47FA-AF40-297D713F82BD}"/>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64770</xdr:colOff>
      <xdr:row>73</xdr:row>
      <xdr:rowOff>93618</xdr:rowOff>
    </xdr:from>
    <xdr:to>
      <xdr:col>19</xdr:col>
      <xdr:colOff>385353</xdr:colOff>
      <xdr:row>79</xdr:row>
      <xdr:rowOff>37012</xdr:rowOff>
    </xdr:to>
    <xdr:cxnSp macro="">
      <xdr:nvCxnSpPr>
        <xdr:cNvPr id="342" name="Connector: Elbow 341">
          <a:extLst>
            <a:ext uri="{FF2B5EF4-FFF2-40B4-BE49-F238E27FC236}">
              <a16:creationId xmlns:a16="http://schemas.microsoft.com/office/drawing/2014/main" id="{064F088D-E476-4622-BEE7-76AD8BB3BE72}"/>
            </a:ext>
          </a:extLst>
        </xdr:cNvPr>
        <xdr:cNvCxnSpPr>
          <a:cxnSpLocks/>
          <a:stCxn id="340" idx="0"/>
          <a:endCxn id="337"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222613</xdr:colOff>
      <xdr:row>79</xdr:row>
      <xdr:rowOff>166551</xdr:rowOff>
    </xdr:from>
    <xdr:to>
      <xdr:col>19</xdr:col>
      <xdr:colOff>547042</xdr:colOff>
      <xdr:row>89</xdr:row>
      <xdr:rowOff>28514</xdr:rowOff>
    </xdr:to>
    <xdr:cxnSp macro="">
      <xdr:nvCxnSpPr>
        <xdr:cNvPr id="343" name="Connector: Elbow 342">
          <a:extLst>
            <a:ext uri="{FF2B5EF4-FFF2-40B4-BE49-F238E27FC236}">
              <a16:creationId xmlns:a16="http://schemas.microsoft.com/office/drawing/2014/main" id="{EB007FF9-77A3-4E3B-8E7B-7EFC3B4232F9}"/>
            </a:ext>
          </a:extLst>
        </xdr:cNvPr>
        <xdr:cNvCxnSpPr>
          <a:stCxn id="340" idx="6"/>
          <a:endCxn id="338"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64771</xdr:colOff>
      <xdr:row>80</xdr:row>
      <xdr:rowOff>113209</xdr:rowOff>
    </xdr:from>
    <xdr:to>
      <xdr:col>19</xdr:col>
      <xdr:colOff>487136</xdr:colOff>
      <xdr:row>98</xdr:row>
      <xdr:rowOff>11974</xdr:rowOff>
    </xdr:to>
    <xdr:cxnSp macro="">
      <xdr:nvCxnSpPr>
        <xdr:cNvPr id="344" name="Connector: Elbow 343">
          <a:extLst>
            <a:ext uri="{FF2B5EF4-FFF2-40B4-BE49-F238E27FC236}">
              <a16:creationId xmlns:a16="http://schemas.microsoft.com/office/drawing/2014/main" id="{CEEAEAA6-4E8F-4B9E-BF1A-1D5BEDEAC364}"/>
            </a:ext>
          </a:extLst>
        </xdr:cNvPr>
        <xdr:cNvCxnSpPr>
          <a:stCxn id="340" idx="4"/>
          <a:endCxn id="339"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97</xdr:row>
      <xdr:rowOff>76206</xdr:rowOff>
    </xdr:from>
    <xdr:to>
      <xdr:col>22</xdr:col>
      <xdr:colOff>310244</xdr:colOff>
      <xdr:row>98</xdr:row>
      <xdr:rowOff>130634</xdr:rowOff>
    </xdr:to>
    <xdr:sp macro="" textlink="">
      <xdr:nvSpPr>
        <xdr:cNvPr id="345" name="Isosceles Triangle 344">
          <a:extLst>
            <a:ext uri="{FF2B5EF4-FFF2-40B4-BE49-F238E27FC236}">
              <a16:creationId xmlns:a16="http://schemas.microsoft.com/office/drawing/2014/main" id="{B40C0814-FC49-48A3-9EB1-AD3E5168303C}"/>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98</xdr:row>
      <xdr:rowOff>8165</xdr:rowOff>
    </xdr:from>
    <xdr:to>
      <xdr:col>22</xdr:col>
      <xdr:colOff>103416</xdr:colOff>
      <xdr:row>98</xdr:row>
      <xdr:rowOff>8170</xdr:rowOff>
    </xdr:to>
    <xdr:cxnSp macro="">
      <xdr:nvCxnSpPr>
        <xdr:cNvPr id="346" name="Connector: Elbow 351">
          <a:extLst>
            <a:ext uri="{FF2B5EF4-FFF2-40B4-BE49-F238E27FC236}">
              <a16:creationId xmlns:a16="http://schemas.microsoft.com/office/drawing/2014/main" id="{842D6CF9-4B2F-4A31-842D-71BF525F2E41}"/>
            </a:ext>
          </a:extLst>
        </xdr:cNvPr>
        <xdr:cNvCxnSpPr>
          <a:stCxn id="339" idx="3"/>
          <a:endCxn id="345"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88</xdr:row>
      <xdr:rowOff>74114</xdr:rowOff>
    </xdr:from>
    <xdr:to>
      <xdr:col>22</xdr:col>
      <xdr:colOff>500375</xdr:colOff>
      <xdr:row>89</xdr:row>
      <xdr:rowOff>134687</xdr:rowOff>
    </xdr:to>
    <xdr:sp macro="" textlink="">
      <xdr:nvSpPr>
        <xdr:cNvPr id="347" name="Isosceles Triangle 346">
          <a:extLst>
            <a:ext uri="{FF2B5EF4-FFF2-40B4-BE49-F238E27FC236}">
              <a16:creationId xmlns:a16="http://schemas.microsoft.com/office/drawing/2014/main" id="{3A73503B-6C80-4F71-9CCA-C16250940F9E}"/>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89</xdr:row>
      <xdr:rowOff>12961</xdr:rowOff>
    </xdr:from>
    <xdr:to>
      <xdr:col>22</xdr:col>
      <xdr:colOff>293546</xdr:colOff>
      <xdr:row>89</xdr:row>
      <xdr:rowOff>28514</xdr:rowOff>
    </xdr:to>
    <xdr:cxnSp macro="">
      <xdr:nvCxnSpPr>
        <xdr:cNvPr id="348" name="Connector: Elbow 351">
          <a:extLst>
            <a:ext uri="{FF2B5EF4-FFF2-40B4-BE49-F238E27FC236}">
              <a16:creationId xmlns:a16="http://schemas.microsoft.com/office/drawing/2014/main" id="{2591A190-9965-4C57-B85A-B9A4DE679A7C}"/>
            </a:ext>
          </a:extLst>
        </xdr:cNvPr>
        <xdr:cNvCxnSpPr>
          <a:stCxn id="338" idx="3"/>
          <a:endCxn id="347"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519389</xdr:colOff>
      <xdr:row>74</xdr:row>
      <xdr:rowOff>102642</xdr:rowOff>
    </xdr:from>
    <xdr:to>
      <xdr:col>25</xdr:col>
      <xdr:colOff>149275</xdr:colOff>
      <xdr:row>77</xdr:row>
      <xdr:rowOff>59100</xdr:rowOff>
    </xdr:to>
    <xdr:sp macro="" textlink="">
      <xdr:nvSpPr>
        <xdr:cNvPr id="350" name="Rectangle: Rounded Corners 349">
          <a:extLst>
            <a:ext uri="{FF2B5EF4-FFF2-40B4-BE49-F238E27FC236}">
              <a16:creationId xmlns:a16="http://schemas.microsoft.com/office/drawing/2014/main" id="{2EB45046-0D2F-4C65-A8B2-559AC1738D6D}"/>
            </a:ext>
          </a:extLst>
        </xdr:cNvPr>
        <xdr:cNvSpPr/>
      </xdr:nvSpPr>
      <xdr:spPr>
        <a:xfrm>
          <a:off x="13320989" y="4491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73</xdr:row>
      <xdr:rowOff>-1</xdr:rowOff>
    </xdr:from>
    <xdr:to>
      <xdr:col>22</xdr:col>
      <xdr:colOff>307521</xdr:colOff>
      <xdr:row>74</xdr:row>
      <xdr:rowOff>76199</xdr:rowOff>
    </xdr:to>
    <xdr:sp macro="" textlink="">
      <xdr:nvSpPr>
        <xdr:cNvPr id="351" name="Oval 350">
          <a:extLst>
            <a:ext uri="{FF2B5EF4-FFF2-40B4-BE49-F238E27FC236}">
              <a16:creationId xmlns:a16="http://schemas.microsoft.com/office/drawing/2014/main" id="{8D5EEFBA-3F55-4B56-B64A-405F2DB3EAC2}"/>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15240</xdr:colOff>
      <xdr:row>73</xdr:row>
      <xdr:rowOff>93617</xdr:rowOff>
    </xdr:from>
    <xdr:to>
      <xdr:col>21</xdr:col>
      <xdr:colOff>601436</xdr:colOff>
      <xdr:row>73</xdr:row>
      <xdr:rowOff>129539</xdr:rowOff>
    </xdr:to>
    <xdr:cxnSp macro="">
      <xdr:nvCxnSpPr>
        <xdr:cNvPr id="352" name="Connector: Elbow 42">
          <a:extLst>
            <a:ext uri="{FF2B5EF4-FFF2-40B4-BE49-F238E27FC236}">
              <a16:creationId xmlns:a16="http://schemas.microsoft.com/office/drawing/2014/main" id="{58DE3D3F-DA23-4B4E-B8CD-11B57CD26F3C}"/>
            </a:ext>
          </a:extLst>
        </xdr:cNvPr>
        <xdr:cNvCxnSpPr>
          <a:cxnSpLocks/>
          <a:stCxn id="337" idx="3"/>
          <a:endCxn id="351"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149679</xdr:colOff>
      <xdr:row>74</xdr:row>
      <xdr:rowOff>76199</xdr:rowOff>
    </xdr:from>
    <xdr:to>
      <xdr:col>23</xdr:col>
      <xdr:colOff>519389</xdr:colOff>
      <xdr:row>75</xdr:row>
      <xdr:rowOff>172311</xdr:rowOff>
    </xdr:to>
    <xdr:cxnSp macro="">
      <xdr:nvCxnSpPr>
        <xdr:cNvPr id="354" name="Connector: Elbow 353">
          <a:extLst>
            <a:ext uri="{FF2B5EF4-FFF2-40B4-BE49-F238E27FC236}">
              <a16:creationId xmlns:a16="http://schemas.microsoft.com/office/drawing/2014/main" id="{4383A1BD-AB5F-4B3E-827D-9F2676773C2E}"/>
            </a:ext>
          </a:extLst>
        </xdr:cNvPr>
        <xdr:cNvCxnSpPr>
          <a:stCxn id="351" idx="4"/>
          <a:endCxn id="350" idx="1"/>
        </xdr:cNvCxnSpPr>
      </xdr:nvCxnSpPr>
      <xdr:spPr>
        <a:xfrm rot="16200000" flipH="1">
          <a:off x="12691838" y="4115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507275</xdr:colOff>
      <xdr:row>75</xdr:row>
      <xdr:rowOff>29256</xdr:rowOff>
    </xdr:from>
    <xdr:to>
      <xdr:col>27</xdr:col>
      <xdr:colOff>104504</xdr:colOff>
      <xdr:row>76</xdr:row>
      <xdr:rowOff>83684</xdr:rowOff>
    </xdr:to>
    <xdr:sp macro="" textlink="">
      <xdr:nvSpPr>
        <xdr:cNvPr id="355" name="Isosceles Triangle 354">
          <a:extLst>
            <a:ext uri="{FF2B5EF4-FFF2-40B4-BE49-F238E27FC236}">
              <a16:creationId xmlns:a16="http://schemas.microsoft.com/office/drawing/2014/main" id="{5466F690-9B9B-4E8D-B1DF-B9CCCEBCD263}"/>
            </a:ext>
          </a:extLst>
        </xdr:cNvPr>
        <xdr:cNvSpPr/>
      </xdr:nvSpPr>
      <xdr:spPr>
        <a:xfrm rot="5400000">
          <a:off x="15122436" y="4616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149275</xdr:colOff>
      <xdr:row>75</xdr:row>
      <xdr:rowOff>147910</xdr:rowOff>
    </xdr:from>
    <xdr:to>
      <xdr:col>26</xdr:col>
      <xdr:colOff>507276</xdr:colOff>
      <xdr:row>75</xdr:row>
      <xdr:rowOff>172311</xdr:rowOff>
    </xdr:to>
    <xdr:cxnSp macro="">
      <xdr:nvCxnSpPr>
        <xdr:cNvPr id="356" name="Connector: Elbow 351">
          <a:extLst>
            <a:ext uri="{FF2B5EF4-FFF2-40B4-BE49-F238E27FC236}">
              <a16:creationId xmlns:a16="http://schemas.microsoft.com/office/drawing/2014/main" id="{F4B906D9-6923-47A6-89A9-87470C68B13D}"/>
            </a:ext>
          </a:extLst>
        </xdr:cNvPr>
        <xdr:cNvCxnSpPr>
          <a:stCxn id="350" idx="3"/>
          <a:endCxn id="355" idx="3"/>
        </xdr:cNvCxnSpPr>
      </xdr:nvCxnSpPr>
      <xdr:spPr>
        <a:xfrm flipV="1">
          <a:off x="14170075" y="4719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581016</xdr:colOff>
      <xdr:row>66</xdr:row>
      <xdr:rowOff>146764</xdr:rowOff>
    </xdr:from>
    <xdr:to>
      <xdr:col>25</xdr:col>
      <xdr:colOff>210902</xdr:colOff>
      <xdr:row>69</xdr:row>
      <xdr:rowOff>109367</xdr:rowOff>
    </xdr:to>
    <xdr:sp macro="" textlink="">
      <xdr:nvSpPr>
        <xdr:cNvPr id="358" name="Rectangle: Rounded Corners 357">
          <a:extLst>
            <a:ext uri="{FF2B5EF4-FFF2-40B4-BE49-F238E27FC236}">
              <a16:creationId xmlns:a16="http://schemas.microsoft.com/office/drawing/2014/main" id="{973E9F5E-26BA-4BFA-96F2-8053DF9E84C5}"/>
            </a:ext>
          </a:extLst>
        </xdr:cNvPr>
        <xdr:cNvSpPr/>
      </xdr:nvSpPr>
      <xdr:spPr>
        <a:xfrm>
          <a:off x="14601816" y="12216844"/>
          <a:ext cx="849086" cy="5112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22</xdr:col>
      <xdr:colOff>149679</xdr:colOff>
      <xdr:row>68</xdr:row>
      <xdr:rowOff>36627</xdr:rowOff>
    </xdr:from>
    <xdr:to>
      <xdr:col>23</xdr:col>
      <xdr:colOff>581016</xdr:colOff>
      <xdr:row>73</xdr:row>
      <xdr:rowOff>0</xdr:rowOff>
    </xdr:to>
    <xdr:cxnSp macro="">
      <xdr:nvCxnSpPr>
        <xdr:cNvPr id="360" name="Connector: Elbow 359">
          <a:extLst>
            <a:ext uri="{FF2B5EF4-FFF2-40B4-BE49-F238E27FC236}">
              <a16:creationId xmlns:a16="http://schemas.microsoft.com/office/drawing/2014/main" id="{E66A9CDA-EC1C-4115-BC9A-7161AF0C1C7E}"/>
            </a:ext>
          </a:extLst>
        </xdr:cNvPr>
        <xdr:cNvCxnSpPr>
          <a:cxnSpLocks/>
          <a:stCxn id="351" idx="0"/>
          <a:endCxn id="358" idx="1"/>
        </xdr:cNvCxnSpPr>
      </xdr:nvCxnSpPr>
      <xdr:spPr>
        <a:xfrm rot="5400000" flipH="1" flipV="1">
          <a:off x="13642461" y="12390885"/>
          <a:ext cx="877773" cy="104093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477147</xdr:colOff>
      <xdr:row>67</xdr:row>
      <xdr:rowOff>73660</xdr:rowOff>
    </xdr:from>
    <xdr:to>
      <xdr:col>27</xdr:col>
      <xdr:colOff>74376</xdr:colOff>
      <xdr:row>68</xdr:row>
      <xdr:rowOff>120468</xdr:rowOff>
    </xdr:to>
    <xdr:sp macro="" textlink="">
      <xdr:nvSpPr>
        <xdr:cNvPr id="361" name="Isosceles Triangle 360">
          <a:extLst>
            <a:ext uri="{FF2B5EF4-FFF2-40B4-BE49-F238E27FC236}">
              <a16:creationId xmlns:a16="http://schemas.microsoft.com/office/drawing/2014/main" id="{57347E49-38AA-4B42-81B7-4D1CED2642CD}"/>
            </a:ext>
          </a:extLst>
        </xdr:cNvPr>
        <xdr:cNvSpPr/>
      </xdr:nvSpPr>
      <xdr:spPr>
        <a:xfrm rot="5400000">
          <a:off x="16315318" y="1233804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210902</xdr:colOff>
      <xdr:row>68</xdr:row>
      <xdr:rowOff>5624</xdr:rowOff>
    </xdr:from>
    <xdr:to>
      <xdr:col>26</xdr:col>
      <xdr:colOff>477148</xdr:colOff>
      <xdr:row>68</xdr:row>
      <xdr:rowOff>36626</xdr:rowOff>
    </xdr:to>
    <xdr:cxnSp macro="">
      <xdr:nvCxnSpPr>
        <xdr:cNvPr id="362" name="Connector: Elbow 351">
          <a:extLst>
            <a:ext uri="{FF2B5EF4-FFF2-40B4-BE49-F238E27FC236}">
              <a16:creationId xmlns:a16="http://schemas.microsoft.com/office/drawing/2014/main" id="{52417F8F-7A77-4519-98AA-1033A5F07247}"/>
            </a:ext>
          </a:extLst>
        </xdr:cNvPr>
        <xdr:cNvCxnSpPr>
          <a:cxnSpLocks/>
          <a:stCxn id="358" idx="3"/>
          <a:endCxn id="361" idx="3"/>
        </xdr:cNvCxnSpPr>
      </xdr:nvCxnSpPr>
      <xdr:spPr>
        <a:xfrm flipV="1">
          <a:off x="15450902" y="12441464"/>
          <a:ext cx="875846" cy="3100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81</xdr:row>
      <xdr:rowOff>26442</xdr:rowOff>
    </xdr:from>
    <xdr:to>
      <xdr:col>25</xdr:col>
      <xdr:colOff>179755</xdr:colOff>
      <xdr:row>83</xdr:row>
      <xdr:rowOff>165780</xdr:rowOff>
    </xdr:to>
    <xdr:sp macro="" textlink="">
      <xdr:nvSpPr>
        <xdr:cNvPr id="366" name="Rectangle: Rounded Corners 365">
          <a:extLst>
            <a:ext uri="{FF2B5EF4-FFF2-40B4-BE49-F238E27FC236}">
              <a16:creationId xmlns:a16="http://schemas.microsoft.com/office/drawing/2014/main" id="{443B1E71-17E6-4C6E-A3B2-95723F96D2DD}"/>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74</xdr:row>
      <xdr:rowOff>76199</xdr:rowOff>
    </xdr:from>
    <xdr:to>
      <xdr:col>23</xdr:col>
      <xdr:colOff>549869</xdr:colOff>
      <xdr:row>82</xdr:row>
      <xdr:rowOff>96111</xdr:rowOff>
    </xdr:to>
    <xdr:cxnSp macro="">
      <xdr:nvCxnSpPr>
        <xdr:cNvPr id="367" name="Connector: Elbow 366">
          <a:extLst>
            <a:ext uri="{FF2B5EF4-FFF2-40B4-BE49-F238E27FC236}">
              <a16:creationId xmlns:a16="http://schemas.microsoft.com/office/drawing/2014/main" id="{EB08D3E9-1CC1-4A4D-8765-06BEC0B5FCA3}"/>
            </a:ext>
          </a:extLst>
        </xdr:cNvPr>
        <xdr:cNvCxnSpPr>
          <a:stCxn id="351" idx="4"/>
          <a:endCxn id="366"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81</xdr:row>
      <xdr:rowOff>181655</xdr:rowOff>
    </xdr:from>
    <xdr:to>
      <xdr:col>27</xdr:col>
      <xdr:colOff>241664</xdr:colOff>
      <xdr:row>83</xdr:row>
      <xdr:rowOff>53203</xdr:rowOff>
    </xdr:to>
    <xdr:sp macro="" textlink="">
      <xdr:nvSpPr>
        <xdr:cNvPr id="368" name="Isosceles Triangle 367">
          <a:extLst>
            <a:ext uri="{FF2B5EF4-FFF2-40B4-BE49-F238E27FC236}">
              <a16:creationId xmlns:a16="http://schemas.microsoft.com/office/drawing/2014/main" id="{C8846639-7F57-47B4-9FD9-365B3D90A61E}"/>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82</xdr:row>
      <xdr:rowOff>96111</xdr:rowOff>
    </xdr:from>
    <xdr:to>
      <xdr:col>27</xdr:col>
      <xdr:colOff>34836</xdr:colOff>
      <xdr:row>82</xdr:row>
      <xdr:rowOff>117429</xdr:rowOff>
    </xdr:to>
    <xdr:cxnSp macro="">
      <xdr:nvCxnSpPr>
        <xdr:cNvPr id="369" name="Connector: Elbow 351">
          <a:extLst>
            <a:ext uri="{FF2B5EF4-FFF2-40B4-BE49-F238E27FC236}">
              <a16:creationId xmlns:a16="http://schemas.microsoft.com/office/drawing/2014/main" id="{D8FE9A95-056C-467E-8A35-B7F8F46E5217}"/>
            </a:ext>
          </a:extLst>
        </xdr:cNvPr>
        <xdr:cNvCxnSpPr>
          <a:stCxn id="366" idx="3"/>
          <a:endCxn id="368"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594904</xdr:colOff>
      <xdr:row>142</xdr:row>
      <xdr:rowOff>81643</xdr:rowOff>
    </xdr:from>
    <xdr:to>
      <xdr:col>15</xdr:col>
      <xdr:colOff>224790</xdr:colOff>
      <xdr:row>145</xdr:row>
      <xdr:rowOff>38100</xdr:rowOff>
    </xdr:to>
    <xdr:sp macro="" textlink="">
      <xdr:nvSpPr>
        <xdr:cNvPr id="444" name="Rectangle: Rounded Corners 443">
          <a:extLst>
            <a:ext uri="{FF2B5EF4-FFF2-40B4-BE49-F238E27FC236}">
              <a16:creationId xmlns:a16="http://schemas.microsoft.com/office/drawing/2014/main" id="{964D8340-2F47-40FB-AACB-6A053B139939}"/>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283573</xdr:colOff>
      <xdr:row>181</xdr:row>
      <xdr:rowOff>81099</xdr:rowOff>
    </xdr:from>
    <xdr:to>
      <xdr:col>15</xdr:col>
      <xdr:colOff>523059</xdr:colOff>
      <xdr:row>184</xdr:row>
      <xdr:rowOff>30480</xdr:rowOff>
    </xdr:to>
    <xdr:sp macro="" textlink="">
      <xdr:nvSpPr>
        <xdr:cNvPr id="445" name="Rectangle: Rounded Corners 444">
          <a:extLst>
            <a:ext uri="{FF2B5EF4-FFF2-40B4-BE49-F238E27FC236}">
              <a16:creationId xmlns:a16="http://schemas.microsoft.com/office/drawing/2014/main" id="{14A0884F-374F-43A7-A14D-4837A2B2DCA6}"/>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1</xdr:colOff>
      <xdr:row>143</xdr:row>
      <xdr:rowOff>151313</xdr:rowOff>
    </xdr:from>
    <xdr:to>
      <xdr:col>13</xdr:col>
      <xdr:colOff>594904</xdr:colOff>
      <xdr:row>149</xdr:row>
      <xdr:rowOff>100148</xdr:rowOff>
    </xdr:to>
    <xdr:cxnSp macro="">
      <xdr:nvCxnSpPr>
        <xdr:cNvPr id="446" name="Connector: Elbow 445">
          <a:extLst>
            <a:ext uri="{FF2B5EF4-FFF2-40B4-BE49-F238E27FC236}">
              <a16:creationId xmlns:a16="http://schemas.microsoft.com/office/drawing/2014/main" id="{B8DC9B74-DCEC-40C1-A98A-47D8A9A64F7E}"/>
            </a:ext>
          </a:extLst>
        </xdr:cNvPr>
        <xdr:cNvCxnSpPr>
          <a:stCxn id="448" idx="0"/>
          <a:endCxn id="444" idx="1"/>
        </xdr:cNvCxnSpPr>
      </xdr:nvCxnSpPr>
      <xdr:spPr>
        <a:xfrm rot="5400000" flipH="1" flipV="1">
          <a:off x="7699195" y="7692119"/>
          <a:ext cx="1046115" cy="5949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xdr:colOff>
      <xdr:row>150</xdr:row>
      <xdr:rowOff>176346</xdr:rowOff>
    </xdr:from>
    <xdr:to>
      <xdr:col>14</xdr:col>
      <xdr:colOff>283574</xdr:colOff>
      <xdr:row>182</xdr:row>
      <xdr:rowOff>147229</xdr:rowOff>
    </xdr:to>
    <xdr:cxnSp macro="">
      <xdr:nvCxnSpPr>
        <xdr:cNvPr id="447" name="Connector: Elbow 446">
          <a:extLst>
            <a:ext uri="{FF2B5EF4-FFF2-40B4-BE49-F238E27FC236}">
              <a16:creationId xmlns:a16="http://schemas.microsoft.com/office/drawing/2014/main" id="{F414BCC0-3B4E-4784-9F6F-6DA13329020C}"/>
            </a:ext>
          </a:extLst>
        </xdr:cNvPr>
        <xdr:cNvCxnSpPr>
          <a:stCxn id="448" idx="4"/>
          <a:endCxn id="445" idx="1"/>
        </xdr:cNvCxnSpPr>
      </xdr:nvCxnSpPr>
      <xdr:spPr>
        <a:xfrm rot="16200000" flipH="1">
          <a:off x="5459866" y="11236642"/>
          <a:ext cx="5823043" cy="893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451758</xdr:colOff>
      <xdr:row>149</xdr:row>
      <xdr:rowOff>100147</xdr:rowOff>
    </xdr:from>
    <xdr:to>
      <xdr:col>13</xdr:col>
      <xdr:colOff>157843</xdr:colOff>
      <xdr:row>150</xdr:row>
      <xdr:rowOff>176347</xdr:rowOff>
    </xdr:to>
    <xdr:sp macro="" textlink="">
      <xdr:nvSpPr>
        <xdr:cNvPr id="448" name="Oval 447">
          <a:extLst>
            <a:ext uri="{FF2B5EF4-FFF2-40B4-BE49-F238E27FC236}">
              <a16:creationId xmlns:a16="http://schemas.microsoft.com/office/drawing/2014/main" id="{2863E5DF-26F8-4DBB-9687-5B7C82A0B98F}"/>
            </a:ext>
          </a:extLst>
        </xdr:cNvPr>
        <xdr:cNvSpPr/>
      </xdr:nvSpPr>
      <xdr:spPr>
        <a:xfrm>
          <a:off x="7766958" y="85126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523059</xdr:colOff>
      <xdr:row>182</xdr:row>
      <xdr:rowOff>147230</xdr:rowOff>
    </xdr:from>
    <xdr:to>
      <xdr:col>17</xdr:col>
      <xdr:colOff>516528</xdr:colOff>
      <xdr:row>182</xdr:row>
      <xdr:rowOff>166551</xdr:rowOff>
    </xdr:to>
    <xdr:cxnSp macro="">
      <xdr:nvCxnSpPr>
        <xdr:cNvPr id="449" name="Connector: Elbow 351">
          <a:extLst>
            <a:ext uri="{FF2B5EF4-FFF2-40B4-BE49-F238E27FC236}">
              <a16:creationId xmlns:a16="http://schemas.microsoft.com/office/drawing/2014/main" id="{4E219D56-0F7D-4488-A7ED-506827866905}"/>
            </a:ext>
          </a:extLst>
        </xdr:cNvPr>
        <xdr:cNvCxnSpPr>
          <a:cxnSpLocks/>
          <a:stCxn id="445" idx="3"/>
          <a:endCxn id="487"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141514</xdr:colOff>
      <xdr:row>125</xdr:row>
      <xdr:rowOff>57150</xdr:rowOff>
    </xdr:from>
    <xdr:to>
      <xdr:col>18</xdr:col>
      <xdr:colOff>381000</xdr:colOff>
      <xdr:row>128</xdr:row>
      <xdr:rowOff>8164</xdr:rowOff>
    </xdr:to>
    <xdr:sp macro="" textlink="">
      <xdr:nvSpPr>
        <xdr:cNvPr id="450" name="Rectangle: Rounded Corners 449">
          <a:extLst>
            <a:ext uri="{FF2B5EF4-FFF2-40B4-BE49-F238E27FC236}">
              <a16:creationId xmlns:a16="http://schemas.microsoft.com/office/drawing/2014/main" id="{B98862E1-8892-4963-AC1C-E68CFCEE30F9}"/>
            </a:ext>
          </a:extLst>
        </xdr:cNvPr>
        <xdr:cNvSpPr/>
      </xdr:nvSpPr>
      <xdr:spPr>
        <a:xfrm>
          <a:off x="10504714" y="40805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547042</xdr:colOff>
      <xdr:row>140</xdr:row>
      <xdr:rowOff>144797</xdr:rowOff>
    </xdr:from>
    <xdr:to>
      <xdr:col>19</xdr:col>
      <xdr:colOff>176928</xdr:colOff>
      <xdr:row>143</xdr:row>
      <xdr:rowOff>95110</xdr:rowOff>
    </xdr:to>
    <xdr:sp macro="" textlink="">
      <xdr:nvSpPr>
        <xdr:cNvPr id="451" name="Rectangle: Rounded Corners 450">
          <a:extLst>
            <a:ext uri="{FF2B5EF4-FFF2-40B4-BE49-F238E27FC236}">
              <a16:creationId xmlns:a16="http://schemas.microsoft.com/office/drawing/2014/main" id="{9F041E18-77B0-46A9-9BA4-B744E85B4D6B}"/>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17</xdr:col>
      <xdr:colOff>487136</xdr:colOff>
      <xdr:row>149</xdr:row>
      <xdr:rowOff>127907</xdr:rowOff>
    </xdr:from>
    <xdr:to>
      <xdr:col>19</xdr:col>
      <xdr:colOff>117022</xdr:colOff>
      <xdr:row>152</xdr:row>
      <xdr:rowOff>78922</xdr:rowOff>
    </xdr:to>
    <xdr:sp macro="" textlink="">
      <xdr:nvSpPr>
        <xdr:cNvPr id="452" name="Rectangle: Rounded Corners 451">
          <a:extLst>
            <a:ext uri="{FF2B5EF4-FFF2-40B4-BE49-F238E27FC236}">
              <a16:creationId xmlns:a16="http://schemas.microsoft.com/office/drawing/2014/main" id="{76155F26-3D4A-43AB-B9BD-CC5182BC46AB}"/>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13608</xdr:colOff>
      <xdr:row>143</xdr:row>
      <xdr:rowOff>21771</xdr:rowOff>
    </xdr:from>
    <xdr:to>
      <xdr:col>16</xdr:col>
      <xdr:colOff>329293</xdr:colOff>
      <xdr:row>144</xdr:row>
      <xdr:rowOff>97970</xdr:rowOff>
    </xdr:to>
    <xdr:sp macro="" textlink="">
      <xdr:nvSpPr>
        <xdr:cNvPr id="453" name="Oval 452">
          <a:extLst>
            <a:ext uri="{FF2B5EF4-FFF2-40B4-BE49-F238E27FC236}">
              <a16:creationId xmlns:a16="http://schemas.microsoft.com/office/drawing/2014/main" id="{A4ECCA21-4D2E-402A-A95E-8B98A9D2CAB7}"/>
            </a:ext>
          </a:extLst>
        </xdr:cNvPr>
        <xdr:cNvSpPr/>
      </xdr:nvSpPr>
      <xdr:spPr>
        <a:xfrm>
          <a:off x="9767208" y="733697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224790</xdr:colOff>
      <xdr:row>143</xdr:row>
      <xdr:rowOff>151311</xdr:rowOff>
    </xdr:from>
    <xdr:to>
      <xdr:col>16</xdr:col>
      <xdr:colOff>13608</xdr:colOff>
      <xdr:row>143</xdr:row>
      <xdr:rowOff>151312</xdr:rowOff>
    </xdr:to>
    <xdr:cxnSp macro="">
      <xdr:nvCxnSpPr>
        <xdr:cNvPr id="454" name="Connector: Elbow 42">
          <a:extLst>
            <a:ext uri="{FF2B5EF4-FFF2-40B4-BE49-F238E27FC236}">
              <a16:creationId xmlns:a16="http://schemas.microsoft.com/office/drawing/2014/main" id="{E6794EE7-82EF-4BD9-BF88-D8B47CC4DEA9}"/>
            </a:ext>
          </a:extLst>
        </xdr:cNvPr>
        <xdr:cNvCxnSpPr>
          <a:cxnSpLocks/>
          <a:stCxn id="444" idx="3"/>
          <a:endCxn id="453"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126</xdr:row>
      <xdr:rowOff>127908</xdr:rowOff>
    </xdr:from>
    <xdr:to>
      <xdr:col>17</xdr:col>
      <xdr:colOff>141513</xdr:colOff>
      <xdr:row>143</xdr:row>
      <xdr:rowOff>21772</xdr:rowOff>
    </xdr:to>
    <xdr:cxnSp macro="">
      <xdr:nvCxnSpPr>
        <xdr:cNvPr id="455" name="Connector: Elbow 454">
          <a:extLst>
            <a:ext uri="{FF2B5EF4-FFF2-40B4-BE49-F238E27FC236}">
              <a16:creationId xmlns:a16="http://schemas.microsoft.com/office/drawing/2014/main" id="{96282B71-F27A-4279-A3C3-CB7AF6368227}"/>
            </a:ext>
          </a:extLst>
        </xdr:cNvPr>
        <xdr:cNvCxnSpPr>
          <a:stCxn id="453" idx="0"/>
          <a:endCxn id="450" idx="1"/>
        </xdr:cNvCxnSpPr>
      </xdr:nvCxnSpPr>
      <xdr:spPr>
        <a:xfrm rot="5400000" flipH="1" flipV="1">
          <a:off x="8713470" y="5545728"/>
          <a:ext cx="300282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329293</xdr:colOff>
      <xdr:row>142</xdr:row>
      <xdr:rowOff>28514</xdr:rowOff>
    </xdr:from>
    <xdr:to>
      <xdr:col>17</xdr:col>
      <xdr:colOff>547042</xdr:colOff>
      <xdr:row>143</xdr:row>
      <xdr:rowOff>151311</xdr:rowOff>
    </xdr:to>
    <xdr:cxnSp macro="">
      <xdr:nvCxnSpPr>
        <xdr:cNvPr id="456" name="Connector: Elbow 455">
          <a:extLst>
            <a:ext uri="{FF2B5EF4-FFF2-40B4-BE49-F238E27FC236}">
              <a16:creationId xmlns:a16="http://schemas.microsoft.com/office/drawing/2014/main" id="{6924839C-2EA5-4DFE-8358-8F85B7E3411E}"/>
            </a:ext>
          </a:extLst>
        </xdr:cNvPr>
        <xdr:cNvCxnSpPr>
          <a:stCxn id="453" idx="6"/>
          <a:endCxn id="451"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171451</xdr:colOff>
      <xdr:row>144</xdr:row>
      <xdr:rowOff>97969</xdr:rowOff>
    </xdr:from>
    <xdr:to>
      <xdr:col>17</xdr:col>
      <xdr:colOff>487136</xdr:colOff>
      <xdr:row>151</xdr:row>
      <xdr:rowOff>8164</xdr:rowOff>
    </xdr:to>
    <xdr:cxnSp macro="">
      <xdr:nvCxnSpPr>
        <xdr:cNvPr id="457" name="Connector: Elbow 456">
          <a:extLst>
            <a:ext uri="{FF2B5EF4-FFF2-40B4-BE49-F238E27FC236}">
              <a16:creationId xmlns:a16="http://schemas.microsoft.com/office/drawing/2014/main" id="{FD8BEF1E-CA49-4740-8779-CBC1C359BA1C}"/>
            </a:ext>
          </a:extLst>
        </xdr:cNvPr>
        <xdr:cNvCxnSpPr>
          <a:stCxn id="453" idx="4"/>
          <a:endCxn id="452" idx="1"/>
        </xdr:cNvCxnSpPr>
      </xdr:nvCxnSpPr>
      <xdr:spPr>
        <a:xfrm rot="16200000" flipH="1">
          <a:off x="9792516" y="7728584"/>
          <a:ext cx="119035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103415</xdr:colOff>
      <xdr:row>150</xdr:row>
      <xdr:rowOff>76206</xdr:rowOff>
    </xdr:from>
    <xdr:to>
      <xdr:col>20</xdr:col>
      <xdr:colOff>310244</xdr:colOff>
      <xdr:row>151</xdr:row>
      <xdr:rowOff>130634</xdr:rowOff>
    </xdr:to>
    <xdr:sp macro="" textlink="">
      <xdr:nvSpPr>
        <xdr:cNvPr id="458" name="Isosceles Triangle 457">
          <a:extLst>
            <a:ext uri="{FF2B5EF4-FFF2-40B4-BE49-F238E27FC236}">
              <a16:creationId xmlns:a16="http://schemas.microsoft.com/office/drawing/2014/main" id="{515DE2CE-389A-4DD2-9AD4-ABA3D55105D3}"/>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117022</xdr:colOff>
      <xdr:row>151</xdr:row>
      <xdr:rowOff>8165</xdr:rowOff>
    </xdr:from>
    <xdr:to>
      <xdr:col>20</xdr:col>
      <xdr:colOff>103416</xdr:colOff>
      <xdr:row>151</xdr:row>
      <xdr:rowOff>8170</xdr:rowOff>
    </xdr:to>
    <xdr:cxnSp macro="">
      <xdr:nvCxnSpPr>
        <xdr:cNvPr id="459" name="Connector: Elbow 351">
          <a:extLst>
            <a:ext uri="{FF2B5EF4-FFF2-40B4-BE49-F238E27FC236}">
              <a16:creationId xmlns:a16="http://schemas.microsoft.com/office/drawing/2014/main" id="{BD9E792E-6115-4212-8BF2-398145D6DB9B}"/>
            </a:ext>
          </a:extLst>
        </xdr:cNvPr>
        <xdr:cNvCxnSpPr>
          <a:stCxn id="452" idx="3"/>
          <a:endCxn id="458"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293546</xdr:colOff>
      <xdr:row>141</xdr:row>
      <xdr:rowOff>74114</xdr:rowOff>
    </xdr:from>
    <xdr:to>
      <xdr:col>20</xdr:col>
      <xdr:colOff>500375</xdr:colOff>
      <xdr:row>142</xdr:row>
      <xdr:rowOff>134687</xdr:rowOff>
    </xdr:to>
    <xdr:sp macro="" textlink="">
      <xdr:nvSpPr>
        <xdr:cNvPr id="460" name="Isosceles Triangle 459">
          <a:extLst>
            <a:ext uri="{FF2B5EF4-FFF2-40B4-BE49-F238E27FC236}">
              <a16:creationId xmlns:a16="http://schemas.microsoft.com/office/drawing/2014/main" id="{A556AEFA-96AA-4737-8375-44A249403DF8}"/>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176928</xdr:colOff>
      <xdr:row>142</xdr:row>
      <xdr:rowOff>12961</xdr:rowOff>
    </xdr:from>
    <xdr:to>
      <xdr:col>20</xdr:col>
      <xdr:colOff>293546</xdr:colOff>
      <xdr:row>142</xdr:row>
      <xdr:rowOff>28514</xdr:rowOff>
    </xdr:to>
    <xdr:cxnSp macro="">
      <xdr:nvCxnSpPr>
        <xdr:cNvPr id="461" name="Connector: Elbow 351">
          <a:extLst>
            <a:ext uri="{FF2B5EF4-FFF2-40B4-BE49-F238E27FC236}">
              <a16:creationId xmlns:a16="http://schemas.microsoft.com/office/drawing/2014/main" id="{BAA9E9E6-FEC8-41EC-99A4-A9CB9A331B33}"/>
            </a:ext>
          </a:extLst>
        </xdr:cNvPr>
        <xdr:cNvCxnSpPr>
          <a:stCxn id="451" idx="3"/>
          <a:endCxn id="460"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480604</xdr:colOff>
      <xdr:row>116</xdr:row>
      <xdr:rowOff>171450</xdr:rowOff>
    </xdr:from>
    <xdr:to>
      <xdr:col>23</xdr:col>
      <xdr:colOff>110490</xdr:colOff>
      <xdr:row>119</xdr:row>
      <xdr:rowOff>130084</xdr:rowOff>
    </xdr:to>
    <xdr:sp macro="" textlink="">
      <xdr:nvSpPr>
        <xdr:cNvPr id="462" name="Rectangle: Rounded Corners 461">
          <a:extLst>
            <a:ext uri="{FF2B5EF4-FFF2-40B4-BE49-F238E27FC236}">
              <a16:creationId xmlns:a16="http://schemas.microsoft.com/office/drawing/2014/main" id="{40FC770E-229A-4D59-9CCC-70B9D3F10E2B}"/>
            </a:ext>
          </a:extLst>
        </xdr:cNvPr>
        <xdr:cNvSpPr/>
      </xdr:nvSpPr>
      <xdr:spPr>
        <a:xfrm>
          <a:off x="13282204" y="2548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22</xdr:col>
      <xdr:colOff>62189</xdr:colOff>
      <xdr:row>124</xdr:row>
      <xdr:rowOff>56922</xdr:rowOff>
    </xdr:from>
    <xdr:to>
      <xdr:col>23</xdr:col>
      <xdr:colOff>301675</xdr:colOff>
      <xdr:row>127</xdr:row>
      <xdr:rowOff>13380</xdr:rowOff>
    </xdr:to>
    <xdr:sp macro="" textlink="">
      <xdr:nvSpPr>
        <xdr:cNvPr id="463" name="Rectangle: Rounded Corners 462">
          <a:extLst>
            <a:ext uri="{FF2B5EF4-FFF2-40B4-BE49-F238E27FC236}">
              <a16:creationId xmlns:a16="http://schemas.microsoft.com/office/drawing/2014/main" id="{B646B775-A427-4297-95CA-A1BE9172A363}"/>
            </a:ext>
          </a:extLst>
        </xdr:cNvPr>
        <xdr:cNvSpPr/>
      </xdr:nvSpPr>
      <xdr:spPr>
        <a:xfrm>
          <a:off x="13473389" y="2273404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19</xdr:col>
      <xdr:colOff>601436</xdr:colOff>
      <xdr:row>126</xdr:row>
      <xdr:rowOff>-1</xdr:rowOff>
    </xdr:from>
    <xdr:to>
      <xdr:col>20</xdr:col>
      <xdr:colOff>307521</xdr:colOff>
      <xdr:row>127</xdr:row>
      <xdr:rowOff>76199</xdr:rowOff>
    </xdr:to>
    <xdr:sp macro="" textlink="">
      <xdr:nvSpPr>
        <xdr:cNvPr id="464" name="Oval 463">
          <a:extLst>
            <a:ext uri="{FF2B5EF4-FFF2-40B4-BE49-F238E27FC236}">
              <a16:creationId xmlns:a16="http://schemas.microsoft.com/office/drawing/2014/main" id="{BF86530D-C497-4616-BF37-BBF44486D3FE}"/>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381000</xdr:colOff>
      <xdr:row>126</xdr:row>
      <xdr:rowOff>127907</xdr:rowOff>
    </xdr:from>
    <xdr:to>
      <xdr:col>19</xdr:col>
      <xdr:colOff>601436</xdr:colOff>
      <xdr:row>126</xdr:row>
      <xdr:rowOff>133349</xdr:rowOff>
    </xdr:to>
    <xdr:cxnSp macro="">
      <xdr:nvCxnSpPr>
        <xdr:cNvPr id="465" name="Connector: Elbow 42">
          <a:extLst>
            <a:ext uri="{FF2B5EF4-FFF2-40B4-BE49-F238E27FC236}">
              <a16:creationId xmlns:a16="http://schemas.microsoft.com/office/drawing/2014/main" id="{51F703E3-22FA-4ACF-90F5-E839FE09E736}"/>
            </a:ext>
          </a:extLst>
        </xdr:cNvPr>
        <xdr:cNvCxnSpPr>
          <a:cxnSpLocks/>
          <a:stCxn id="450" idx="3"/>
          <a:endCxn id="464" idx="2"/>
        </xdr:cNvCxnSpPr>
      </xdr:nvCxnSpPr>
      <xdr:spPr>
        <a:xfrm>
          <a:off x="11353800" y="433414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149678</xdr:colOff>
      <xdr:row>118</xdr:row>
      <xdr:rowOff>59328</xdr:rowOff>
    </xdr:from>
    <xdr:to>
      <xdr:col>21</xdr:col>
      <xdr:colOff>480603</xdr:colOff>
      <xdr:row>126</xdr:row>
      <xdr:rowOff>0</xdr:rowOff>
    </xdr:to>
    <xdr:cxnSp macro="">
      <xdr:nvCxnSpPr>
        <xdr:cNvPr id="466" name="Connector: Elbow 465">
          <a:extLst>
            <a:ext uri="{FF2B5EF4-FFF2-40B4-BE49-F238E27FC236}">
              <a16:creationId xmlns:a16="http://schemas.microsoft.com/office/drawing/2014/main" id="{52FD146C-C208-408E-8974-8929F0F40135}"/>
            </a:ext>
          </a:extLst>
        </xdr:cNvPr>
        <xdr:cNvCxnSpPr>
          <a:stCxn id="464" idx="0"/>
          <a:endCxn id="462"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307521</xdr:colOff>
      <xdr:row>125</xdr:row>
      <xdr:rowOff>126591</xdr:rowOff>
    </xdr:from>
    <xdr:to>
      <xdr:col>22</xdr:col>
      <xdr:colOff>62189</xdr:colOff>
      <xdr:row>126</xdr:row>
      <xdr:rowOff>129539</xdr:rowOff>
    </xdr:to>
    <xdr:cxnSp macro="">
      <xdr:nvCxnSpPr>
        <xdr:cNvPr id="467" name="Connector: Elbow 466">
          <a:extLst>
            <a:ext uri="{FF2B5EF4-FFF2-40B4-BE49-F238E27FC236}">
              <a16:creationId xmlns:a16="http://schemas.microsoft.com/office/drawing/2014/main" id="{8F2DC60E-A44A-4E8D-985D-4E13F30DA42B}"/>
            </a:ext>
          </a:extLst>
        </xdr:cNvPr>
        <xdr:cNvCxnSpPr>
          <a:stCxn id="464" idx="6"/>
          <a:endCxn id="463" idx="1"/>
        </xdr:cNvCxnSpPr>
      </xdr:nvCxnSpPr>
      <xdr:spPr>
        <a:xfrm flipV="1">
          <a:off x="12499521" y="22986591"/>
          <a:ext cx="973868" cy="185828"/>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507275</xdr:colOff>
      <xdr:row>125</xdr:row>
      <xdr:rowOff>14017</xdr:rowOff>
    </xdr:from>
    <xdr:to>
      <xdr:col>25</xdr:col>
      <xdr:colOff>104504</xdr:colOff>
      <xdr:row>126</xdr:row>
      <xdr:rowOff>68445</xdr:rowOff>
    </xdr:to>
    <xdr:sp macro="" textlink="">
      <xdr:nvSpPr>
        <xdr:cNvPr id="468" name="Isosceles Triangle 467">
          <a:extLst>
            <a:ext uri="{FF2B5EF4-FFF2-40B4-BE49-F238E27FC236}">
              <a16:creationId xmlns:a16="http://schemas.microsoft.com/office/drawing/2014/main" id="{15E1007E-F1D7-404E-AD0F-27A48CC016A6}"/>
            </a:ext>
          </a:extLst>
        </xdr:cNvPr>
        <xdr:cNvSpPr/>
      </xdr:nvSpPr>
      <xdr:spPr>
        <a:xfrm rot="5400000">
          <a:off x="15122436" y="22889256"/>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301675</xdr:colOff>
      <xdr:row>125</xdr:row>
      <xdr:rowOff>126591</xdr:rowOff>
    </xdr:from>
    <xdr:to>
      <xdr:col>24</xdr:col>
      <xdr:colOff>507276</xdr:colOff>
      <xdr:row>125</xdr:row>
      <xdr:rowOff>132671</xdr:rowOff>
    </xdr:to>
    <xdr:cxnSp macro="">
      <xdr:nvCxnSpPr>
        <xdr:cNvPr id="469" name="Connector: Elbow 351">
          <a:extLst>
            <a:ext uri="{FF2B5EF4-FFF2-40B4-BE49-F238E27FC236}">
              <a16:creationId xmlns:a16="http://schemas.microsoft.com/office/drawing/2014/main" id="{A2EE5C8C-8A5A-41B9-849D-E9C2043406FA}"/>
            </a:ext>
          </a:extLst>
        </xdr:cNvPr>
        <xdr:cNvCxnSpPr>
          <a:stCxn id="463" idx="3"/>
          <a:endCxn id="468" idx="3"/>
        </xdr:cNvCxnSpPr>
      </xdr:nvCxnSpPr>
      <xdr:spPr>
        <a:xfrm>
          <a:off x="14322475" y="22986591"/>
          <a:ext cx="815201" cy="608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110490</xdr:colOff>
      <xdr:row>118</xdr:row>
      <xdr:rowOff>59327</xdr:rowOff>
    </xdr:from>
    <xdr:to>
      <xdr:col>24</xdr:col>
      <xdr:colOff>400948</xdr:colOff>
      <xdr:row>118</xdr:row>
      <xdr:rowOff>81824</xdr:rowOff>
    </xdr:to>
    <xdr:cxnSp macro="">
      <xdr:nvCxnSpPr>
        <xdr:cNvPr id="476" name="Connector: Elbow 42">
          <a:extLst>
            <a:ext uri="{FF2B5EF4-FFF2-40B4-BE49-F238E27FC236}">
              <a16:creationId xmlns:a16="http://schemas.microsoft.com/office/drawing/2014/main" id="{6C385030-FF60-406E-A714-90084F238826}"/>
            </a:ext>
          </a:extLst>
        </xdr:cNvPr>
        <xdr:cNvCxnSpPr>
          <a:cxnSpLocks/>
          <a:stCxn id="462" idx="3"/>
          <a:endCxn id="483"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549869</xdr:colOff>
      <xdr:row>134</xdr:row>
      <xdr:rowOff>26442</xdr:rowOff>
    </xdr:from>
    <xdr:to>
      <xdr:col>23</xdr:col>
      <xdr:colOff>179755</xdr:colOff>
      <xdr:row>136</xdr:row>
      <xdr:rowOff>165780</xdr:rowOff>
    </xdr:to>
    <xdr:sp macro="" textlink="">
      <xdr:nvSpPr>
        <xdr:cNvPr id="479" name="Rectangle: Rounded Corners 478">
          <a:extLst>
            <a:ext uri="{FF2B5EF4-FFF2-40B4-BE49-F238E27FC236}">
              <a16:creationId xmlns:a16="http://schemas.microsoft.com/office/drawing/2014/main" id="{D3AEB2D7-7B70-47EF-B936-0D0656D77994}"/>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20</xdr:col>
      <xdr:colOff>149679</xdr:colOff>
      <xdr:row>127</xdr:row>
      <xdr:rowOff>76199</xdr:rowOff>
    </xdr:from>
    <xdr:to>
      <xdr:col>21</xdr:col>
      <xdr:colOff>549869</xdr:colOff>
      <xdr:row>135</xdr:row>
      <xdr:rowOff>96111</xdr:rowOff>
    </xdr:to>
    <xdr:cxnSp macro="">
      <xdr:nvCxnSpPr>
        <xdr:cNvPr id="480" name="Connector: Elbow 479">
          <a:extLst>
            <a:ext uri="{FF2B5EF4-FFF2-40B4-BE49-F238E27FC236}">
              <a16:creationId xmlns:a16="http://schemas.microsoft.com/office/drawing/2014/main" id="{19DB3E78-BF93-4F48-9F2A-B5252E5AD343}"/>
            </a:ext>
          </a:extLst>
        </xdr:cNvPr>
        <xdr:cNvCxnSpPr>
          <a:stCxn id="464" idx="4"/>
          <a:endCxn id="479"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34835</xdr:colOff>
      <xdr:row>134</xdr:row>
      <xdr:rowOff>181655</xdr:rowOff>
    </xdr:from>
    <xdr:to>
      <xdr:col>25</xdr:col>
      <xdr:colOff>241664</xdr:colOff>
      <xdr:row>136</xdr:row>
      <xdr:rowOff>53203</xdr:rowOff>
    </xdr:to>
    <xdr:sp macro="" textlink="">
      <xdr:nvSpPr>
        <xdr:cNvPr id="481" name="Isosceles Triangle 480">
          <a:extLst>
            <a:ext uri="{FF2B5EF4-FFF2-40B4-BE49-F238E27FC236}">
              <a16:creationId xmlns:a16="http://schemas.microsoft.com/office/drawing/2014/main" id="{C08CDE44-432B-4E2F-8C1F-69DCFEC693EF}"/>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179755</xdr:colOff>
      <xdr:row>135</xdr:row>
      <xdr:rowOff>96111</xdr:rowOff>
    </xdr:from>
    <xdr:to>
      <xdr:col>25</xdr:col>
      <xdr:colOff>34836</xdr:colOff>
      <xdr:row>135</xdr:row>
      <xdr:rowOff>117429</xdr:rowOff>
    </xdr:to>
    <xdr:cxnSp macro="">
      <xdr:nvCxnSpPr>
        <xdr:cNvPr id="482" name="Connector: Elbow 351">
          <a:extLst>
            <a:ext uri="{FF2B5EF4-FFF2-40B4-BE49-F238E27FC236}">
              <a16:creationId xmlns:a16="http://schemas.microsoft.com/office/drawing/2014/main" id="{A6AEE041-13A9-4910-A245-E7CD86E7A1C9}"/>
            </a:ext>
          </a:extLst>
        </xdr:cNvPr>
        <xdr:cNvCxnSpPr>
          <a:stCxn id="479" idx="3"/>
          <a:endCxn id="481"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400947</xdr:colOff>
      <xdr:row>117</xdr:row>
      <xdr:rowOff>149860</xdr:rowOff>
    </xdr:from>
    <xdr:to>
      <xdr:col>24</xdr:col>
      <xdr:colOff>607776</xdr:colOff>
      <xdr:row>119</xdr:row>
      <xdr:rowOff>13788</xdr:rowOff>
    </xdr:to>
    <xdr:sp macro="" textlink="">
      <xdr:nvSpPr>
        <xdr:cNvPr id="483" name="Isosceles Triangle 482">
          <a:extLst>
            <a:ext uri="{FF2B5EF4-FFF2-40B4-BE49-F238E27FC236}">
              <a16:creationId xmlns:a16="http://schemas.microsoft.com/office/drawing/2014/main" id="{F7488CAD-D23D-4139-B86F-6BCD0FEC4C83}"/>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385354</xdr:colOff>
      <xdr:row>175</xdr:row>
      <xdr:rowOff>26670</xdr:rowOff>
    </xdr:from>
    <xdr:to>
      <xdr:col>21</xdr:col>
      <xdr:colOff>15240</xdr:colOff>
      <xdr:row>177</xdr:row>
      <xdr:rowOff>160564</xdr:rowOff>
    </xdr:to>
    <xdr:sp macro="" textlink="">
      <xdr:nvSpPr>
        <xdr:cNvPr id="484" name="Rectangle: Rounded Corners 483">
          <a:extLst>
            <a:ext uri="{FF2B5EF4-FFF2-40B4-BE49-F238E27FC236}">
              <a16:creationId xmlns:a16="http://schemas.microsoft.com/office/drawing/2014/main" id="{3AA45C56-EEBC-4D89-B814-14DCF4452B87}"/>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19</xdr:col>
      <xdr:colOff>547042</xdr:colOff>
      <xdr:row>190</xdr:row>
      <xdr:rowOff>144797</xdr:rowOff>
    </xdr:from>
    <xdr:to>
      <xdr:col>21</xdr:col>
      <xdr:colOff>176928</xdr:colOff>
      <xdr:row>193</xdr:row>
      <xdr:rowOff>95110</xdr:rowOff>
    </xdr:to>
    <xdr:sp macro="" textlink="">
      <xdr:nvSpPr>
        <xdr:cNvPr id="485" name="Rectangle: Rounded Corners 484">
          <a:extLst>
            <a:ext uri="{FF2B5EF4-FFF2-40B4-BE49-F238E27FC236}">
              <a16:creationId xmlns:a16="http://schemas.microsoft.com/office/drawing/2014/main" id="{6FF6F6C0-2DE6-481B-B647-021954297C01}"/>
            </a:ext>
          </a:extLst>
        </xdr:cNvPr>
        <xdr:cNvSpPr/>
      </xdr:nvSpPr>
      <xdr:spPr>
        <a:xfrm>
          <a:off x="12129442" y="16055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199</xdr:row>
      <xdr:rowOff>127907</xdr:rowOff>
    </xdr:from>
    <xdr:to>
      <xdr:col>21</xdr:col>
      <xdr:colOff>117022</xdr:colOff>
      <xdr:row>202</xdr:row>
      <xdr:rowOff>78922</xdr:rowOff>
    </xdr:to>
    <xdr:sp macro="" textlink="">
      <xdr:nvSpPr>
        <xdr:cNvPr id="486" name="Rectangle: Rounded Corners 485">
          <a:extLst>
            <a:ext uri="{FF2B5EF4-FFF2-40B4-BE49-F238E27FC236}">
              <a16:creationId xmlns:a16="http://schemas.microsoft.com/office/drawing/2014/main" id="{97455CBF-2EDC-4E5D-9174-96896F09DB4B}"/>
            </a:ext>
          </a:extLst>
        </xdr:cNvPr>
        <xdr:cNvSpPr/>
      </xdr:nvSpPr>
      <xdr:spPr>
        <a:xfrm>
          <a:off x="12069536" y="17684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17</xdr:col>
      <xdr:colOff>516528</xdr:colOff>
      <xdr:row>182</xdr:row>
      <xdr:rowOff>37011</xdr:rowOff>
    </xdr:from>
    <xdr:to>
      <xdr:col>18</xdr:col>
      <xdr:colOff>222613</xdr:colOff>
      <xdr:row>183</xdr:row>
      <xdr:rowOff>113210</xdr:rowOff>
    </xdr:to>
    <xdr:sp macro="" textlink="">
      <xdr:nvSpPr>
        <xdr:cNvPr id="487" name="Oval 486">
          <a:extLst>
            <a:ext uri="{FF2B5EF4-FFF2-40B4-BE49-F238E27FC236}">
              <a16:creationId xmlns:a16="http://schemas.microsoft.com/office/drawing/2014/main" id="{B213D4CD-E588-4B1C-833D-532D83DB1E45}"/>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64770</xdr:colOff>
      <xdr:row>176</xdr:row>
      <xdr:rowOff>93618</xdr:rowOff>
    </xdr:from>
    <xdr:to>
      <xdr:col>19</xdr:col>
      <xdr:colOff>385353</xdr:colOff>
      <xdr:row>182</xdr:row>
      <xdr:rowOff>37012</xdr:rowOff>
    </xdr:to>
    <xdr:cxnSp macro="">
      <xdr:nvCxnSpPr>
        <xdr:cNvPr id="488" name="Connector: Elbow 487">
          <a:extLst>
            <a:ext uri="{FF2B5EF4-FFF2-40B4-BE49-F238E27FC236}">
              <a16:creationId xmlns:a16="http://schemas.microsoft.com/office/drawing/2014/main" id="{999EFF44-D808-42DE-A244-B3443D020A58}"/>
            </a:ext>
          </a:extLst>
        </xdr:cNvPr>
        <xdr:cNvCxnSpPr>
          <a:cxnSpLocks/>
          <a:stCxn id="487" idx="0"/>
          <a:endCxn id="484"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222613</xdr:colOff>
      <xdr:row>182</xdr:row>
      <xdr:rowOff>166551</xdr:rowOff>
    </xdr:from>
    <xdr:to>
      <xdr:col>19</xdr:col>
      <xdr:colOff>547042</xdr:colOff>
      <xdr:row>192</xdr:row>
      <xdr:rowOff>28514</xdr:rowOff>
    </xdr:to>
    <xdr:cxnSp macro="">
      <xdr:nvCxnSpPr>
        <xdr:cNvPr id="489" name="Connector: Elbow 488">
          <a:extLst>
            <a:ext uri="{FF2B5EF4-FFF2-40B4-BE49-F238E27FC236}">
              <a16:creationId xmlns:a16="http://schemas.microsoft.com/office/drawing/2014/main" id="{250CD421-6851-4058-AD2E-97C1D41CADA3}"/>
            </a:ext>
          </a:extLst>
        </xdr:cNvPr>
        <xdr:cNvCxnSpPr>
          <a:stCxn id="487" idx="6"/>
          <a:endCxn id="485"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64771</xdr:colOff>
      <xdr:row>183</xdr:row>
      <xdr:rowOff>113209</xdr:rowOff>
    </xdr:from>
    <xdr:to>
      <xdr:col>19</xdr:col>
      <xdr:colOff>487136</xdr:colOff>
      <xdr:row>201</xdr:row>
      <xdr:rowOff>11974</xdr:rowOff>
    </xdr:to>
    <xdr:cxnSp macro="">
      <xdr:nvCxnSpPr>
        <xdr:cNvPr id="490" name="Connector: Elbow 489">
          <a:extLst>
            <a:ext uri="{FF2B5EF4-FFF2-40B4-BE49-F238E27FC236}">
              <a16:creationId xmlns:a16="http://schemas.microsoft.com/office/drawing/2014/main" id="{DA3802A1-599A-42BD-ABB6-C805CEDB7851}"/>
            </a:ext>
          </a:extLst>
        </xdr:cNvPr>
        <xdr:cNvCxnSpPr>
          <a:stCxn id="487" idx="4"/>
          <a:endCxn id="486"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200</xdr:row>
      <xdr:rowOff>76206</xdr:rowOff>
    </xdr:from>
    <xdr:to>
      <xdr:col>22</xdr:col>
      <xdr:colOff>310244</xdr:colOff>
      <xdr:row>201</xdr:row>
      <xdr:rowOff>130634</xdr:rowOff>
    </xdr:to>
    <xdr:sp macro="" textlink="">
      <xdr:nvSpPr>
        <xdr:cNvPr id="491" name="Isosceles Triangle 490">
          <a:extLst>
            <a:ext uri="{FF2B5EF4-FFF2-40B4-BE49-F238E27FC236}">
              <a16:creationId xmlns:a16="http://schemas.microsoft.com/office/drawing/2014/main" id="{1FB1E29E-C979-4D10-8635-448C71EFE29B}"/>
            </a:ext>
          </a:extLst>
        </xdr:cNvPr>
        <xdr:cNvSpPr/>
      </xdr:nvSpPr>
      <xdr:spPr>
        <a:xfrm rot="5400000">
          <a:off x="13499376" y="17830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201</xdr:row>
      <xdr:rowOff>8165</xdr:rowOff>
    </xdr:from>
    <xdr:to>
      <xdr:col>22</xdr:col>
      <xdr:colOff>103416</xdr:colOff>
      <xdr:row>201</xdr:row>
      <xdr:rowOff>8170</xdr:rowOff>
    </xdr:to>
    <xdr:cxnSp macro="">
      <xdr:nvCxnSpPr>
        <xdr:cNvPr id="492" name="Connector: Elbow 351">
          <a:extLst>
            <a:ext uri="{FF2B5EF4-FFF2-40B4-BE49-F238E27FC236}">
              <a16:creationId xmlns:a16="http://schemas.microsoft.com/office/drawing/2014/main" id="{7A1A9541-CFA8-416A-BEEB-EC4D1134ABB7}"/>
            </a:ext>
          </a:extLst>
        </xdr:cNvPr>
        <xdr:cNvCxnSpPr>
          <a:stCxn id="486" idx="3"/>
          <a:endCxn id="491" idx="3"/>
        </xdr:cNvCxnSpPr>
      </xdr:nvCxnSpPr>
      <xdr:spPr>
        <a:xfrm>
          <a:off x="12918622" y="17930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191</xdr:row>
      <xdr:rowOff>74114</xdr:rowOff>
    </xdr:from>
    <xdr:to>
      <xdr:col>22</xdr:col>
      <xdr:colOff>500375</xdr:colOff>
      <xdr:row>192</xdr:row>
      <xdr:rowOff>134687</xdr:rowOff>
    </xdr:to>
    <xdr:sp macro="" textlink="">
      <xdr:nvSpPr>
        <xdr:cNvPr id="493" name="Isosceles Triangle 492">
          <a:extLst>
            <a:ext uri="{FF2B5EF4-FFF2-40B4-BE49-F238E27FC236}">
              <a16:creationId xmlns:a16="http://schemas.microsoft.com/office/drawing/2014/main" id="{98097D09-33CF-43FB-8E96-B03B5E019728}"/>
            </a:ext>
          </a:extLst>
        </xdr:cNvPr>
        <xdr:cNvSpPr/>
      </xdr:nvSpPr>
      <xdr:spPr>
        <a:xfrm rot="5400000">
          <a:off x="13686434" y="16185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192</xdr:row>
      <xdr:rowOff>12961</xdr:rowOff>
    </xdr:from>
    <xdr:to>
      <xdr:col>22</xdr:col>
      <xdr:colOff>293546</xdr:colOff>
      <xdr:row>192</xdr:row>
      <xdr:rowOff>28514</xdr:rowOff>
    </xdr:to>
    <xdr:cxnSp macro="">
      <xdr:nvCxnSpPr>
        <xdr:cNvPr id="494" name="Connector: Elbow 351">
          <a:extLst>
            <a:ext uri="{FF2B5EF4-FFF2-40B4-BE49-F238E27FC236}">
              <a16:creationId xmlns:a16="http://schemas.microsoft.com/office/drawing/2014/main" id="{21F106B0-0816-4B56-B94E-037F5245892F}"/>
            </a:ext>
          </a:extLst>
        </xdr:cNvPr>
        <xdr:cNvCxnSpPr>
          <a:stCxn id="485" idx="3"/>
          <a:endCxn id="493" idx="3"/>
        </xdr:cNvCxnSpPr>
      </xdr:nvCxnSpPr>
      <xdr:spPr>
        <a:xfrm flipV="1">
          <a:off x="12978528" y="16289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519389</xdr:colOff>
      <xdr:row>177</xdr:row>
      <xdr:rowOff>102642</xdr:rowOff>
    </xdr:from>
    <xdr:to>
      <xdr:col>25</xdr:col>
      <xdr:colOff>149275</xdr:colOff>
      <xdr:row>180</xdr:row>
      <xdr:rowOff>59100</xdr:rowOff>
    </xdr:to>
    <xdr:sp macro="" textlink="">
      <xdr:nvSpPr>
        <xdr:cNvPr id="496" name="Rectangle: Rounded Corners 495">
          <a:extLst>
            <a:ext uri="{FF2B5EF4-FFF2-40B4-BE49-F238E27FC236}">
              <a16:creationId xmlns:a16="http://schemas.microsoft.com/office/drawing/2014/main" id="{F9E2A921-358B-4199-8E45-CB5E4C28B67D}"/>
            </a:ext>
          </a:extLst>
        </xdr:cNvPr>
        <xdr:cNvSpPr/>
      </xdr:nvSpPr>
      <xdr:spPr>
        <a:xfrm>
          <a:off x="14540189" y="13635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176</xdr:row>
      <xdr:rowOff>-1</xdr:rowOff>
    </xdr:from>
    <xdr:to>
      <xdr:col>22</xdr:col>
      <xdr:colOff>307521</xdr:colOff>
      <xdr:row>177</xdr:row>
      <xdr:rowOff>76199</xdr:rowOff>
    </xdr:to>
    <xdr:sp macro="" textlink="">
      <xdr:nvSpPr>
        <xdr:cNvPr id="497" name="Oval 496">
          <a:extLst>
            <a:ext uri="{FF2B5EF4-FFF2-40B4-BE49-F238E27FC236}">
              <a16:creationId xmlns:a16="http://schemas.microsoft.com/office/drawing/2014/main" id="{5BFE7F3A-CB60-4C48-B116-EA530C7E164D}"/>
            </a:ext>
          </a:extLst>
        </xdr:cNvPr>
        <xdr:cNvSpPr/>
      </xdr:nvSpPr>
      <xdr:spPr>
        <a:xfrm>
          <a:off x="13403036" y="13350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15240</xdr:colOff>
      <xdr:row>176</xdr:row>
      <xdr:rowOff>93617</xdr:rowOff>
    </xdr:from>
    <xdr:to>
      <xdr:col>21</xdr:col>
      <xdr:colOff>601436</xdr:colOff>
      <xdr:row>176</xdr:row>
      <xdr:rowOff>129539</xdr:rowOff>
    </xdr:to>
    <xdr:cxnSp macro="">
      <xdr:nvCxnSpPr>
        <xdr:cNvPr id="498" name="Connector: Elbow 42">
          <a:extLst>
            <a:ext uri="{FF2B5EF4-FFF2-40B4-BE49-F238E27FC236}">
              <a16:creationId xmlns:a16="http://schemas.microsoft.com/office/drawing/2014/main" id="{57C78474-2117-4E77-8716-7B91DA2FD5CD}"/>
            </a:ext>
          </a:extLst>
        </xdr:cNvPr>
        <xdr:cNvCxnSpPr>
          <a:cxnSpLocks/>
          <a:stCxn id="484" idx="3"/>
          <a:endCxn id="497"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307521</xdr:colOff>
      <xdr:row>176</xdr:row>
      <xdr:rowOff>129539</xdr:rowOff>
    </xdr:from>
    <xdr:to>
      <xdr:col>23</xdr:col>
      <xdr:colOff>519389</xdr:colOff>
      <xdr:row>178</xdr:row>
      <xdr:rowOff>172311</xdr:rowOff>
    </xdr:to>
    <xdr:cxnSp macro="">
      <xdr:nvCxnSpPr>
        <xdr:cNvPr id="500" name="Connector: Elbow 499">
          <a:extLst>
            <a:ext uri="{FF2B5EF4-FFF2-40B4-BE49-F238E27FC236}">
              <a16:creationId xmlns:a16="http://schemas.microsoft.com/office/drawing/2014/main" id="{69C75367-57A6-4949-B739-CF3458B2D5B9}"/>
            </a:ext>
          </a:extLst>
        </xdr:cNvPr>
        <xdr:cNvCxnSpPr>
          <a:stCxn id="497" idx="6"/>
          <a:endCxn id="496" idx="1"/>
        </xdr:cNvCxnSpPr>
      </xdr:nvCxnSpPr>
      <xdr:spPr>
        <a:xfrm>
          <a:off x="13718721" y="32362139"/>
          <a:ext cx="821468" cy="408532"/>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507275</xdr:colOff>
      <xdr:row>178</xdr:row>
      <xdr:rowOff>29256</xdr:rowOff>
    </xdr:from>
    <xdr:to>
      <xdr:col>27</xdr:col>
      <xdr:colOff>104504</xdr:colOff>
      <xdr:row>179</xdr:row>
      <xdr:rowOff>83684</xdr:rowOff>
    </xdr:to>
    <xdr:sp macro="" textlink="">
      <xdr:nvSpPr>
        <xdr:cNvPr id="501" name="Isosceles Triangle 500">
          <a:extLst>
            <a:ext uri="{FF2B5EF4-FFF2-40B4-BE49-F238E27FC236}">
              <a16:creationId xmlns:a16="http://schemas.microsoft.com/office/drawing/2014/main" id="{981C5D3A-8842-4A58-8678-AA9DC0B54A89}"/>
            </a:ext>
          </a:extLst>
        </xdr:cNvPr>
        <xdr:cNvSpPr/>
      </xdr:nvSpPr>
      <xdr:spPr>
        <a:xfrm rot="5400000">
          <a:off x="16341636" y="13760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149275</xdr:colOff>
      <xdr:row>178</xdr:row>
      <xdr:rowOff>147910</xdr:rowOff>
    </xdr:from>
    <xdr:to>
      <xdr:col>26</xdr:col>
      <xdr:colOff>507276</xdr:colOff>
      <xdr:row>178</xdr:row>
      <xdr:rowOff>172311</xdr:rowOff>
    </xdr:to>
    <xdr:cxnSp macro="">
      <xdr:nvCxnSpPr>
        <xdr:cNvPr id="502" name="Connector: Elbow 351">
          <a:extLst>
            <a:ext uri="{FF2B5EF4-FFF2-40B4-BE49-F238E27FC236}">
              <a16:creationId xmlns:a16="http://schemas.microsoft.com/office/drawing/2014/main" id="{F7094FEC-1C8D-4E1F-8E8A-0ACAADBA6963}"/>
            </a:ext>
          </a:extLst>
        </xdr:cNvPr>
        <xdr:cNvCxnSpPr>
          <a:stCxn id="496" idx="3"/>
          <a:endCxn id="501" idx="3"/>
        </xdr:cNvCxnSpPr>
      </xdr:nvCxnSpPr>
      <xdr:spPr>
        <a:xfrm flipV="1">
          <a:off x="15389275" y="13863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1896</xdr:colOff>
      <xdr:row>167</xdr:row>
      <xdr:rowOff>177244</xdr:rowOff>
    </xdr:from>
    <xdr:to>
      <xdr:col>25</xdr:col>
      <xdr:colOff>241382</xdr:colOff>
      <xdr:row>170</xdr:row>
      <xdr:rowOff>139847</xdr:rowOff>
    </xdr:to>
    <xdr:sp macro="" textlink="">
      <xdr:nvSpPr>
        <xdr:cNvPr id="504" name="Rectangle: Rounded Corners 503">
          <a:extLst>
            <a:ext uri="{FF2B5EF4-FFF2-40B4-BE49-F238E27FC236}">
              <a16:creationId xmlns:a16="http://schemas.microsoft.com/office/drawing/2014/main" id="{67D7F5DD-0E95-4EA4-98DE-67C6A96152CF}"/>
            </a:ext>
          </a:extLst>
        </xdr:cNvPr>
        <xdr:cNvSpPr/>
      </xdr:nvSpPr>
      <xdr:spPr>
        <a:xfrm>
          <a:off x="14632296" y="30763924"/>
          <a:ext cx="849086" cy="5112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22</xdr:col>
      <xdr:colOff>149679</xdr:colOff>
      <xdr:row>169</xdr:row>
      <xdr:rowOff>67107</xdr:rowOff>
    </xdr:from>
    <xdr:to>
      <xdr:col>24</xdr:col>
      <xdr:colOff>1896</xdr:colOff>
      <xdr:row>176</xdr:row>
      <xdr:rowOff>0</xdr:rowOff>
    </xdr:to>
    <xdr:cxnSp macro="">
      <xdr:nvCxnSpPr>
        <xdr:cNvPr id="506" name="Connector: Elbow 505">
          <a:extLst>
            <a:ext uri="{FF2B5EF4-FFF2-40B4-BE49-F238E27FC236}">
              <a16:creationId xmlns:a16="http://schemas.microsoft.com/office/drawing/2014/main" id="{2FF36D11-7842-4DDD-971A-91D5A0028DB5}"/>
            </a:ext>
          </a:extLst>
        </xdr:cNvPr>
        <xdr:cNvCxnSpPr>
          <a:cxnSpLocks/>
          <a:stCxn id="497" idx="0"/>
          <a:endCxn id="504" idx="1"/>
        </xdr:cNvCxnSpPr>
      </xdr:nvCxnSpPr>
      <xdr:spPr>
        <a:xfrm rot="5400000" flipH="1" flipV="1">
          <a:off x="13490061" y="31090365"/>
          <a:ext cx="1213053" cy="107141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446667</xdr:colOff>
      <xdr:row>168</xdr:row>
      <xdr:rowOff>119380</xdr:rowOff>
    </xdr:from>
    <xdr:to>
      <xdr:col>27</xdr:col>
      <xdr:colOff>43896</xdr:colOff>
      <xdr:row>169</xdr:row>
      <xdr:rowOff>166188</xdr:rowOff>
    </xdr:to>
    <xdr:sp macro="" textlink="">
      <xdr:nvSpPr>
        <xdr:cNvPr id="507" name="Isosceles Triangle 506">
          <a:extLst>
            <a:ext uri="{FF2B5EF4-FFF2-40B4-BE49-F238E27FC236}">
              <a16:creationId xmlns:a16="http://schemas.microsoft.com/office/drawing/2014/main" id="{0035D927-66A6-4D33-A0BE-C0EB52DCD5F1}"/>
            </a:ext>
          </a:extLst>
        </xdr:cNvPr>
        <xdr:cNvSpPr/>
      </xdr:nvSpPr>
      <xdr:spPr>
        <a:xfrm rot="5400000">
          <a:off x="16284838" y="3090036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241382</xdr:colOff>
      <xdr:row>169</xdr:row>
      <xdr:rowOff>51344</xdr:rowOff>
    </xdr:from>
    <xdr:to>
      <xdr:col>26</xdr:col>
      <xdr:colOff>446668</xdr:colOff>
      <xdr:row>169</xdr:row>
      <xdr:rowOff>67106</xdr:rowOff>
    </xdr:to>
    <xdr:cxnSp macro="">
      <xdr:nvCxnSpPr>
        <xdr:cNvPr id="508" name="Connector: Elbow 351">
          <a:extLst>
            <a:ext uri="{FF2B5EF4-FFF2-40B4-BE49-F238E27FC236}">
              <a16:creationId xmlns:a16="http://schemas.microsoft.com/office/drawing/2014/main" id="{F5DE0AF6-5EF1-46BC-9F63-B4889D840E26}"/>
            </a:ext>
          </a:extLst>
        </xdr:cNvPr>
        <xdr:cNvCxnSpPr>
          <a:cxnSpLocks/>
          <a:stCxn id="504" idx="3"/>
          <a:endCxn id="507" idx="3"/>
        </xdr:cNvCxnSpPr>
      </xdr:nvCxnSpPr>
      <xdr:spPr>
        <a:xfrm flipV="1">
          <a:off x="15481382" y="31003784"/>
          <a:ext cx="814886" cy="1576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184</xdr:row>
      <xdr:rowOff>26442</xdr:rowOff>
    </xdr:from>
    <xdr:to>
      <xdr:col>25</xdr:col>
      <xdr:colOff>179755</xdr:colOff>
      <xdr:row>186</xdr:row>
      <xdr:rowOff>165780</xdr:rowOff>
    </xdr:to>
    <xdr:sp macro="" textlink="">
      <xdr:nvSpPr>
        <xdr:cNvPr id="512" name="Rectangle: Rounded Corners 511">
          <a:extLst>
            <a:ext uri="{FF2B5EF4-FFF2-40B4-BE49-F238E27FC236}">
              <a16:creationId xmlns:a16="http://schemas.microsoft.com/office/drawing/2014/main" id="{5535AF36-3B2A-4435-A093-BFB3AA6D3997}"/>
            </a:ext>
          </a:extLst>
        </xdr:cNvPr>
        <xdr:cNvSpPr/>
      </xdr:nvSpPr>
      <xdr:spPr>
        <a:xfrm>
          <a:off x="14570669" y="14839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177</xdr:row>
      <xdr:rowOff>76199</xdr:rowOff>
    </xdr:from>
    <xdr:to>
      <xdr:col>23</xdr:col>
      <xdr:colOff>549869</xdr:colOff>
      <xdr:row>185</xdr:row>
      <xdr:rowOff>96111</xdr:rowOff>
    </xdr:to>
    <xdr:cxnSp macro="">
      <xdr:nvCxnSpPr>
        <xdr:cNvPr id="513" name="Connector: Elbow 512">
          <a:extLst>
            <a:ext uri="{FF2B5EF4-FFF2-40B4-BE49-F238E27FC236}">
              <a16:creationId xmlns:a16="http://schemas.microsoft.com/office/drawing/2014/main" id="{7AD76653-F17F-4AFD-B393-F70049F2CB46}"/>
            </a:ext>
          </a:extLst>
        </xdr:cNvPr>
        <xdr:cNvCxnSpPr>
          <a:stCxn id="497" idx="4"/>
          <a:endCxn id="512" idx="1"/>
        </xdr:cNvCxnSpPr>
      </xdr:nvCxnSpPr>
      <xdr:spPr>
        <a:xfrm rot="16200000" flipH="1">
          <a:off x="13324298" y="13845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184</xdr:row>
      <xdr:rowOff>181655</xdr:rowOff>
    </xdr:from>
    <xdr:to>
      <xdr:col>27</xdr:col>
      <xdr:colOff>241664</xdr:colOff>
      <xdr:row>186</xdr:row>
      <xdr:rowOff>53203</xdr:rowOff>
    </xdr:to>
    <xdr:sp macro="" textlink="">
      <xdr:nvSpPr>
        <xdr:cNvPr id="514" name="Isosceles Triangle 513">
          <a:extLst>
            <a:ext uri="{FF2B5EF4-FFF2-40B4-BE49-F238E27FC236}">
              <a16:creationId xmlns:a16="http://schemas.microsoft.com/office/drawing/2014/main" id="{321E4A45-61F4-4EF2-893F-F3316CBE61C4}"/>
            </a:ext>
          </a:extLst>
        </xdr:cNvPr>
        <xdr:cNvSpPr/>
      </xdr:nvSpPr>
      <xdr:spPr>
        <a:xfrm rot="5400000">
          <a:off x="16478796" y="15010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185</xdr:row>
      <xdr:rowOff>96111</xdr:rowOff>
    </xdr:from>
    <xdr:to>
      <xdr:col>27</xdr:col>
      <xdr:colOff>34836</xdr:colOff>
      <xdr:row>185</xdr:row>
      <xdr:rowOff>117429</xdr:rowOff>
    </xdr:to>
    <xdr:cxnSp macro="">
      <xdr:nvCxnSpPr>
        <xdr:cNvPr id="515" name="Connector: Elbow 351">
          <a:extLst>
            <a:ext uri="{FF2B5EF4-FFF2-40B4-BE49-F238E27FC236}">
              <a16:creationId xmlns:a16="http://schemas.microsoft.com/office/drawing/2014/main" id="{0D53E739-0BAD-4D19-A03C-C6B0E4FFAFDF}"/>
            </a:ext>
          </a:extLst>
        </xdr:cNvPr>
        <xdr:cNvCxnSpPr>
          <a:stCxn id="512" idx="3"/>
          <a:endCxn id="514" idx="3"/>
        </xdr:cNvCxnSpPr>
      </xdr:nvCxnSpPr>
      <xdr:spPr>
        <a:xfrm>
          <a:off x="15419755" y="15092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594904</xdr:colOff>
      <xdr:row>243</xdr:row>
      <xdr:rowOff>81643</xdr:rowOff>
    </xdr:from>
    <xdr:to>
      <xdr:col>17</xdr:col>
      <xdr:colOff>224790</xdr:colOff>
      <xdr:row>246</xdr:row>
      <xdr:rowOff>38100</xdr:rowOff>
    </xdr:to>
    <xdr:sp macro="" textlink="">
      <xdr:nvSpPr>
        <xdr:cNvPr id="517" name="Rectangle: Rounded Corners 516">
          <a:extLst>
            <a:ext uri="{FF2B5EF4-FFF2-40B4-BE49-F238E27FC236}">
              <a16:creationId xmlns:a16="http://schemas.microsoft.com/office/drawing/2014/main" id="{4B34ED71-86D5-4BD1-9571-7D8CB39102C8}"/>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16</xdr:col>
      <xdr:colOff>283573</xdr:colOff>
      <xdr:row>282</xdr:row>
      <xdr:rowOff>81099</xdr:rowOff>
    </xdr:from>
    <xdr:to>
      <xdr:col>17</xdr:col>
      <xdr:colOff>523059</xdr:colOff>
      <xdr:row>285</xdr:row>
      <xdr:rowOff>30480</xdr:rowOff>
    </xdr:to>
    <xdr:sp macro="" textlink="">
      <xdr:nvSpPr>
        <xdr:cNvPr id="518" name="Rectangle: Rounded Corners 517">
          <a:extLst>
            <a:ext uri="{FF2B5EF4-FFF2-40B4-BE49-F238E27FC236}">
              <a16:creationId xmlns:a16="http://schemas.microsoft.com/office/drawing/2014/main" id="{1F610E76-9EB8-4BC1-A4AC-3764E09108FD}"/>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15</xdr:col>
      <xdr:colOff>1</xdr:colOff>
      <xdr:row>244</xdr:row>
      <xdr:rowOff>151313</xdr:rowOff>
    </xdr:from>
    <xdr:to>
      <xdr:col>15</xdr:col>
      <xdr:colOff>594904</xdr:colOff>
      <xdr:row>250</xdr:row>
      <xdr:rowOff>100148</xdr:rowOff>
    </xdr:to>
    <xdr:cxnSp macro="">
      <xdr:nvCxnSpPr>
        <xdr:cNvPr id="519" name="Connector: Elbow 518">
          <a:extLst>
            <a:ext uri="{FF2B5EF4-FFF2-40B4-BE49-F238E27FC236}">
              <a16:creationId xmlns:a16="http://schemas.microsoft.com/office/drawing/2014/main" id="{05C0B0BC-3C91-4B60-998E-A637F5614060}"/>
            </a:ext>
          </a:extLst>
        </xdr:cNvPr>
        <xdr:cNvCxnSpPr>
          <a:stCxn id="521" idx="0"/>
          <a:endCxn id="517" idx="1"/>
        </xdr:cNvCxnSpPr>
      </xdr:nvCxnSpPr>
      <xdr:spPr>
        <a:xfrm rot="5400000" flipH="1" flipV="1">
          <a:off x="7699195" y="7692119"/>
          <a:ext cx="1046115" cy="5949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xdr:colOff>
      <xdr:row>251</xdr:row>
      <xdr:rowOff>176346</xdr:rowOff>
    </xdr:from>
    <xdr:to>
      <xdr:col>16</xdr:col>
      <xdr:colOff>283574</xdr:colOff>
      <xdr:row>283</xdr:row>
      <xdr:rowOff>147229</xdr:rowOff>
    </xdr:to>
    <xdr:cxnSp macro="">
      <xdr:nvCxnSpPr>
        <xdr:cNvPr id="520" name="Connector: Elbow 519">
          <a:extLst>
            <a:ext uri="{FF2B5EF4-FFF2-40B4-BE49-F238E27FC236}">
              <a16:creationId xmlns:a16="http://schemas.microsoft.com/office/drawing/2014/main" id="{A27C9AC4-1E3D-42CD-A0DF-A3F318F7447D}"/>
            </a:ext>
          </a:extLst>
        </xdr:cNvPr>
        <xdr:cNvCxnSpPr>
          <a:stCxn id="521" idx="4"/>
          <a:endCxn id="518" idx="1"/>
        </xdr:cNvCxnSpPr>
      </xdr:nvCxnSpPr>
      <xdr:spPr>
        <a:xfrm rot="16200000" flipH="1">
          <a:off x="5459866" y="11236642"/>
          <a:ext cx="5823043" cy="893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451758</xdr:colOff>
      <xdr:row>250</xdr:row>
      <xdr:rowOff>100147</xdr:rowOff>
    </xdr:from>
    <xdr:to>
      <xdr:col>15</xdr:col>
      <xdr:colOff>157843</xdr:colOff>
      <xdr:row>251</xdr:row>
      <xdr:rowOff>176347</xdr:rowOff>
    </xdr:to>
    <xdr:sp macro="" textlink="">
      <xdr:nvSpPr>
        <xdr:cNvPr id="521" name="Oval 520">
          <a:extLst>
            <a:ext uri="{FF2B5EF4-FFF2-40B4-BE49-F238E27FC236}">
              <a16:creationId xmlns:a16="http://schemas.microsoft.com/office/drawing/2014/main" id="{E608F88E-DB2C-4D05-B43B-E938391695FF}"/>
            </a:ext>
          </a:extLst>
        </xdr:cNvPr>
        <xdr:cNvSpPr/>
      </xdr:nvSpPr>
      <xdr:spPr>
        <a:xfrm>
          <a:off x="7766958" y="85126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523059</xdr:colOff>
      <xdr:row>283</xdr:row>
      <xdr:rowOff>147230</xdr:rowOff>
    </xdr:from>
    <xdr:to>
      <xdr:col>19</xdr:col>
      <xdr:colOff>516528</xdr:colOff>
      <xdr:row>283</xdr:row>
      <xdr:rowOff>166551</xdr:rowOff>
    </xdr:to>
    <xdr:cxnSp macro="">
      <xdr:nvCxnSpPr>
        <xdr:cNvPr id="522" name="Connector: Elbow 351">
          <a:extLst>
            <a:ext uri="{FF2B5EF4-FFF2-40B4-BE49-F238E27FC236}">
              <a16:creationId xmlns:a16="http://schemas.microsoft.com/office/drawing/2014/main" id="{6D703A2A-AB95-4F12-9B4F-F49037C4B48A}"/>
            </a:ext>
          </a:extLst>
        </xdr:cNvPr>
        <xdr:cNvCxnSpPr>
          <a:cxnSpLocks/>
          <a:stCxn id="518" idx="3"/>
          <a:endCxn id="560"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141514</xdr:colOff>
      <xdr:row>226</xdr:row>
      <xdr:rowOff>57150</xdr:rowOff>
    </xdr:from>
    <xdr:to>
      <xdr:col>20</xdr:col>
      <xdr:colOff>381000</xdr:colOff>
      <xdr:row>229</xdr:row>
      <xdr:rowOff>8164</xdr:rowOff>
    </xdr:to>
    <xdr:sp macro="" textlink="">
      <xdr:nvSpPr>
        <xdr:cNvPr id="523" name="Rectangle: Rounded Corners 522">
          <a:extLst>
            <a:ext uri="{FF2B5EF4-FFF2-40B4-BE49-F238E27FC236}">
              <a16:creationId xmlns:a16="http://schemas.microsoft.com/office/drawing/2014/main" id="{EDFC3755-099F-4ADD-847C-16AA6F6BFEE7}"/>
            </a:ext>
          </a:extLst>
        </xdr:cNvPr>
        <xdr:cNvSpPr/>
      </xdr:nvSpPr>
      <xdr:spPr>
        <a:xfrm>
          <a:off x="10504714" y="40805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19</xdr:col>
      <xdr:colOff>547042</xdr:colOff>
      <xdr:row>241</xdr:row>
      <xdr:rowOff>144797</xdr:rowOff>
    </xdr:from>
    <xdr:to>
      <xdr:col>21</xdr:col>
      <xdr:colOff>176928</xdr:colOff>
      <xdr:row>244</xdr:row>
      <xdr:rowOff>95110</xdr:rowOff>
    </xdr:to>
    <xdr:sp macro="" textlink="">
      <xdr:nvSpPr>
        <xdr:cNvPr id="524" name="Rectangle: Rounded Corners 523">
          <a:extLst>
            <a:ext uri="{FF2B5EF4-FFF2-40B4-BE49-F238E27FC236}">
              <a16:creationId xmlns:a16="http://schemas.microsoft.com/office/drawing/2014/main" id="{87E89160-25B5-4E44-B8B6-0231465BF038}"/>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250</xdr:row>
      <xdr:rowOff>127907</xdr:rowOff>
    </xdr:from>
    <xdr:to>
      <xdr:col>21</xdr:col>
      <xdr:colOff>117022</xdr:colOff>
      <xdr:row>253</xdr:row>
      <xdr:rowOff>78922</xdr:rowOff>
    </xdr:to>
    <xdr:sp macro="" textlink="">
      <xdr:nvSpPr>
        <xdr:cNvPr id="525" name="Rectangle: Rounded Corners 524">
          <a:extLst>
            <a:ext uri="{FF2B5EF4-FFF2-40B4-BE49-F238E27FC236}">
              <a16:creationId xmlns:a16="http://schemas.microsoft.com/office/drawing/2014/main" id="{CF90F672-F890-44CF-9D90-8832FE8B646E}"/>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18</xdr:col>
      <xdr:colOff>13608</xdr:colOff>
      <xdr:row>244</xdr:row>
      <xdr:rowOff>21771</xdr:rowOff>
    </xdr:from>
    <xdr:to>
      <xdr:col>18</xdr:col>
      <xdr:colOff>329293</xdr:colOff>
      <xdr:row>245</xdr:row>
      <xdr:rowOff>97970</xdr:rowOff>
    </xdr:to>
    <xdr:sp macro="" textlink="">
      <xdr:nvSpPr>
        <xdr:cNvPr id="526" name="Oval 525">
          <a:extLst>
            <a:ext uri="{FF2B5EF4-FFF2-40B4-BE49-F238E27FC236}">
              <a16:creationId xmlns:a16="http://schemas.microsoft.com/office/drawing/2014/main" id="{2E2549FF-5160-4F22-A349-B92BF72DFE43}"/>
            </a:ext>
          </a:extLst>
        </xdr:cNvPr>
        <xdr:cNvSpPr/>
      </xdr:nvSpPr>
      <xdr:spPr>
        <a:xfrm>
          <a:off x="9767208" y="733697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224790</xdr:colOff>
      <xdr:row>244</xdr:row>
      <xdr:rowOff>151311</xdr:rowOff>
    </xdr:from>
    <xdr:to>
      <xdr:col>18</xdr:col>
      <xdr:colOff>13608</xdr:colOff>
      <xdr:row>244</xdr:row>
      <xdr:rowOff>151312</xdr:rowOff>
    </xdr:to>
    <xdr:cxnSp macro="">
      <xdr:nvCxnSpPr>
        <xdr:cNvPr id="527" name="Connector: Elbow 42">
          <a:extLst>
            <a:ext uri="{FF2B5EF4-FFF2-40B4-BE49-F238E27FC236}">
              <a16:creationId xmlns:a16="http://schemas.microsoft.com/office/drawing/2014/main" id="{ED8D13CC-927C-4046-800F-75325CACE98C}"/>
            </a:ext>
          </a:extLst>
        </xdr:cNvPr>
        <xdr:cNvCxnSpPr>
          <a:cxnSpLocks/>
          <a:stCxn id="517" idx="3"/>
          <a:endCxn id="526"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171450</xdr:colOff>
      <xdr:row>227</xdr:row>
      <xdr:rowOff>127908</xdr:rowOff>
    </xdr:from>
    <xdr:to>
      <xdr:col>19</xdr:col>
      <xdr:colOff>141513</xdr:colOff>
      <xdr:row>244</xdr:row>
      <xdr:rowOff>21772</xdr:rowOff>
    </xdr:to>
    <xdr:cxnSp macro="">
      <xdr:nvCxnSpPr>
        <xdr:cNvPr id="528" name="Connector: Elbow 527">
          <a:extLst>
            <a:ext uri="{FF2B5EF4-FFF2-40B4-BE49-F238E27FC236}">
              <a16:creationId xmlns:a16="http://schemas.microsoft.com/office/drawing/2014/main" id="{35871F02-9149-43DE-91FB-288B919CF539}"/>
            </a:ext>
          </a:extLst>
        </xdr:cNvPr>
        <xdr:cNvCxnSpPr>
          <a:stCxn id="526" idx="0"/>
          <a:endCxn id="523" idx="1"/>
        </xdr:cNvCxnSpPr>
      </xdr:nvCxnSpPr>
      <xdr:spPr>
        <a:xfrm rot="5400000" flipH="1" flipV="1">
          <a:off x="8713470" y="5545728"/>
          <a:ext cx="300282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329293</xdr:colOff>
      <xdr:row>243</xdr:row>
      <xdr:rowOff>28514</xdr:rowOff>
    </xdr:from>
    <xdr:to>
      <xdr:col>19</xdr:col>
      <xdr:colOff>547042</xdr:colOff>
      <xdr:row>244</xdr:row>
      <xdr:rowOff>151311</xdr:rowOff>
    </xdr:to>
    <xdr:cxnSp macro="">
      <xdr:nvCxnSpPr>
        <xdr:cNvPr id="529" name="Connector: Elbow 528">
          <a:extLst>
            <a:ext uri="{FF2B5EF4-FFF2-40B4-BE49-F238E27FC236}">
              <a16:creationId xmlns:a16="http://schemas.microsoft.com/office/drawing/2014/main" id="{941AB4E7-7E9F-4AFF-8FAF-D4EC13A3279C}"/>
            </a:ext>
          </a:extLst>
        </xdr:cNvPr>
        <xdr:cNvCxnSpPr>
          <a:stCxn id="526" idx="6"/>
          <a:endCxn id="524"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171451</xdr:colOff>
      <xdr:row>245</xdr:row>
      <xdr:rowOff>97969</xdr:rowOff>
    </xdr:from>
    <xdr:to>
      <xdr:col>19</xdr:col>
      <xdr:colOff>487136</xdr:colOff>
      <xdr:row>252</xdr:row>
      <xdr:rowOff>8164</xdr:rowOff>
    </xdr:to>
    <xdr:cxnSp macro="">
      <xdr:nvCxnSpPr>
        <xdr:cNvPr id="530" name="Connector: Elbow 529">
          <a:extLst>
            <a:ext uri="{FF2B5EF4-FFF2-40B4-BE49-F238E27FC236}">
              <a16:creationId xmlns:a16="http://schemas.microsoft.com/office/drawing/2014/main" id="{5994BA27-83DB-4F6A-A704-4A93885A1B72}"/>
            </a:ext>
          </a:extLst>
        </xdr:cNvPr>
        <xdr:cNvCxnSpPr>
          <a:stCxn id="526" idx="4"/>
          <a:endCxn id="525" idx="1"/>
        </xdr:cNvCxnSpPr>
      </xdr:nvCxnSpPr>
      <xdr:spPr>
        <a:xfrm rot="16200000" flipH="1">
          <a:off x="9792516" y="7728584"/>
          <a:ext cx="119035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251</xdr:row>
      <xdr:rowOff>76206</xdr:rowOff>
    </xdr:from>
    <xdr:to>
      <xdr:col>22</xdr:col>
      <xdr:colOff>310244</xdr:colOff>
      <xdr:row>252</xdr:row>
      <xdr:rowOff>130634</xdr:rowOff>
    </xdr:to>
    <xdr:sp macro="" textlink="">
      <xdr:nvSpPr>
        <xdr:cNvPr id="531" name="Isosceles Triangle 530">
          <a:extLst>
            <a:ext uri="{FF2B5EF4-FFF2-40B4-BE49-F238E27FC236}">
              <a16:creationId xmlns:a16="http://schemas.microsoft.com/office/drawing/2014/main" id="{3B29446E-5D1C-4EA1-88CF-7B4886BDE77D}"/>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252</xdr:row>
      <xdr:rowOff>8165</xdr:rowOff>
    </xdr:from>
    <xdr:to>
      <xdr:col>22</xdr:col>
      <xdr:colOff>103416</xdr:colOff>
      <xdr:row>252</xdr:row>
      <xdr:rowOff>8170</xdr:rowOff>
    </xdr:to>
    <xdr:cxnSp macro="">
      <xdr:nvCxnSpPr>
        <xdr:cNvPr id="532" name="Connector: Elbow 351">
          <a:extLst>
            <a:ext uri="{FF2B5EF4-FFF2-40B4-BE49-F238E27FC236}">
              <a16:creationId xmlns:a16="http://schemas.microsoft.com/office/drawing/2014/main" id="{A77244AB-D3D7-4546-A38B-A8AF5B31276D}"/>
            </a:ext>
          </a:extLst>
        </xdr:cNvPr>
        <xdr:cNvCxnSpPr>
          <a:stCxn id="525" idx="3"/>
          <a:endCxn id="531"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242</xdr:row>
      <xdr:rowOff>74114</xdr:rowOff>
    </xdr:from>
    <xdr:to>
      <xdr:col>22</xdr:col>
      <xdr:colOff>500375</xdr:colOff>
      <xdr:row>243</xdr:row>
      <xdr:rowOff>134687</xdr:rowOff>
    </xdr:to>
    <xdr:sp macro="" textlink="">
      <xdr:nvSpPr>
        <xdr:cNvPr id="533" name="Isosceles Triangle 532">
          <a:extLst>
            <a:ext uri="{FF2B5EF4-FFF2-40B4-BE49-F238E27FC236}">
              <a16:creationId xmlns:a16="http://schemas.microsoft.com/office/drawing/2014/main" id="{4BB936D1-D86E-4EEA-A447-5CC42C70ACAB}"/>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243</xdr:row>
      <xdr:rowOff>12961</xdr:rowOff>
    </xdr:from>
    <xdr:to>
      <xdr:col>22</xdr:col>
      <xdr:colOff>293546</xdr:colOff>
      <xdr:row>243</xdr:row>
      <xdr:rowOff>28514</xdr:rowOff>
    </xdr:to>
    <xdr:cxnSp macro="">
      <xdr:nvCxnSpPr>
        <xdr:cNvPr id="534" name="Connector: Elbow 351">
          <a:extLst>
            <a:ext uri="{FF2B5EF4-FFF2-40B4-BE49-F238E27FC236}">
              <a16:creationId xmlns:a16="http://schemas.microsoft.com/office/drawing/2014/main" id="{7E7B9E25-D272-47B6-8D0B-BAF811ACBA35}"/>
            </a:ext>
          </a:extLst>
        </xdr:cNvPr>
        <xdr:cNvCxnSpPr>
          <a:stCxn id="524" idx="3"/>
          <a:endCxn id="533"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480604</xdr:colOff>
      <xdr:row>217</xdr:row>
      <xdr:rowOff>171450</xdr:rowOff>
    </xdr:from>
    <xdr:to>
      <xdr:col>25</xdr:col>
      <xdr:colOff>110490</xdr:colOff>
      <xdr:row>220</xdr:row>
      <xdr:rowOff>130084</xdr:rowOff>
    </xdr:to>
    <xdr:sp macro="" textlink="">
      <xdr:nvSpPr>
        <xdr:cNvPr id="535" name="Rectangle: Rounded Corners 534">
          <a:extLst>
            <a:ext uri="{FF2B5EF4-FFF2-40B4-BE49-F238E27FC236}">
              <a16:creationId xmlns:a16="http://schemas.microsoft.com/office/drawing/2014/main" id="{DF3F17E2-3273-4A44-9F66-1E50D7FE30BB}"/>
            </a:ext>
          </a:extLst>
        </xdr:cNvPr>
        <xdr:cNvSpPr/>
      </xdr:nvSpPr>
      <xdr:spPr>
        <a:xfrm>
          <a:off x="13282204" y="2548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23</xdr:col>
      <xdr:colOff>519389</xdr:colOff>
      <xdr:row>228</xdr:row>
      <xdr:rowOff>102642</xdr:rowOff>
    </xdr:from>
    <xdr:to>
      <xdr:col>25</xdr:col>
      <xdr:colOff>149275</xdr:colOff>
      <xdr:row>231</xdr:row>
      <xdr:rowOff>59100</xdr:rowOff>
    </xdr:to>
    <xdr:sp macro="" textlink="">
      <xdr:nvSpPr>
        <xdr:cNvPr id="536" name="Rectangle: Rounded Corners 535">
          <a:extLst>
            <a:ext uri="{FF2B5EF4-FFF2-40B4-BE49-F238E27FC236}">
              <a16:creationId xmlns:a16="http://schemas.microsoft.com/office/drawing/2014/main" id="{CD92D4D1-4D80-495B-8850-94551E3C4064}"/>
            </a:ext>
          </a:extLst>
        </xdr:cNvPr>
        <xdr:cNvSpPr/>
      </xdr:nvSpPr>
      <xdr:spPr>
        <a:xfrm>
          <a:off x="13320989" y="4491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227</xdr:row>
      <xdr:rowOff>-1</xdr:rowOff>
    </xdr:from>
    <xdr:to>
      <xdr:col>22</xdr:col>
      <xdr:colOff>307521</xdr:colOff>
      <xdr:row>228</xdr:row>
      <xdr:rowOff>76199</xdr:rowOff>
    </xdr:to>
    <xdr:sp macro="" textlink="">
      <xdr:nvSpPr>
        <xdr:cNvPr id="537" name="Oval 536">
          <a:extLst>
            <a:ext uri="{FF2B5EF4-FFF2-40B4-BE49-F238E27FC236}">
              <a16:creationId xmlns:a16="http://schemas.microsoft.com/office/drawing/2014/main" id="{217185E1-11AC-457E-AF25-DDAFEB2EA7F7}"/>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20</xdr:col>
      <xdr:colOff>381000</xdr:colOff>
      <xdr:row>227</xdr:row>
      <xdr:rowOff>127907</xdr:rowOff>
    </xdr:from>
    <xdr:to>
      <xdr:col>21</xdr:col>
      <xdr:colOff>601436</xdr:colOff>
      <xdr:row>227</xdr:row>
      <xdr:rowOff>133349</xdr:rowOff>
    </xdr:to>
    <xdr:cxnSp macro="">
      <xdr:nvCxnSpPr>
        <xdr:cNvPr id="538" name="Connector: Elbow 42">
          <a:extLst>
            <a:ext uri="{FF2B5EF4-FFF2-40B4-BE49-F238E27FC236}">
              <a16:creationId xmlns:a16="http://schemas.microsoft.com/office/drawing/2014/main" id="{1269809A-D529-46C1-9E82-AE82DE9A67AB}"/>
            </a:ext>
          </a:extLst>
        </xdr:cNvPr>
        <xdr:cNvCxnSpPr>
          <a:cxnSpLocks/>
          <a:stCxn id="523" idx="3"/>
          <a:endCxn id="537" idx="2"/>
        </xdr:cNvCxnSpPr>
      </xdr:nvCxnSpPr>
      <xdr:spPr>
        <a:xfrm>
          <a:off x="11353800" y="433414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149678</xdr:colOff>
      <xdr:row>219</xdr:row>
      <xdr:rowOff>59328</xdr:rowOff>
    </xdr:from>
    <xdr:to>
      <xdr:col>23</xdr:col>
      <xdr:colOff>480603</xdr:colOff>
      <xdr:row>227</xdr:row>
      <xdr:rowOff>0</xdr:rowOff>
    </xdr:to>
    <xdr:cxnSp macro="">
      <xdr:nvCxnSpPr>
        <xdr:cNvPr id="539" name="Connector: Elbow 538">
          <a:extLst>
            <a:ext uri="{FF2B5EF4-FFF2-40B4-BE49-F238E27FC236}">
              <a16:creationId xmlns:a16="http://schemas.microsoft.com/office/drawing/2014/main" id="{38357B5D-4C78-4007-954F-A44CADBC6EEF}"/>
            </a:ext>
          </a:extLst>
        </xdr:cNvPr>
        <xdr:cNvCxnSpPr>
          <a:stCxn id="537" idx="0"/>
          <a:endCxn id="535"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149679</xdr:colOff>
      <xdr:row>228</xdr:row>
      <xdr:rowOff>76199</xdr:rowOff>
    </xdr:from>
    <xdr:to>
      <xdr:col>23</xdr:col>
      <xdr:colOff>519389</xdr:colOff>
      <xdr:row>229</xdr:row>
      <xdr:rowOff>172311</xdr:rowOff>
    </xdr:to>
    <xdr:cxnSp macro="">
      <xdr:nvCxnSpPr>
        <xdr:cNvPr id="540" name="Connector: Elbow 539">
          <a:extLst>
            <a:ext uri="{FF2B5EF4-FFF2-40B4-BE49-F238E27FC236}">
              <a16:creationId xmlns:a16="http://schemas.microsoft.com/office/drawing/2014/main" id="{6AFBC7FD-64CE-48CB-8A55-C8C92A1E60CF}"/>
            </a:ext>
          </a:extLst>
        </xdr:cNvPr>
        <xdr:cNvCxnSpPr>
          <a:stCxn id="537" idx="4"/>
          <a:endCxn id="536" idx="1"/>
        </xdr:cNvCxnSpPr>
      </xdr:nvCxnSpPr>
      <xdr:spPr>
        <a:xfrm rot="16200000" flipH="1">
          <a:off x="12691838" y="4115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507275</xdr:colOff>
      <xdr:row>229</xdr:row>
      <xdr:rowOff>29256</xdr:rowOff>
    </xdr:from>
    <xdr:to>
      <xdr:col>27</xdr:col>
      <xdr:colOff>104504</xdr:colOff>
      <xdr:row>230</xdr:row>
      <xdr:rowOff>83684</xdr:rowOff>
    </xdr:to>
    <xdr:sp macro="" textlink="">
      <xdr:nvSpPr>
        <xdr:cNvPr id="541" name="Isosceles Triangle 540">
          <a:extLst>
            <a:ext uri="{FF2B5EF4-FFF2-40B4-BE49-F238E27FC236}">
              <a16:creationId xmlns:a16="http://schemas.microsoft.com/office/drawing/2014/main" id="{FA2E5AF6-99DE-46F4-A938-A9F4C5997A23}"/>
            </a:ext>
          </a:extLst>
        </xdr:cNvPr>
        <xdr:cNvSpPr/>
      </xdr:nvSpPr>
      <xdr:spPr>
        <a:xfrm rot="5400000">
          <a:off x="15122436" y="4616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149275</xdr:colOff>
      <xdr:row>229</xdr:row>
      <xdr:rowOff>147910</xdr:rowOff>
    </xdr:from>
    <xdr:to>
      <xdr:col>26</xdr:col>
      <xdr:colOff>507276</xdr:colOff>
      <xdr:row>229</xdr:row>
      <xdr:rowOff>172311</xdr:rowOff>
    </xdr:to>
    <xdr:cxnSp macro="">
      <xdr:nvCxnSpPr>
        <xdr:cNvPr id="542" name="Connector: Elbow 351">
          <a:extLst>
            <a:ext uri="{FF2B5EF4-FFF2-40B4-BE49-F238E27FC236}">
              <a16:creationId xmlns:a16="http://schemas.microsoft.com/office/drawing/2014/main" id="{387F2498-0E09-41C0-863B-41AFCDCEE24F}"/>
            </a:ext>
          </a:extLst>
        </xdr:cNvPr>
        <xdr:cNvCxnSpPr>
          <a:stCxn id="536" idx="3"/>
          <a:endCxn id="541" idx="3"/>
        </xdr:cNvCxnSpPr>
      </xdr:nvCxnSpPr>
      <xdr:spPr>
        <a:xfrm flipV="1">
          <a:off x="14170075" y="4719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110490</xdr:colOff>
      <xdr:row>219</xdr:row>
      <xdr:rowOff>59327</xdr:rowOff>
    </xdr:from>
    <xdr:to>
      <xdr:col>26</xdr:col>
      <xdr:colOff>400948</xdr:colOff>
      <xdr:row>219</xdr:row>
      <xdr:rowOff>81824</xdr:rowOff>
    </xdr:to>
    <xdr:cxnSp macro="">
      <xdr:nvCxnSpPr>
        <xdr:cNvPr id="549" name="Connector: Elbow 42">
          <a:extLst>
            <a:ext uri="{FF2B5EF4-FFF2-40B4-BE49-F238E27FC236}">
              <a16:creationId xmlns:a16="http://schemas.microsoft.com/office/drawing/2014/main" id="{B516959E-76E1-46A6-899A-3D4B2D78C23F}"/>
            </a:ext>
          </a:extLst>
        </xdr:cNvPr>
        <xdr:cNvCxnSpPr>
          <a:cxnSpLocks/>
          <a:stCxn id="535" idx="3"/>
          <a:endCxn id="556"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235</xdr:row>
      <xdr:rowOff>26442</xdr:rowOff>
    </xdr:from>
    <xdr:to>
      <xdr:col>25</xdr:col>
      <xdr:colOff>179755</xdr:colOff>
      <xdr:row>237</xdr:row>
      <xdr:rowOff>165780</xdr:rowOff>
    </xdr:to>
    <xdr:sp macro="" textlink="">
      <xdr:nvSpPr>
        <xdr:cNvPr id="552" name="Rectangle: Rounded Corners 551">
          <a:extLst>
            <a:ext uri="{FF2B5EF4-FFF2-40B4-BE49-F238E27FC236}">
              <a16:creationId xmlns:a16="http://schemas.microsoft.com/office/drawing/2014/main" id="{8C65620A-4414-4135-B77C-845153D60D5A}"/>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228</xdr:row>
      <xdr:rowOff>76199</xdr:rowOff>
    </xdr:from>
    <xdr:to>
      <xdr:col>23</xdr:col>
      <xdr:colOff>549869</xdr:colOff>
      <xdr:row>236</xdr:row>
      <xdr:rowOff>96111</xdr:rowOff>
    </xdr:to>
    <xdr:cxnSp macro="">
      <xdr:nvCxnSpPr>
        <xdr:cNvPr id="553" name="Connector: Elbow 552">
          <a:extLst>
            <a:ext uri="{FF2B5EF4-FFF2-40B4-BE49-F238E27FC236}">
              <a16:creationId xmlns:a16="http://schemas.microsoft.com/office/drawing/2014/main" id="{950D66AE-830F-4CC9-B5EE-D5CBC7612937}"/>
            </a:ext>
          </a:extLst>
        </xdr:cNvPr>
        <xdr:cNvCxnSpPr>
          <a:stCxn id="537" idx="4"/>
          <a:endCxn id="552"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235</xdr:row>
      <xdr:rowOff>181655</xdr:rowOff>
    </xdr:from>
    <xdr:to>
      <xdr:col>27</xdr:col>
      <xdr:colOff>241664</xdr:colOff>
      <xdr:row>237</xdr:row>
      <xdr:rowOff>53203</xdr:rowOff>
    </xdr:to>
    <xdr:sp macro="" textlink="">
      <xdr:nvSpPr>
        <xdr:cNvPr id="554" name="Isosceles Triangle 553">
          <a:extLst>
            <a:ext uri="{FF2B5EF4-FFF2-40B4-BE49-F238E27FC236}">
              <a16:creationId xmlns:a16="http://schemas.microsoft.com/office/drawing/2014/main" id="{10E56DFA-3BAB-4F2B-8911-94909E91161A}"/>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236</xdr:row>
      <xdr:rowOff>96111</xdr:rowOff>
    </xdr:from>
    <xdr:to>
      <xdr:col>27</xdr:col>
      <xdr:colOff>34836</xdr:colOff>
      <xdr:row>236</xdr:row>
      <xdr:rowOff>117429</xdr:rowOff>
    </xdr:to>
    <xdr:cxnSp macro="">
      <xdr:nvCxnSpPr>
        <xdr:cNvPr id="555" name="Connector: Elbow 351">
          <a:extLst>
            <a:ext uri="{FF2B5EF4-FFF2-40B4-BE49-F238E27FC236}">
              <a16:creationId xmlns:a16="http://schemas.microsoft.com/office/drawing/2014/main" id="{D8DFE6A7-9A5A-4C9E-A827-59DFAD85BF9D}"/>
            </a:ext>
          </a:extLst>
        </xdr:cNvPr>
        <xdr:cNvCxnSpPr>
          <a:stCxn id="552" idx="3"/>
          <a:endCxn id="554"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400947</xdr:colOff>
      <xdr:row>218</xdr:row>
      <xdr:rowOff>149860</xdr:rowOff>
    </xdr:from>
    <xdr:to>
      <xdr:col>26</xdr:col>
      <xdr:colOff>607776</xdr:colOff>
      <xdr:row>220</xdr:row>
      <xdr:rowOff>13788</xdr:rowOff>
    </xdr:to>
    <xdr:sp macro="" textlink="">
      <xdr:nvSpPr>
        <xdr:cNvPr id="556" name="Isosceles Triangle 555">
          <a:extLst>
            <a:ext uri="{FF2B5EF4-FFF2-40B4-BE49-F238E27FC236}">
              <a16:creationId xmlns:a16="http://schemas.microsoft.com/office/drawing/2014/main" id="{193DA85B-1CFF-4BB7-8E01-BB7533815F9D}"/>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385354</xdr:colOff>
      <xdr:row>276</xdr:row>
      <xdr:rowOff>26670</xdr:rowOff>
    </xdr:from>
    <xdr:to>
      <xdr:col>23</xdr:col>
      <xdr:colOff>15240</xdr:colOff>
      <xdr:row>278</xdr:row>
      <xdr:rowOff>160564</xdr:rowOff>
    </xdr:to>
    <xdr:sp macro="" textlink="">
      <xdr:nvSpPr>
        <xdr:cNvPr id="557" name="Rectangle: Rounded Corners 556">
          <a:extLst>
            <a:ext uri="{FF2B5EF4-FFF2-40B4-BE49-F238E27FC236}">
              <a16:creationId xmlns:a16="http://schemas.microsoft.com/office/drawing/2014/main" id="{1180FC8E-B09C-47FD-BB48-A04FC56C42D2}"/>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21</xdr:col>
      <xdr:colOff>547042</xdr:colOff>
      <xdr:row>291</xdr:row>
      <xdr:rowOff>144797</xdr:rowOff>
    </xdr:from>
    <xdr:to>
      <xdr:col>23</xdr:col>
      <xdr:colOff>176928</xdr:colOff>
      <xdr:row>294</xdr:row>
      <xdr:rowOff>95110</xdr:rowOff>
    </xdr:to>
    <xdr:sp macro="" textlink="">
      <xdr:nvSpPr>
        <xdr:cNvPr id="558" name="Rectangle: Rounded Corners 557">
          <a:extLst>
            <a:ext uri="{FF2B5EF4-FFF2-40B4-BE49-F238E27FC236}">
              <a16:creationId xmlns:a16="http://schemas.microsoft.com/office/drawing/2014/main" id="{CDEF8EA9-6563-4A8C-AD19-E4B190E132F6}"/>
            </a:ext>
          </a:extLst>
        </xdr:cNvPr>
        <xdr:cNvSpPr/>
      </xdr:nvSpPr>
      <xdr:spPr>
        <a:xfrm>
          <a:off x="12129442" y="16055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21</xdr:col>
      <xdr:colOff>487136</xdr:colOff>
      <xdr:row>300</xdr:row>
      <xdr:rowOff>127907</xdr:rowOff>
    </xdr:from>
    <xdr:to>
      <xdr:col>23</xdr:col>
      <xdr:colOff>117022</xdr:colOff>
      <xdr:row>303</xdr:row>
      <xdr:rowOff>78922</xdr:rowOff>
    </xdr:to>
    <xdr:sp macro="" textlink="">
      <xdr:nvSpPr>
        <xdr:cNvPr id="559" name="Rectangle: Rounded Corners 558">
          <a:extLst>
            <a:ext uri="{FF2B5EF4-FFF2-40B4-BE49-F238E27FC236}">
              <a16:creationId xmlns:a16="http://schemas.microsoft.com/office/drawing/2014/main" id="{A2ECA77E-7565-4D62-9756-09045789C2B6}"/>
            </a:ext>
          </a:extLst>
        </xdr:cNvPr>
        <xdr:cNvSpPr/>
      </xdr:nvSpPr>
      <xdr:spPr>
        <a:xfrm>
          <a:off x="12069536" y="17684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19</xdr:col>
      <xdr:colOff>516528</xdr:colOff>
      <xdr:row>283</xdr:row>
      <xdr:rowOff>37011</xdr:rowOff>
    </xdr:from>
    <xdr:to>
      <xdr:col>20</xdr:col>
      <xdr:colOff>222613</xdr:colOff>
      <xdr:row>284</xdr:row>
      <xdr:rowOff>113210</xdr:rowOff>
    </xdr:to>
    <xdr:sp macro="" textlink="">
      <xdr:nvSpPr>
        <xdr:cNvPr id="560" name="Oval 559">
          <a:extLst>
            <a:ext uri="{FF2B5EF4-FFF2-40B4-BE49-F238E27FC236}">
              <a16:creationId xmlns:a16="http://schemas.microsoft.com/office/drawing/2014/main" id="{F0542616-09A5-4C46-8E93-024A3D29C3DB}"/>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20</xdr:col>
      <xdr:colOff>64770</xdr:colOff>
      <xdr:row>277</xdr:row>
      <xdr:rowOff>93618</xdr:rowOff>
    </xdr:from>
    <xdr:to>
      <xdr:col>21</xdr:col>
      <xdr:colOff>385353</xdr:colOff>
      <xdr:row>283</xdr:row>
      <xdr:rowOff>37012</xdr:rowOff>
    </xdr:to>
    <xdr:cxnSp macro="">
      <xdr:nvCxnSpPr>
        <xdr:cNvPr id="561" name="Connector: Elbow 560">
          <a:extLst>
            <a:ext uri="{FF2B5EF4-FFF2-40B4-BE49-F238E27FC236}">
              <a16:creationId xmlns:a16="http://schemas.microsoft.com/office/drawing/2014/main" id="{C855F48D-B812-4DBA-8E3D-13D10B1D480F}"/>
            </a:ext>
          </a:extLst>
        </xdr:cNvPr>
        <xdr:cNvCxnSpPr>
          <a:cxnSpLocks/>
          <a:stCxn id="560" idx="0"/>
          <a:endCxn id="557"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222613</xdr:colOff>
      <xdr:row>283</xdr:row>
      <xdr:rowOff>166551</xdr:rowOff>
    </xdr:from>
    <xdr:to>
      <xdr:col>21</xdr:col>
      <xdr:colOff>547042</xdr:colOff>
      <xdr:row>293</xdr:row>
      <xdr:rowOff>28514</xdr:rowOff>
    </xdr:to>
    <xdr:cxnSp macro="">
      <xdr:nvCxnSpPr>
        <xdr:cNvPr id="562" name="Connector: Elbow 561">
          <a:extLst>
            <a:ext uri="{FF2B5EF4-FFF2-40B4-BE49-F238E27FC236}">
              <a16:creationId xmlns:a16="http://schemas.microsoft.com/office/drawing/2014/main" id="{8D3A470A-4873-45C5-B585-10A6EE24BE45}"/>
            </a:ext>
          </a:extLst>
        </xdr:cNvPr>
        <xdr:cNvCxnSpPr>
          <a:stCxn id="560" idx="6"/>
          <a:endCxn id="558"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64771</xdr:colOff>
      <xdr:row>284</xdr:row>
      <xdr:rowOff>113209</xdr:rowOff>
    </xdr:from>
    <xdr:to>
      <xdr:col>21</xdr:col>
      <xdr:colOff>487136</xdr:colOff>
      <xdr:row>302</xdr:row>
      <xdr:rowOff>11974</xdr:rowOff>
    </xdr:to>
    <xdr:cxnSp macro="">
      <xdr:nvCxnSpPr>
        <xdr:cNvPr id="563" name="Connector: Elbow 562">
          <a:extLst>
            <a:ext uri="{FF2B5EF4-FFF2-40B4-BE49-F238E27FC236}">
              <a16:creationId xmlns:a16="http://schemas.microsoft.com/office/drawing/2014/main" id="{C7CEB21D-ECF3-4298-BF92-8878A4531CE4}"/>
            </a:ext>
          </a:extLst>
        </xdr:cNvPr>
        <xdr:cNvCxnSpPr>
          <a:stCxn id="560" idx="4"/>
          <a:endCxn id="559"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103415</xdr:colOff>
      <xdr:row>301</xdr:row>
      <xdr:rowOff>76206</xdr:rowOff>
    </xdr:from>
    <xdr:to>
      <xdr:col>24</xdr:col>
      <xdr:colOff>310244</xdr:colOff>
      <xdr:row>302</xdr:row>
      <xdr:rowOff>130634</xdr:rowOff>
    </xdr:to>
    <xdr:sp macro="" textlink="">
      <xdr:nvSpPr>
        <xdr:cNvPr id="564" name="Isosceles Triangle 563">
          <a:extLst>
            <a:ext uri="{FF2B5EF4-FFF2-40B4-BE49-F238E27FC236}">
              <a16:creationId xmlns:a16="http://schemas.microsoft.com/office/drawing/2014/main" id="{30469239-CF23-4DEF-911B-7D16C03C6833}"/>
            </a:ext>
          </a:extLst>
        </xdr:cNvPr>
        <xdr:cNvSpPr/>
      </xdr:nvSpPr>
      <xdr:spPr>
        <a:xfrm rot="5400000">
          <a:off x="13499376" y="17830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117022</xdr:colOff>
      <xdr:row>302</xdr:row>
      <xdr:rowOff>8165</xdr:rowOff>
    </xdr:from>
    <xdr:to>
      <xdr:col>24</xdr:col>
      <xdr:colOff>103416</xdr:colOff>
      <xdr:row>302</xdr:row>
      <xdr:rowOff>8170</xdr:rowOff>
    </xdr:to>
    <xdr:cxnSp macro="">
      <xdr:nvCxnSpPr>
        <xdr:cNvPr id="565" name="Connector: Elbow 351">
          <a:extLst>
            <a:ext uri="{FF2B5EF4-FFF2-40B4-BE49-F238E27FC236}">
              <a16:creationId xmlns:a16="http://schemas.microsoft.com/office/drawing/2014/main" id="{85FC7D28-8BEB-4509-AEFF-7C13E58CBA75}"/>
            </a:ext>
          </a:extLst>
        </xdr:cNvPr>
        <xdr:cNvCxnSpPr>
          <a:stCxn id="559" idx="3"/>
          <a:endCxn id="564" idx="3"/>
        </xdr:cNvCxnSpPr>
      </xdr:nvCxnSpPr>
      <xdr:spPr>
        <a:xfrm>
          <a:off x="12918622" y="17930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293546</xdr:colOff>
      <xdr:row>292</xdr:row>
      <xdr:rowOff>74114</xdr:rowOff>
    </xdr:from>
    <xdr:to>
      <xdr:col>24</xdr:col>
      <xdr:colOff>500375</xdr:colOff>
      <xdr:row>293</xdr:row>
      <xdr:rowOff>134687</xdr:rowOff>
    </xdr:to>
    <xdr:sp macro="" textlink="">
      <xdr:nvSpPr>
        <xdr:cNvPr id="566" name="Isosceles Triangle 565">
          <a:extLst>
            <a:ext uri="{FF2B5EF4-FFF2-40B4-BE49-F238E27FC236}">
              <a16:creationId xmlns:a16="http://schemas.microsoft.com/office/drawing/2014/main" id="{7AE6A7E2-8634-4EA5-81A1-54F0E5DEC9D6}"/>
            </a:ext>
          </a:extLst>
        </xdr:cNvPr>
        <xdr:cNvSpPr/>
      </xdr:nvSpPr>
      <xdr:spPr>
        <a:xfrm rot="5400000">
          <a:off x="13686434" y="16185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176928</xdr:colOff>
      <xdr:row>293</xdr:row>
      <xdr:rowOff>12961</xdr:rowOff>
    </xdr:from>
    <xdr:to>
      <xdr:col>24</xdr:col>
      <xdr:colOff>293546</xdr:colOff>
      <xdr:row>293</xdr:row>
      <xdr:rowOff>28514</xdr:rowOff>
    </xdr:to>
    <xdr:cxnSp macro="">
      <xdr:nvCxnSpPr>
        <xdr:cNvPr id="567" name="Connector: Elbow 351">
          <a:extLst>
            <a:ext uri="{FF2B5EF4-FFF2-40B4-BE49-F238E27FC236}">
              <a16:creationId xmlns:a16="http://schemas.microsoft.com/office/drawing/2014/main" id="{74D8D3B1-B955-4922-8002-263F963CDB57}"/>
            </a:ext>
          </a:extLst>
        </xdr:cNvPr>
        <xdr:cNvCxnSpPr>
          <a:stCxn id="558" idx="3"/>
          <a:endCxn id="566" idx="3"/>
        </xdr:cNvCxnSpPr>
      </xdr:nvCxnSpPr>
      <xdr:spPr>
        <a:xfrm flipV="1">
          <a:off x="12978528" y="16289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519389</xdr:colOff>
      <xdr:row>278</xdr:row>
      <xdr:rowOff>102642</xdr:rowOff>
    </xdr:from>
    <xdr:to>
      <xdr:col>27</xdr:col>
      <xdr:colOff>149275</xdr:colOff>
      <xdr:row>281</xdr:row>
      <xdr:rowOff>59100</xdr:rowOff>
    </xdr:to>
    <xdr:sp macro="" textlink="">
      <xdr:nvSpPr>
        <xdr:cNvPr id="569" name="Rectangle: Rounded Corners 568">
          <a:extLst>
            <a:ext uri="{FF2B5EF4-FFF2-40B4-BE49-F238E27FC236}">
              <a16:creationId xmlns:a16="http://schemas.microsoft.com/office/drawing/2014/main" id="{DC260BFF-569F-452F-8838-746D4F627C1F}"/>
            </a:ext>
          </a:extLst>
        </xdr:cNvPr>
        <xdr:cNvSpPr/>
      </xdr:nvSpPr>
      <xdr:spPr>
        <a:xfrm>
          <a:off x="14540189" y="13635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23</xdr:col>
      <xdr:colOff>601436</xdr:colOff>
      <xdr:row>277</xdr:row>
      <xdr:rowOff>-1</xdr:rowOff>
    </xdr:from>
    <xdr:to>
      <xdr:col>24</xdr:col>
      <xdr:colOff>307521</xdr:colOff>
      <xdr:row>278</xdr:row>
      <xdr:rowOff>76199</xdr:rowOff>
    </xdr:to>
    <xdr:sp macro="" textlink="">
      <xdr:nvSpPr>
        <xdr:cNvPr id="570" name="Oval 569">
          <a:extLst>
            <a:ext uri="{FF2B5EF4-FFF2-40B4-BE49-F238E27FC236}">
              <a16:creationId xmlns:a16="http://schemas.microsoft.com/office/drawing/2014/main" id="{45DD146F-839D-49BB-A09D-BBA046E70922}"/>
            </a:ext>
          </a:extLst>
        </xdr:cNvPr>
        <xdr:cNvSpPr/>
      </xdr:nvSpPr>
      <xdr:spPr>
        <a:xfrm>
          <a:off x="13403036" y="13350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15240</xdr:colOff>
      <xdr:row>277</xdr:row>
      <xdr:rowOff>93617</xdr:rowOff>
    </xdr:from>
    <xdr:to>
      <xdr:col>23</xdr:col>
      <xdr:colOff>601436</xdr:colOff>
      <xdr:row>277</xdr:row>
      <xdr:rowOff>129539</xdr:rowOff>
    </xdr:to>
    <xdr:cxnSp macro="">
      <xdr:nvCxnSpPr>
        <xdr:cNvPr id="571" name="Connector: Elbow 42">
          <a:extLst>
            <a:ext uri="{FF2B5EF4-FFF2-40B4-BE49-F238E27FC236}">
              <a16:creationId xmlns:a16="http://schemas.microsoft.com/office/drawing/2014/main" id="{09C995F0-9BA1-453F-9945-A87869E65B97}"/>
            </a:ext>
          </a:extLst>
        </xdr:cNvPr>
        <xdr:cNvCxnSpPr>
          <a:cxnSpLocks/>
          <a:stCxn id="557" idx="3"/>
          <a:endCxn id="570"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149679</xdr:colOff>
      <xdr:row>278</xdr:row>
      <xdr:rowOff>76199</xdr:rowOff>
    </xdr:from>
    <xdr:to>
      <xdr:col>25</xdr:col>
      <xdr:colOff>519389</xdr:colOff>
      <xdr:row>279</xdr:row>
      <xdr:rowOff>172311</xdr:rowOff>
    </xdr:to>
    <xdr:cxnSp macro="">
      <xdr:nvCxnSpPr>
        <xdr:cNvPr id="573" name="Connector: Elbow 572">
          <a:extLst>
            <a:ext uri="{FF2B5EF4-FFF2-40B4-BE49-F238E27FC236}">
              <a16:creationId xmlns:a16="http://schemas.microsoft.com/office/drawing/2014/main" id="{3ADF5DFE-F08A-44FA-BDCD-780C0A9DA971}"/>
            </a:ext>
          </a:extLst>
        </xdr:cNvPr>
        <xdr:cNvCxnSpPr>
          <a:stCxn id="570" idx="4"/>
          <a:endCxn id="569" idx="1"/>
        </xdr:cNvCxnSpPr>
      </xdr:nvCxnSpPr>
      <xdr:spPr>
        <a:xfrm rot="16200000" flipH="1">
          <a:off x="13911038" y="13259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507275</xdr:colOff>
      <xdr:row>279</xdr:row>
      <xdr:rowOff>29256</xdr:rowOff>
    </xdr:from>
    <xdr:to>
      <xdr:col>29</xdr:col>
      <xdr:colOff>104504</xdr:colOff>
      <xdr:row>280</xdr:row>
      <xdr:rowOff>83684</xdr:rowOff>
    </xdr:to>
    <xdr:sp macro="" textlink="">
      <xdr:nvSpPr>
        <xdr:cNvPr id="574" name="Isosceles Triangle 573">
          <a:extLst>
            <a:ext uri="{FF2B5EF4-FFF2-40B4-BE49-F238E27FC236}">
              <a16:creationId xmlns:a16="http://schemas.microsoft.com/office/drawing/2014/main" id="{490BC8BF-C0D6-441A-8656-A78EF04BFB18}"/>
            </a:ext>
          </a:extLst>
        </xdr:cNvPr>
        <xdr:cNvSpPr/>
      </xdr:nvSpPr>
      <xdr:spPr>
        <a:xfrm rot="5400000">
          <a:off x="16341636" y="13760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149275</xdr:colOff>
      <xdr:row>279</xdr:row>
      <xdr:rowOff>147910</xdr:rowOff>
    </xdr:from>
    <xdr:to>
      <xdr:col>28</xdr:col>
      <xdr:colOff>507276</xdr:colOff>
      <xdr:row>279</xdr:row>
      <xdr:rowOff>172311</xdr:rowOff>
    </xdr:to>
    <xdr:cxnSp macro="">
      <xdr:nvCxnSpPr>
        <xdr:cNvPr id="575" name="Connector: Elbow 351">
          <a:extLst>
            <a:ext uri="{FF2B5EF4-FFF2-40B4-BE49-F238E27FC236}">
              <a16:creationId xmlns:a16="http://schemas.microsoft.com/office/drawing/2014/main" id="{9E112142-73B4-40A5-87CC-99666648438E}"/>
            </a:ext>
          </a:extLst>
        </xdr:cNvPr>
        <xdr:cNvCxnSpPr>
          <a:stCxn id="569" idx="3"/>
          <a:endCxn id="574" idx="3"/>
        </xdr:cNvCxnSpPr>
      </xdr:nvCxnSpPr>
      <xdr:spPr>
        <a:xfrm flipV="1">
          <a:off x="15389275" y="13863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474336</xdr:colOff>
      <xdr:row>269</xdr:row>
      <xdr:rowOff>55324</xdr:rowOff>
    </xdr:from>
    <xdr:to>
      <xdr:col>27</xdr:col>
      <xdr:colOff>104222</xdr:colOff>
      <xdr:row>272</xdr:row>
      <xdr:rowOff>17927</xdr:rowOff>
    </xdr:to>
    <xdr:sp macro="" textlink="">
      <xdr:nvSpPr>
        <xdr:cNvPr id="577" name="Rectangle: Rounded Corners 576">
          <a:extLst>
            <a:ext uri="{FF2B5EF4-FFF2-40B4-BE49-F238E27FC236}">
              <a16:creationId xmlns:a16="http://schemas.microsoft.com/office/drawing/2014/main" id="{EEBFE986-99F9-4A30-8F5C-9991EEB6F997}"/>
            </a:ext>
          </a:extLst>
        </xdr:cNvPr>
        <xdr:cNvSpPr/>
      </xdr:nvSpPr>
      <xdr:spPr>
        <a:xfrm>
          <a:off x="15714336" y="49219564"/>
          <a:ext cx="849086" cy="5112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24</xdr:col>
      <xdr:colOff>149679</xdr:colOff>
      <xdr:row>270</xdr:row>
      <xdr:rowOff>128067</xdr:rowOff>
    </xdr:from>
    <xdr:to>
      <xdr:col>25</xdr:col>
      <xdr:colOff>474336</xdr:colOff>
      <xdr:row>277</xdr:row>
      <xdr:rowOff>0</xdr:rowOff>
    </xdr:to>
    <xdr:cxnSp macro="">
      <xdr:nvCxnSpPr>
        <xdr:cNvPr id="579" name="Connector: Elbow 578">
          <a:extLst>
            <a:ext uri="{FF2B5EF4-FFF2-40B4-BE49-F238E27FC236}">
              <a16:creationId xmlns:a16="http://schemas.microsoft.com/office/drawing/2014/main" id="{76811D25-175C-4B57-A367-DC50564E2947}"/>
            </a:ext>
          </a:extLst>
        </xdr:cNvPr>
        <xdr:cNvCxnSpPr>
          <a:cxnSpLocks/>
          <a:stCxn id="570" idx="0"/>
          <a:endCxn id="577" idx="1"/>
        </xdr:cNvCxnSpPr>
      </xdr:nvCxnSpPr>
      <xdr:spPr>
        <a:xfrm rot="5400000" flipH="1" flipV="1">
          <a:off x="14671161" y="49584105"/>
          <a:ext cx="1152093" cy="93425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568587</xdr:colOff>
      <xdr:row>269</xdr:row>
      <xdr:rowOff>180340</xdr:rowOff>
    </xdr:from>
    <xdr:to>
      <xdr:col>29</xdr:col>
      <xdr:colOff>165816</xdr:colOff>
      <xdr:row>271</xdr:row>
      <xdr:rowOff>44268</xdr:rowOff>
    </xdr:to>
    <xdr:sp macro="" textlink="">
      <xdr:nvSpPr>
        <xdr:cNvPr id="580" name="Isosceles Triangle 579">
          <a:extLst>
            <a:ext uri="{FF2B5EF4-FFF2-40B4-BE49-F238E27FC236}">
              <a16:creationId xmlns:a16="http://schemas.microsoft.com/office/drawing/2014/main" id="{03816D83-3B73-4099-8F7A-404873368F49}"/>
            </a:ext>
          </a:extLst>
        </xdr:cNvPr>
        <xdr:cNvSpPr/>
      </xdr:nvSpPr>
      <xdr:spPr>
        <a:xfrm rot="5400000">
          <a:off x="17625958" y="493560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104222</xdr:colOff>
      <xdr:row>270</xdr:row>
      <xdr:rowOff>112304</xdr:rowOff>
    </xdr:from>
    <xdr:to>
      <xdr:col>28</xdr:col>
      <xdr:colOff>568588</xdr:colOff>
      <xdr:row>270</xdr:row>
      <xdr:rowOff>128066</xdr:rowOff>
    </xdr:to>
    <xdr:cxnSp macro="">
      <xdr:nvCxnSpPr>
        <xdr:cNvPr id="581" name="Connector: Elbow 351">
          <a:extLst>
            <a:ext uri="{FF2B5EF4-FFF2-40B4-BE49-F238E27FC236}">
              <a16:creationId xmlns:a16="http://schemas.microsoft.com/office/drawing/2014/main" id="{73B4A6FF-B4EB-4A8A-B268-4CE6BEB27035}"/>
            </a:ext>
          </a:extLst>
        </xdr:cNvPr>
        <xdr:cNvCxnSpPr>
          <a:cxnSpLocks/>
          <a:stCxn id="577" idx="3"/>
          <a:endCxn id="580" idx="3"/>
        </xdr:cNvCxnSpPr>
      </xdr:nvCxnSpPr>
      <xdr:spPr>
        <a:xfrm flipV="1">
          <a:off x="16563422" y="49459424"/>
          <a:ext cx="1073966" cy="1576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549869</xdr:colOff>
      <xdr:row>285</xdr:row>
      <xdr:rowOff>26442</xdr:rowOff>
    </xdr:from>
    <xdr:to>
      <xdr:col>27</xdr:col>
      <xdr:colOff>179755</xdr:colOff>
      <xdr:row>287</xdr:row>
      <xdr:rowOff>165780</xdr:rowOff>
    </xdr:to>
    <xdr:sp macro="" textlink="">
      <xdr:nvSpPr>
        <xdr:cNvPr id="585" name="Rectangle: Rounded Corners 584">
          <a:extLst>
            <a:ext uri="{FF2B5EF4-FFF2-40B4-BE49-F238E27FC236}">
              <a16:creationId xmlns:a16="http://schemas.microsoft.com/office/drawing/2014/main" id="{45480605-34F5-4699-A6D0-F8E0846AF36F}"/>
            </a:ext>
          </a:extLst>
        </xdr:cNvPr>
        <xdr:cNvSpPr/>
      </xdr:nvSpPr>
      <xdr:spPr>
        <a:xfrm>
          <a:off x="14570669" y="14839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24</xdr:col>
      <xdr:colOff>149679</xdr:colOff>
      <xdr:row>278</xdr:row>
      <xdr:rowOff>76199</xdr:rowOff>
    </xdr:from>
    <xdr:to>
      <xdr:col>25</xdr:col>
      <xdr:colOff>549869</xdr:colOff>
      <xdr:row>286</xdr:row>
      <xdr:rowOff>96111</xdr:rowOff>
    </xdr:to>
    <xdr:cxnSp macro="">
      <xdr:nvCxnSpPr>
        <xdr:cNvPr id="586" name="Connector: Elbow 585">
          <a:extLst>
            <a:ext uri="{FF2B5EF4-FFF2-40B4-BE49-F238E27FC236}">
              <a16:creationId xmlns:a16="http://schemas.microsoft.com/office/drawing/2014/main" id="{64860919-7476-460B-BBEA-00DA2A440D82}"/>
            </a:ext>
          </a:extLst>
        </xdr:cNvPr>
        <xdr:cNvCxnSpPr>
          <a:stCxn id="570" idx="4"/>
          <a:endCxn id="585" idx="1"/>
        </xdr:cNvCxnSpPr>
      </xdr:nvCxnSpPr>
      <xdr:spPr>
        <a:xfrm rot="16200000" flipH="1">
          <a:off x="13324298" y="13845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34835</xdr:colOff>
      <xdr:row>285</xdr:row>
      <xdr:rowOff>181655</xdr:rowOff>
    </xdr:from>
    <xdr:to>
      <xdr:col>29</xdr:col>
      <xdr:colOff>241664</xdr:colOff>
      <xdr:row>287</xdr:row>
      <xdr:rowOff>53203</xdr:rowOff>
    </xdr:to>
    <xdr:sp macro="" textlink="">
      <xdr:nvSpPr>
        <xdr:cNvPr id="587" name="Isosceles Triangle 586">
          <a:extLst>
            <a:ext uri="{FF2B5EF4-FFF2-40B4-BE49-F238E27FC236}">
              <a16:creationId xmlns:a16="http://schemas.microsoft.com/office/drawing/2014/main" id="{E020563A-423C-4389-9F92-52EAA84CB18F}"/>
            </a:ext>
          </a:extLst>
        </xdr:cNvPr>
        <xdr:cNvSpPr/>
      </xdr:nvSpPr>
      <xdr:spPr>
        <a:xfrm rot="5400000">
          <a:off x="16478796" y="15010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179755</xdr:colOff>
      <xdr:row>286</xdr:row>
      <xdr:rowOff>96111</xdr:rowOff>
    </xdr:from>
    <xdr:to>
      <xdr:col>29</xdr:col>
      <xdr:colOff>34836</xdr:colOff>
      <xdr:row>286</xdr:row>
      <xdr:rowOff>117429</xdr:rowOff>
    </xdr:to>
    <xdr:cxnSp macro="">
      <xdr:nvCxnSpPr>
        <xdr:cNvPr id="588" name="Connector: Elbow 351">
          <a:extLst>
            <a:ext uri="{FF2B5EF4-FFF2-40B4-BE49-F238E27FC236}">
              <a16:creationId xmlns:a16="http://schemas.microsoft.com/office/drawing/2014/main" id="{16F66120-CB96-4774-AB59-92D387F7331A}"/>
            </a:ext>
          </a:extLst>
        </xdr:cNvPr>
        <xdr:cNvCxnSpPr>
          <a:stCxn id="585" idx="3"/>
          <a:endCxn id="587" idx="3"/>
        </xdr:cNvCxnSpPr>
      </xdr:nvCxnSpPr>
      <xdr:spPr>
        <a:xfrm>
          <a:off x="15419755" y="15092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594904</xdr:colOff>
      <xdr:row>347</xdr:row>
      <xdr:rowOff>81643</xdr:rowOff>
    </xdr:from>
    <xdr:to>
      <xdr:col>17</xdr:col>
      <xdr:colOff>224790</xdr:colOff>
      <xdr:row>350</xdr:row>
      <xdr:rowOff>38100</xdr:rowOff>
    </xdr:to>
    <xdr:sp macro="" textlink="">
      <xdr:nvSpPr>
        <xdr:cNvPr id="590" name="Rectangle: Rounded Corners 589">
          <a:extLst>
            <a:ext uri="{FF2B5EF4-FFF2-40B4-BE49-F238E27FC236}">
              <a16:creationId xmlns:a16="http://schemas.microsoft.com/office/drawing/2014/main" id="{41DACFF0-F5FF-47D8-95D8-E6BD3D8AA748}"/>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16</xdr:col>
      <xdr:colOff>283573</xdr:colOff>
      <xdr:row>386</xdr:row>
      <xdr:rowOff>81099</xdr:rowOff>
    </xdr:from>
    <xdr:to>
      <xdr:col>17</xdr:col>
      <xdr:colOff>523059</xdr:colOff>
      <xdr:row>389</xdr:row>
      <xdr:rowOff>30480</xdr:rowOff>
    </xdr:to>
    <xdr:sp macro="" textlink="">
      <xdr:nvSpPr>
        <xdr:cNvPr id="591" name="Rectangle: Rounded Corners 590">
          <a:extLst>
            <a:ext uri="{FF2B5EF4-FFF2-40B4-BE49-F238E27FC236}">
              <a16:creationId xmlns:a16="http://schemas.microsoft.com/office/drawing/2014/main" id="{5B925489-32A6-47E2-9EAB-375D3D492451}"/>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15</xdr:col>
      <xdr:colOff>1</xdr:colOff>
      <xdr:row>348</xdr:row>
      <xdr:rowOff>151313</xdr:rowOff>
    </xdr:from>
    <xdr:to>
      <xdr:col>15</xdr:col>
      <xdr:colOff>594904</xdr:colOff>
      <xdr:row>354</xdr:row>
      <xdr:rowOff>100148</xdr:rowOff>
    </xdr:to>
    <xdr:cxnSp macro="">
      <xdr:nvCxnSpPr>
        <xdr:cNvPr id="592" name="Connector: Elbow 591">
          <a:extLst>
            <a:ext uri="{FF2B5EF4-FFF2-40B4-BE49-F238E27FC236}">
              <a16:creationId xmlns:a16="http://schemas.microsoft.com/office/drawing/2014/main" id="{8B657198-8630-42C7-9D34-57EF966D787E}"/>
            </a:ext>
          </a:extLst>
        </xdr:cNvPr>
        <xdr:cNvCxnSpPr>
          <a:stCxn id="594" idx="0"/>
          <a:endCxn id="590" idx="1"/>
        </xdr:cNvCxnSpPr>
      </xdr:nvCxnSpPr>
      <xdr:spPr>
        <a:xfrm rot="5400000" flipH="1" flipV="1">
          <a:off x="7699195" y="7692119"/>
          <a:ext cx="1046115" cy="5949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xdr:colOff>
      <xdr:row>355</xdr:row>
      <xdr:rowOff>176346</xdr:rowOff>
    </xdr:from>
    <xdr:to>
      <xdr:col>16</xdr:col>
      <xdr:colOff>283574</xdr:colOff>
      <xdr:row>387</xdr:row>
      <xdr:rowOff>147229</xdr:rowOff>
    </xdr:to>
    <xdr:cxnSp macro="">
      <xdr:nvCxnSpPr>
        <xdr:cNvPr id="593" name="Connector: Elbow 592">
          <a:extLst>
            <a:ext uri="{FF2B5EF4-FFF2-40B4-BE49-F238E27FC236}">
              <a16:creationId xmlns:a16="http://schemas.microsoft.com/office/drawing/2014/main" id="{10DAA1D6-4084-4F6A-9AF2-A09F25626379}"/>
            </a:ext>
          </a:extLst>
        </xdr:cNvPr>
        <xdr:cNvCxnSpPr>
          <a:stCxn id="594" idx="4"/>
          <a:endCxn id="591" idx="1"/>
        </xdr:cNvCxnSpPr>
      </xdr:nvCxnSpPr>
      <xdr:spPr>
        <a:xfrm rot="16200000" flipH="1">
          <a:off x="5459866" y="11236642"/>
          <a:ext cx="5823043" cy="893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451758</xdr:colOff>
      <xdr:row>354</xdr:row>
      <xdr:rowOff>100147</xdr:rowOff>
    </xdr:from>
    <xdr:to>
      <xdr:col>15</xdr:col>
      <xdr:colOff>157843</xdr:colOff>
      <xdr:row>355</xdr:row>
      <xdr:rowOff>176347</xdr:rowOff>
    </xdr:to>
    <xdr:sp macro="" textlink="">
      <xdr:nvSpPr>
        <xdr:cNvPr id="594" name="Oval 593">
          <a:extLst>
            <a:ext uri="{FF2B5EF4-FFF2-40B4-BE49-F238E27FC236}">
              <a16:creationId xmlns:a16="http://schemas.microsoft.com/office/drawing/2014/main" id="{64208A40-6D2F-4BAD-AE6C-0584BDE5A86D}"/>
            </a:ext>
          </a:extLst>
        </xdr:cNvPr>
        <xdr:cNvSpPr/>
      </xdr:nvSpPr>
      <xdr:spPr>
        <a:xfrm>
          <a:off x="7766958" y="85126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523059</xdr:colOff>
      <xdr:row>387</xdr:row>
      <xdr:rowOff>147230</xdr:rowOff>
    </xdr:from>
    <xdr:to>
      <xdr:col>19</xdr:col>
      <xdr:colOff>516528</xdr:colOff>
      <xdr:row>387</xdr:row>
      <xdr:rowOff>166551</xdr:rowOff>
    </xdr:to>
    <xdr:cxnSp macro="">
      <xdr:nvCxnSpPr>
        <xdr:cNvPr id="595" name="Connector: Elbow 351">
          <a:extLst>
            <a:ext uri="{FF2B5EF4-FFF2-40B4-BE49-F238E27FC236}">
              <a16:creationId xmlns:a16="http://schemas.microsoft.com/office/drawing/2014/main" id="{86361D55-9EB4-40B4-8E9E-AA5FC48AA3FE}"/>
            </a:ext>
          </a:extLst>
        </xdr:cNvPr>
        <xdr:cNvCxnSpPr>
          <a:cxnSpLocks/>
          <a:stCxn id="591" idx="3"/>
          <a:endCxn id="641"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141514</xdr:colOff>
      <xdr:row>330</xdr:row>
      <xdr:rowOff>57150</xdr:rowOff>
    </xdr:from>
    <xdr:to>
      <xdr:col>20</xdr:col>
      <xdr:colOff>381000</xdr:colOff>
      <xdr:row>333</xdr:row>
      <xdr:rowOff>8164</xdr:rowOff>
    </xdr:to>
    <xdr:sp macro="" textlink="">
      <xdr:nvSpPr>
        <xdr:cNvPr id="596" name="Rectangle: Rounded Corners 595">
          <a:extLst>
            <a:ext uri="{FF2B5EF4-FFF2-40B4-BE49-F238E27FC236}">
              <a16:creationId xmlns:a16="http://schemas.microsoft.com/office/drawing/2014/main" id="{64957D78-6209-4CB1-9ADC-7C023A01B29A}"/>
            </a:ext>
          </a:extLst>
        </xdr:cNvPr>
        <xdr:cNvSpPr/>
      </xdr:nvSpPr>
      <xdr:spPr>
        <a:xfrm>
          <a:off x="10504714" y="40805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19</xdr:col>
      <xdr:colOff>547042</xdr:colOff>
      <xdr:row>345</xdr:row>
      <xdr:rowOff>144797</xdr:rowOff>
    </xdr:from>
    <xdr:to>
      <xdr:col>21</xdr:col>
      <xdr:colOff>176928</xdr:colOff>
      <xdr:row>348</xdr:row>
      <xdr:rowOff>95110</xdr:rowOff>
    </xdr:to>
    <xdr:sp macro="" textlink="">
      <xdr:nvSpPr>
        <xdr:cNvPr id="597" name="Rectangle: Rounded Corners 596">
          <a:extLst>
            <a:ext uri="{FF2B5EF4-FFF2-40B4-BE49-F238E27FC236}">
              <a16:creationId xmlns:a16="http://schemas.microsoft.com/office/drawing/2014/main" id="{2E66EA3B-45DF-484B-90CA-10F9FDEA9BF0}"/>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354</xdr:row>
      <xdr:rowOff>127907</xdr:rowOff>
    </xdr:from>
    <xdr:to>
      <xdr:col>21</xdr:col>
      <xdr:colOff>117022</xdr:colOff>
      <xdr:row>357</xdr:row>
      <xdr:rowOff>78922</xdr:rowOff>
    </xdr:to>
    <xdr:sp macro="" textlink="">
      <xdr:nvSpPr>
        <xdr:cNvPr id="598" name="Rectangle: Rounded Corners 597">
          <a:extLst>
            <a:ext uri="{FF2B5EF4-FFF2-40B4-BE49-F238E27FC236}">
              <a16:creationId xmlns:a16="http://schemas.microsoft.com/office/drawing/2014/main" id="{67C6CD23-EF9B-497E-AD2A-6637BCF630AF}"/>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18</xdr:col>
      <xdr:colOff>13608</xdr:colOff>
      <xdr:row>348</xdr:row>
      <xdr:rowOff>21771</xdr:rowOff>
    </xdr:from>
    <xdr:to>
      <xdr:col>18</xdr:col>
      <xdr:colOff>329293</xdr:colOff>
      <xdr:row>349</xdr:row>
      <xdr:rowOff>97970</xdr:rowOff>
    </xdr:to>
    <xdr:sp macro="" textlink="">
      <xdr:nvSpPr>
        <xdr:cNvPr id="599" name="Oval 598">
          <a:extLst>
            <a:ext uri="{FF2B5EF4-FFF2-40B4-BE49-F238E27FC236}">
              <a16:creationId xmlns:a16="http://schemas.microsoft.com/office/drawing/2014/main" id="{F7271039-9A50-471E-A215-CEA028F300BE}"/>
            </a:ext>
          </a:extLst>
        </xdr:cNvPr>
        <xdr:cNvSpPr/>
      </xdr:nvSpPr>
      <xdr:spPr>
        <a:xfrm>
          <a:off x="9767208" y="733697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17</xdr:col>
      <xdr:colOff>224790</xdr:colOff>
      <xdr:row>348</xdr:row>
      <xdr:rowOff>151311</xdr:rowOff>
    </xdr:from>
    <xdr:to>
      <xdr:col>18</xdr:col>
      <xdr:colOff>13608</xdr:colOff>
      <xdr:row>348</xdr:row>
      <xdr:rowOff>151312</xdr:rowOff>
    </xdr:to>
    <xdr:cxnSp macro="">
      <xdr:nvCxnSpPr>
        <xdr:cNvPr id="600" name="Connector: Elbow 42">
          <a:extLst>
            <a:ext uri="{FF2B5EF4-FFF2-40B4-BE49-F238E27FC236}">
              <a16:creationId xmlns:a16="http://schemas.microsoft.com/office/drawing/2014/main" id="{DE48989B-2A30-4264-95CC-95C651545832}"/>
            </a:ext>
          </a:extLst>
        </xdr:cNvPr>
        <xdr:cNvCxnSpPr>
          <a:cxnSpLocks/>
          <a:stCxn id="590" idx="3"/>
          <a:endCxn id="599"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171450</xdr:colOff>
      <xdr:row>331</xdr:row>
      <xdr:rowOff>127908</xdr:rowOff>
    </xdr:from>
    <xdr:to>
      <xdr:col>19</xdr:col>
      <xdr:colOff>141513</xdr:colOff>
      <xdr:row>348</xdr:row>
      <xdr:rowOff>21772</xdr:rowOff>
    </xdr:to>
    <xdr:cxnSp macro="">
      <xdr:nvCxnSpPr>
        <xdr:cNvPr id="601" name="Connector: Elbow 600">
          <a:extLst>
            <a:ext uri="{FF2B5EF4-FFF2-40B4-BE49-F238E27FC236}">
              <a16:creationId xmlns:a16="http://schemas.microsoft.com/office/drawing/2014/main" id="{93163360-B50E-4C69-B96D-D9225E1890C8}"/>
            </a:ext>
          </a:extLst>
        </xdr:cNvPr>
        <xdr:cNvCxnSpPr>
          <a:stCxn id="599" idx="0"/>
          <a:endCxn id="596" idx="1"/>
        </xdr:cNvCxnSpPr>
      </xdr:nvCxnSpPr>
      <xdr:spPr>
        <a:xfrm rot="5400000" flipH="1" flipV="1">
          <a:off x="8713470" y="5545728"/>
          <a:ext cx="300282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329293</xdr:colOff>
      <xdr:row>347</xdr:row>
      <xdr:rowOff>28514</xdr:rowOff>
    </xdr:from>
    <xdr:to>
      <xdr:col>19</xdr:col>
      <xdr:colOff>547042</xdr:colOff>
      <xdr:row>348</xdr:row>
      <xdr:rowOff>151311</xdr:rowOff>
    </xdr:to>
    <xdr:cxnSp macro="">
      <xdr:nvCxnSpPr>
        <xdr:cNvPr id="602" name="Connector: Elbow 601">
          <a:extLst>
            <a:ext uri="{FF2B5EF4-FFF2-40B4-BE49-F238E27FC236}">
              <a16:creationId xmlns:a16="http://schemas.microsoft.com/office/drawing/2014/main" id="{D69D68A4-591C-4EF6-BBC4-04105C5D65FB}"/>
            </a:ext>
          </a:extLst>
        </xdr:cNvPr>
        <xdr:cNvCxnSpPr>
          <a:stCxn id="599" idx="6"/>
          <a:endCxn id="597"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171451</xdr:colOff>
      <xdr:row>349</xdr:row>
      <xdr:rowOff>97969</xdr:rowOff>
    </xdr:from>
    <xdr:to>
      <xdr:col>19</xdr:col>
      <xdr:colOff>487136</xdr:colOff>
      <xdr:row>356</xdr:row>
      <xdr:rowOff>8164</xdr:rowOff>
    </xdr:to>
    <xdr:cxnSp macro="">
      <xdr:nvCxnSpPr>
        <xdr:cNvPr id="603" name="Connector: Elbow 602">
          <a:extLst>
            <a:ext uri="{FF2B5EF4-FFF2-40B4-BE49-F238E27FC236}">
              <a16:creationId xmlns:a16="http://schemas.microsoft.com/office/drawing/2014/main" id="{9E644CD7-236A-4E6D-86B9-CA2B94F5FC28}"/>
            </a:ext>
          </a:extLst>
        </xdr:cNvPr>
        <xdr:cNvCxnSpPr>
          <a:stCxn id="599" idx="4"/>
          <a:endCxn id="598" idx="1"/>
        </xdr:cNvCxnSpPr>
      </xdr:nvCxnSpPr>
      <xdr:spPr>
        <a:xfrm rot="16200000" flipH="1">
          <a:off x="9792516" y="7728584"/>
          <a:ext cx="119035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355</xdr:row>
      <xdr:rowOff>76206</xdr:rowOff>
    </xdr:from>
    <xdr:to>
      <xdr:col>22</xdr:col>
      <xdr:colOff>310244</xdr:colOff>
      <xdr:row>356</xdr:row>
      <xdr:rowOff>130634</xdr:rowOff>
    </xdr:to>
    <xdr:sp macro="" textlink="">
      <xdr:nvSpPr>
        <xdr:cNvPr id="604" name="Isosceles Triangle 603">
          <a:extLst>
            <a:ext uri="{FF2B5EF4-FFF2-40B4-BE49-F238E27FC236}">
              <a16:creationId xmlns:a16="http://schemas.microsoft.com/office/drawing/2014/main" id="{4017F4F9-011F-4330-94F0-B97830CF5F0E}"/>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356</xdr:row>
      <xdr:rowOff>8165</xdr:rowOff>
    </xdr:from>
    <xdr:to>
      <xdr:col>22</xdr:col>
      <xdr:colOff>103416</xdr:colOff>
      <xdr:row>356</xdr:row>
      <xdr:rowOff>8170</xdr:rowOff>
    </xdr:to>
    <xdr:cxnSp macro="">
      <xdr:nvCxnSpPr>
        <xdr:cNvPr id="605" name="Connector: Elbow 351">
          <a:extLst>
            <a:ext uri="{FF2B5EF4-FFF2-40B4-BE49-F238E27FC236}">
              <a16:creationId xmlns:a16="http://schemas.microsoft.com/office/drawing/2014/main" id="{D84EE76B-0A4E-4855-89F6-BCBA212F7F4A}"/>
            </a:ext>
          </a:extLst>
        </xdr:cNvPr>
        <xdr:cNvCxnSpPr>
          <a:stCxn id="598" idx="3"/>
          <a:endCxn id="604"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346</xdr:row>
      <xdr:rowOff>74114</xdr:rowOff>
    </xdr:from>
    <xdr:to>
      <xdr:col>22</xdr:col>
      <xdr:colOff>500375</xdr:colOff>
      <xdr:row>347</xdr:row>
      <xdr:rowOff>134687</xdr:rowOff>
    </xdr:to>
    <xdr:sp macro="" textlink="">
      <xdr:nvSpPr>
        <xdr:cNvPr id="606" name="Isosceles Triangle 605">
          <a:extLst>
            <a:ext uri="{FF2B5EF4-FFF2-40B4-BE49-F238E27FC236}">
              <a16:creationId xmlns:a16="http://schemas.microsoft.com/office/drawing/2014/main" id="{17E331B4-7899-40FF-A087-E3C839E6595F}"/>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347</xdr:row>
      <xdr:rowOff>12961</xdr:rowOff>
    </xdr:from>
    <xdr:to>
      <xdr:col>22</xdr:col>
      <xdr:colOff>293546</xdr:colOff>
      <xdr:row>347</xdr:row>
      <xdr:rowOff>28514</xdr:rowOff>
    </xdr:to>
    <xdr:cxnSp macro="">
      <xdr:nvCxnSpPr>
        <xdr:cNvPr id="607" name="Connector: Elbow 351">
          <a:extLst>
            <a:ext uri="{FF2B5EF4-FFF2-40B4-BE49-F238E27FC236}">
              <a16:creationId xmlns:a16="http://schemas.microsoft.com/office/drawing/2014/main" id="{255F9C36-E388-418E-BC7D-C95A7C9AEE91}"/>
            </a:ext>
          </a:extLst>
        </xdr:cNvPr>
        <xdr:cNvCxnSpPr>
          <a:stCxn id="597" idx="3"/>
          <a:endCxn id="606"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480604</xdr:colOff>
      <xdr:row>321</xdr:row>
      <xdr:rowOff>171450</xdr:rowOff>
    </xdr:from>
    <xdr:to>
      <xdr:col>25</xdr:col>
      <xdr:colOff>110490</xdr:colOff>
      <xdr:row>324</xdr:row>
      <xdr:rowOff>130084</xdr:rowOff>
    </xdr:to>
    <xdr:sp macro="" textlink="">
      <xdr:nvSpPr>
        <xdr:cNvPr id="608" name="Rectangle: Rounded Corners 607">
          <a:extLst>
            <a:ext uri="{FF2B5EF4-FFF2-40B4-BE49-F238E27FC236}">
              <a16:creationId xmlns:a16="http://schemas.microsoft.com/office/drawing/2014/main" id="{16B44F80-A722-44B8-B62C-6EBE044E6097}"/>
            </a:ext>
          </a:extLst>
        </xdr:cNvPr>
        <xdr:cNvSpPr/>
      </xdr:nvSpPr>
      <xdr:spPr>
        <a:xfrm>
          <a:off x="13282204" y="2548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23</xdr:col>
      <xdr:colOff>519389</xdr:colOff>
      <xdr:row>332</xdr:row>
      <xdr:rowOff>102642</xdr:rowOff>
    </xdr:from>
    <xdr:to>
      <xdr:col>25</xdr:col>
      <xdr:colOff>149275</xdr:colOff>
      <xdr:row>335</xdr:row>
      <xdr:rowOff>59100</xdr:rowOff>
    </xdr:to>
    <xdr:sp macro="" textlink="">
      <xdr:nvSpPr>
        <xdr:cNvPr id="609" name="Rectangle: Rounded Corners 608">
          <a:extLst>
            <a:ext uri="{FF2B5EF4-FFF2-40B4-BE49-F238E27FC236}">
              <a16:creationId xmlns:a16="http://schemas.microsoft.com/office/drawing/2014/main" id="{1C90DDDE-740C-4741-B1E1-2A0DE9320C73}"/>
            </a:ext>
          </a:extLst>
        </xdr:cNvPr>
        <xdr:cNvSpPr/>
      </xdr:nvSpPr>
      <xdr:spPr>
        <a:xfrm>
          <a:off x="13320989" y="4491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331</xdr:row>
      <xdr:rowOff>-1</xdr:rowOff>
    </xdr:from>
    <xdr:to>
      <xdr:col>22</xdr:col>
      <xdr:colOff>307521</xdr:colOff>
      <xdr:row>332</xdr:row>
      <xdr:rowOff>76199</xdr:rowOff>
    </xdr:to>
    <xdr:sp macro="" textlink="">
      <xdr:nvSpPr>
        <xdr:cNvPr id="610" name="Oval 609">
          <a:extLst>
            <a:ext uri="{FF2B5EF4-FFF2-40B4-BE49-F238E27FC236}">
              <a16:creationId xmlns:a16="http://schemas.microsoft.com/office/drawing/2014/main" id="{8955C09A-C03F-42BA-8749-0D67F639E2C3}"/>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20</xdr:col>
      <xdr:colOff>381000</xdr:colOff>
      <xdr:row>331</xdr:row>
      <xdr:rowOff>127907</xdr:rowOff>
    </xdr:from>
    <xdr:to>
      <xdr:col>21</xdr:col>
      <xdr:colOff>601436</xdr:colOff>
      <xdr:row>331</xdr:row>
      <xdr:rowOff>133349</xdr:rowOff>
    </xdr:to>
    <xdr:cxnSp macro="">
      <xdr:nvCxnSpPr>
        <xdr:cNvPr id="611" name="Connector: Elbow 42">
          <a:extLst>
            <a:ext uri="{FF2B5EF4-FFF2-40B4-BE49-F238E27FC236}">
              <a16:creationId xmlns:a16="http://schemas.microsoft.com/office/drawing/2014/main" id="{6DE28C89-6E09-451F-9325-71EB0A658510}"/>
            </a:ext>
          </a:extLst>
        </xdr:cNvPr>
        <xdr:cNvCxnSpPr>
          <a:cxnSpLocks/>
          <a:stCxn id="596" idx="3"/>
          <a:endCxn id="610" idx="2"/>
        </xdr:cNvCxnSpPr>
      </xdr:nvCxnSpPr>
      <xdr:spPr>
        <a:xfrm>
          <a:off x="11353800" y="433414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149678</xdr:colOff>
      <xdr:row>323</xdr:row>
      <xdr:rowOff>59328</xdr:rowOff>
    </xdr:from>
    <xdr:to>
      <xdr:col>23</xdr:col>
      <xdr:colOff>480603</xdr:colOff>
      <xdr:row>331</xdr:row>
      <xdr:rowOff>0</xdr:rowOff>
    </xdr:to>
    <xdr:cxnSp macro="">
      <xdr:nvCxnSpPr>
        <xdr:cNvPr id="612" name="Connector: Elbow 611">
          <a:extLst>
            <a:ext uri="{FF2B5EF4-FFF2-40B4-BE49-F238E27FC236}">
              <a16:creationId xmlns:a16="http://schemas.microsoft.com/office/drawing/2014/main" id="{3AF6EC54-97D7-43E4-ABF0-DD64D74ED3CC}"/>
            </a:ext>
          </a:extLst>
        </xdr:cNvPr>
        <xdr:cNvCxnSpPr>
          <a:stCxn id="610" idx="0"/>
          <a:endCxn id="608"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149679</xdr:colOff>
      <xdr:row>332</xdr:row>
      <xdr:rowOff>76199</xdr:rowOff>
    </xdr:from>
    <xdr:to>
      <xdr:col>23</xdr:col>
      <xdr:colOff>519389</xdr:colOff>
      <xdr:row>333</xdr:row>
      <xdr:rowOff>172311</xdr:rowOff>
    </xdr:to>
    <xdr:cxnSp macro="">
      <xdr:nvCxnSpPr>
        <xdr:cNvPr id="613" name="Connector: Elbow 612">
          <a:extLst>
            <a:ext uri="{FF2B5EF4-FFF2-40B4-BE49-F238E27FC236}">
              <a16:creationId xmlns:a16="http://schemas.microsoft.com/office/drawing/2014/main" id="{E7913620-4B43-4A83-921F-3F7341524D47}"/>
            </a:ext>
          </a:extLst>
        </xdr:cNvPr>
        <xdr:cNvCxnSpPr>
          <a:stCxn id="610" idx="4"/>
          <a:endCxn id="609" idx="1"/>
        </xdr:cNvCxnSpPr>
      </xdr:nvCxnSpPr>
      <xdr:spPr>
        <a:xfrm rot="16200000" flipH="1">
          <a:off x="12691838" y="4115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507275</xdr:colOff>
      <xdr:row>333</xdr:row>
      <xdr:rowOff>29256</xdr:rowOff>
    </xdr:from>
    <xdr:to>
      <xdr:col>27</xdr:col>
      <xdr:colOff>104504</xdr:colOff>
      <xdr:row>334</xdr:row>
      <xdr:rowOff>83684</xdr:rowOff>
    </xdr:to>
    <xdr:sp macro="" textlink="">
      <xdr:nvSpPr>
        <xdr:cNvPr id="614" name="Isosceles Triangle 613">
          <a:extLst>
            <a:ext uri="{FF2B5EF4-FFF2-40B4-BE49-F238E27FC236}">
              <a16:creationId xmlns:a16="http://schemas.microsoft.com/office/drawing/2014/main" id="{41A54E9E-BDA9-4995-959A-8835A107C000}"/>
            </a:ext>
          </a:extLst>
        </xdr:cNvPr>
        <xdr:cNvSpPr/>
      </xdr:nvSpPr>
      <xdr:spPr>
        <a:xfrm rot="5400000">
          <a:off x="15122436" y="4616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149275</xdr:colOff>
      <xdr:row>333</xdr:row>
      <xdr:rowOff>147910</xdr:rowOff>
    </xdr:from>
    <xdr:to>
      <xdr:col>26</xdr:col>
      <xdr:colOff>507276</xdr:colOff>
      <xdr:row>333</xdr:row>
      <xdr:rowOff>172311</xdr:rowOff>
    </xdr:to>
    <xdr:cxnSp macro="">
      <xdr:nvCxnSpPr>
        <xdr:cNvPr id="615" name="Connector: Elbow 351">
          <a:extLst>
            <a:ext uri="{FF2B5EF4-FFF2-40B4-BE49-F238E27FC236}">
              <a16:creationId xmlns:a16="http://schemas.microsoft.com/office/drawing/2014/main" id="{FA4C8E0D-C231-4C06-A972-59096AF2E4D4}"/>
            </a:ext>
          </a:extLst>
        </xdr:cNvPr>
        <xdr:cNvCxnSpPr>
          <a:stCxn id="609" idx="3"/>
          <a:endCxn id="614" idx="3"/>
        </xdr:cNvCxnSpPr>
      </xdr:nvCxnSpPr>
      <xdr:spPr>
        <a:xfrm flipV="1">
          <a:off x="14170075" y="4719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110490</xdr:colOff>
      <xdr:row>323</xdr:row>
      <xdr:rowOff>59327</xdr:rowOff>
    </xdr:from>
    <xdr:to>
      <xdr:col>26</xdr:col>
      <xdr:colOff>400948</xdr:colOff>
      <xdr:row>323</xdr:row>
      <xdr:rowOff>81824</xdr:rowOff>
    </xdr:to>
    <xdr:cxnSp macro="">
      <xdr:nvCxnSpPr>
        <xdr:cNvPr id="624" name="Connector: Elbow 42">
          <a:extLst>
            <a:ext uri="{FF2B5EF4-FFF2-40B4-BE49-F238E27FC236}">
              <a16:creationId xmlns:a16="http://schemas.microsoft.com/office/drawing/2014/main" id="{E98B7846-08F0-430C-9911-907C27FABB0F}"/>
            </a:ext>
          </a:extLst>
        </xdr:cNvPr>
        <xdr:cNvCxnSpPr>
          <a:cxnSpLocks/>
          <a:stCxn id="608" idx="3"/>
          <a:endCxn id="637"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339</xdr:row>
      <xdr:rowOff>26442</xdr:rowOff>
    </xdr:from>
    <xdr:to>
      <xdr:col>25</xdr:col>
      <xdr:colOff>179755</xdr:colOff>
      <xdr:row>341</xdr:row>
      <xdr:rowOff>165780</xdr:rowOff>
    </xdr:to>
    <xdr:sp macro="" textlink="">
      <xdr:nvSpPr>
        <xdr:cNvPr id="633" name="Rectangle: Rounded Corners 632">
          <a:extLst>
            <a:ext uri="{FF2B5EF4-FFF2-40B4-BE49-F238E27FC236}">
              <a16:creationId xmlns:a16="http://schemas.microsoft.com/office/drawing/2014/main" id="{B2276CB4-2C09-4AD1-A49F-53740858005B}"/>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332</xdr:row>
      <xdr:rowOff>76199</xdr:rowOff>
    </xdr:from>
    <xdr:to>
      <xdr:col>23</xdr:col>
      <xdr:colOff>549869</xdr:colOff>
      <xdr:row>340</xdr:row>
      <xdr:rowOff>96111</xdr:rowOff>
    </xdr:to>
    <xdr:cxnSp macro="">
      <xdr:nvCxnSpPr>
        <xdr:cNvPr id="634" name="Connector: Elbow 633">
          <a:extLst>
            <a:ext uri="{FF2B5EF4-FFF2-40B4-BE49-F238E27FC236}">
              <a16:creationId xmlns:a16="http://schemas.microsoft.com/office/drawing/2014/main" id="{2FF97C77-7CC0-4C18-AD08-95FB9C9B0F6A}"/>
            </a:ext>
          </a:extLst>
        </xdr:cNvPr>
        <xdr:cNvCxnSpPr>
          <a:stCxn id="610" idx="4"/>
          <a:endCxn id="633"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339</xdr:row>
      <xdr:rowOff>181655</xdr:rowOff>
    </xdr:from>
    <xdr:to>
      <xdr:col>27</xdr:col>
      <xdr:colOff>241664</xdr:colOff>
      <xdr:row>341</xdr:row>
      <xdr:rowOff>53203</xdr:rowOff>
    </xdr:to>
    <xdr:sp macro="" textlink="">
      <xdr:nvSpPr>
        <xdr:cNvPr id="635" name="Isosceles Triangle 634">
          <a:extLst>
            <a:ext uri="{FF2B5EF4-FFF2-40B4-BE49-F238E27FC236}">
              <a16:creationId xmlns:a16="http://schemas.microsoft.com/office/drawing/2014/main" id="{65A47803-9A49-4E87-8426-89A3230C3467}"/>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340</xdr:row>
      <xdr:rowOff>96111</xdr:rowOff>
    </xdr:from>
    <xdr:to>
      <xdr:col>27</xdr:col>
      <xdr:colOff>34836</xdr:colOff>
      <xdr:row>340</xdr:row>
      <xdr:rowOff>117429</xdr:rowOff>
    </xdr:to>
    <xdr:cxnSp macro="">
      <xdr:nvCxnSpPr>
        <xdr:cNvPr id="636" name="Connector: Elbow 351">
          <a:extLst>
            <a:ext uri="{FF2B5EF4-FFF2-40B4-BE49-F238E27FC236}">
              <a16:creationId xmlns:a16="http://schemas.microsoft.com/office/drawing/2014/main" id="{69B05DE9-CFE7-4235-9D11-249F348ECBC7}"/>
            </a:ext>
          </a:extLst>
        </xdr:cNvPr>
        <xdr:cNvCxnSpPr>
          <a:stCxn id="633" idx="3"/>
          <a:endCxn id="635"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400947</xdr:colOff>
      <xdr:row>322</xdr:row>
      <xdr:rowOff>149860</xdr:rowOff>
    </xdr:from>
    <xdr:to>
      <xdr:col>26</xdr:col>
      <xdr:colOff>607776</xdr:colOff>
      <xdr:row>324</xdr:row>
      <xdr:rowOff>13788</xdr:rowOff>
    </xdr:to>
    <xdr:sp macro="" textlink="">
      <xdr:nvSpPr>
        <xdr:cNvPr id="637" name="Isosceles Triangle 636">
          <a:extLst>
            <a:ext uri="{FF2B5EF4-FFF2-40B4-BE49-F238E27FC236}">
              <a16:creationId xmlns:a16="http://schemas.microsoft.com/office/drawing/2014/main" id="{74C9B3DC-35E6-4F91-A7BE-5DEB1FD87638}"/>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385354</xdr:colOff>
      <xdr:row>380</xdr:row>
      <xdr:rowOff>26670</xdr:rowOff>
    </xdr:from>
    <xdr:to>
      <xdr:col>23</xdr:col>
      <xdr:colOff>15240</xdr:colOff>
      <xdr:row>382</xdr:row>
      <xdr:rowOff>160564</xdr:rowOff>
    </xdr:to>
    <xdr:sp macro="" textlink="">
      <xdr:nvSpPr>
        <xdr:cNvPr id="638" name="Rectangle: Rounded Corners 637">
          <a:extLst>
            <a:ext uri="{FF2B5EF4-FFF2-40B4-BE49-F238E27FC236}">
              <a16:creationId xmlns:a16="http://schemas.microsoft.com/office/drawing/2014/main" id="{D6852B16-2E11-4557-9C43-5F9AA266F429}"/>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21</xdr:col>
      <xdr:colOff>547042</xdr:colOff>
      <xdr:row>395</xdr:row>
      <xdr:rowOff>144797</xdr:rowOff>
    </xdr:from>
    <xdr:to>
      <xdr:col>23</xdr:col>
      <xdr:colOff>176928</xdr:colOff>
      <xdr:row>398</xdr:row>
      <xdr:rowOff>95110</xdr:rowOff>
    </xdr:to>
    <xdr:sp macro="" textlink="">
      <xdr:nvSpPr>
        <xdr:cNvPr id="639" name="Rectangle: Rounded Corners 638">
          <a:extLst>
            <a:ext uri="{FF2B5EF4-FFF2-40B4-BE49-F238E27FC236}">
              <a16:creationId xmlns:a16="http://schemas.microsoft.com/office/drawing/2014/main" id="{BD9FB51D-90BD-46B7-AF1C-C957BF111777}"/>
            </a:ext>
          </a:extLst>
        </xdr:cNvPr>
        <xdr:cNvSpPr/>
      </xdr:nvSpPr>
      <xdr:spPr>
        <a:xfrm>
          <a:off x="12129442" y="16055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21</xdr:col>
      <xdr:colOff>487136</xdr:colOff>
      <xdr:row>404</xdr:row>
      <xdr:rowOff>127907</xdr:rowOff>
    </xdr:from>
    <xdr:to>
      <xdr:col>23</xdr:col>
      <xdr:colOff>117022</xdr:colOff>
      <xdr:row>407</xdr:row>
      <xdr:rowOff>78922</xdr:rowOff>
    </xdr:to>
    <xdr:sp macro="" textlink="">
      <xdr:nvSpPr>
        <xdr:cNvPr id="640" name="Rectangle: Rounded Corners 639">
          <a:extLst>
            <a:ext uri="{FF2B5EF4-FFF2-40B4-BE49-F238E27FC236}">
              <a16:creationId xmlns:a16="http://schemas.microsoft.com/office/drawing/2014/main" id="{7FC55EBA-9772-4EDB-ABFF-81790FDDA3E2}"/>
            </a:ext>
          </a:extLst>
        </xdr:cNvPr>
        <xdr:cNvSpPr/>
      </xdr:nvSpPr>
      <xdr:spPr>
        <a:xfrm>
          <a:off x="12069536" y="17684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19</xdr:col>
      <xdr:colOff>516528</xdr:colOff>
      <xdr:row>387</xdr:row>
      <xdr:rowOff>37011</xdr:rowOff>
    </xdr:from>
    <xdr:to>
      <xdr:col>20</xdr:col>
      <xdr:colOff>222613</xdr:colOff>
      <xdr:row>388</xdr:row>
      <xdr:rowOff>113210</xdr:rowOff>
    </xdr:to>
    <xdr:sp macro="" textlink="">
      <xdr:nvSpPr>
        <xdr:cNvPr id="641" name="Oval 640">
          <a:extLst>
            <a:ext uri="{FF2B5EF4-FFF2-40B4-BE49-F238E27FC236}">
              <a16:creationId xmlns:a16="http://schemas.microsoft.com/office/drawing/2014/main" id="{C1983ADF-7FD0-405A-944B-A8386B495C0D}"/>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20</xdr:col>
      <xdr:colOff>64770</xdr:colOff>
      <xdr:row>381</xdr:row>
      <xdr:rowOff>93618</xdr:rowOff>
    </xdr:from>
    <xdr:to>
      <xdr:col>21</xdr:col>
      <xdr:colOff>385353</xdr:colOff>
      <xdr:row>387</xdr:row>
      <xdr:rowOff>37012</xdr:rowOff>
    </xdr:to>
    <xdr:cxnSp macro="">
      <xdr:nvCxnSpPr>
        <xdr:cNvPr id="646" name="Connector: Elbow 645">
          <a:extLst>
            <a:ext uri="{FF2B5EF4-FFF2-40B4-BE49-F238E27FC236}">
              <a16:creationId xmlns:a16="http://schemas.microsoft.com/office/drawing/2014/main" id="{20BAC92C-AD1A-4429-8FDB-C30FDBBF0B6D}"/>
            </a:ext>
          </a:extLst>
        </xdr:cNvPr>
        <xdr:cNvCxnSpPr>
          <a:cxnSpLocks/>
          <a:stCxn id="641" idx="0"/>
          <a:endCxn id="638"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222613</xdr:colOff>
      <xdr:row>387</xdr:row>
      <xdr:rowOff>166551</xdr:rowOff>
    </xdr:from>
    <xdr:to>
      <xdr:col>21</xdr:col>
      <xdr:colOff>547042</xdr:colOff>
      <xdr:row>397</xdr:row>
      <xdr:rowOff>28514</xdr:rowOff>
    </xdr:to>
    <xdr:cxnSp macro="">
      <xdr:nvCxnSpPr>
        <xdr:cNvPr id="647" name="Connector: Elbow 646">
          <a:extLst>
            <a:ext uri="{FF2B5EF4-FFF2-40B4-BE49-F238E27FC236}">
              <a16:creationId xmlns:a16="http://schemas.microsoft.com/office/drawing/2014/main" id="{6D3DA972-0905-48F1-BD16-A4DA20490D31}"/>
            </a:ext>
          </a:extLst>
        </xdr:cNvPr>
        <xdr:cNvCxnSpPr>
          <a:stCxn id="641" idx="6"/>
          <a:endCxn id="639"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64771</xdr:colOff>
      <xdr:row>388</xdr:row>
      <xdr:rowOff>113209</xdr:rowOff>
    </xdr:from>
    <xdr:to>
      <xdr:col>21</xdr:col>
      <xdr:colOff>487136</xdr:colOff>
      <xdr:row>406</xdr:row>
      <xdr:rowOff>11974</xdr:rowOff>
    </xdr:to>
    <xdr:cxnSp macro="">
      <xdr:nvCxnSpPr>
        <xdr:cNvPr id="648" name="Connector: Elbow 647">
          <a:extLst>
            <a:ext uri="{FF2B5EF4-FFF2-40B4-BE49-F238E27FC236}">
              <a16:creationId xmlns:a16="http://schemas.microsoft.com/office/drawing/2014/main" id="{0EB55EE5-31B5-403D-A125-48515A494505}"/>
            </a:ext>
          </a:extLst>
        </xdr:cNvPr>
        <xdr:cNvCxnSpPr>
          <a:stCxn id="641" idx="4"/>
          <a:endCxn id="640"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103415</xdr:colOff>
      <xdr:row>405</xdr:row>
      <xdr:rowOff>76206</xdr:rowOff>
    </xdr:from>
    <xdr:to>
      <xdr:col>24</xdr:col>
      <xdr:colOff>310244</xdr:colOff>
      <xdr:row>406</xdr:row>
      <xdr:rowOff>130634</xdr:rowOff>
    </xdr:to>
    <xdr:sp macro="" textlink="">
      <xdr:nvSpPr>
        <xdr:cNvPr id="649" name="Isosceles Triangle 648">
          <a:extLst>
            <a:ext uri="{FF2B5EF4-FFF2-40B4-BE49-F238E27FC236}">
              <a16:creationId xmlns:a16="http://schemas.microsoft.com/office/drawing/2014/main" id="{9BE73383-408B-43DE-8314-06C9A695EEE6}"/>
            </a:ext>
          </a:extLst>
        </xdr:cNvPr>
        <xdr:cNvSpPr/>
      </xdr:nvSpPr>
      <xdr:spPr>
        <a:xfrm rot="5400000">
          <a:off x="13499376" y="17830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117022</xdr:colOff>
      <xdr:row>406</xdr:row>
      <xdr:rowOff>8165</xdr:rowOff>
    </xdr:from>
    <xdr:to>
      <xdr:col>24</xdr:col>
      <xdr:colOff>103416</xdr:colOff>
      <xdr:row>406</xdr:row>
      <xdr:rowOff>8170</xdr:rowOff>
    </xdr:to>
    <xdr:cxnSp macro="">
      <xdr:nvCxnSpPr>
        <xdr:cNvPr id="650" name="Connector: Elbow 351">
          <a:extLst>
            <a:ext uri="{FF2B5EF4-FFF2-40B4-BE49-F238E27FC236}">
              <a16:creationId xmlns:a16="http://schemas.microsoft.com/office/drawing/2014/main" id="{AAC3BA95-142D-4D88-B2F0-50F9E49CD006}"/>
            </a:ext>
          </a:extLst>
        </xdr:cNvPr>
        <xdr:cNvCxnSpPr>
          <a:stCxn id="640" idx="3"/>
          <a:endCxn id="649" idx="3"/>
        </xdr:cNvCxnSpPr>
      </xdr:nvCxnSpPr>
      <xdr:spPr>
        <a:xfrm>
          <a:off x="12918622" y="17930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293546</xdr:colOff>
      <xdr:row>396</xdr:row>
      <xdr:rowOff>74114</xdr:rowOff>
    </xdr:from>
    <xdr:to>
      <xdr:col>24</xdr:col>
      <xdr:colOff>500375</xdr:colOff>
      <xdr:row>397</xdr:row>
      <xdr:rowOff>134687</xdr:rowOff>
    </xdr:to>
    <xdr:sp macro="" textlink="">
      <xdr:nvSpPr>
        <xdr:cNvPr id="651" name="Isosceles Triangle 650">
          <a:extLst>
            <a:ext uri="{FF2B5EF4-FFF2-40B4-BE49-F238E27FC236}">
              <a16:creationId xmlns:a16="http://schemas.microsoft.com/office/drawing/2014/main" id="{B3D83031-9613-4CD3-8EAB-DCAB7D0E7008}"/>
            </a:ext>
          </a:extLst>
        </xdr:cNvPr>
        <xdr:cNvSpPr/>
      </xdr:nvSpPr>
      <xdr:spPr>
        <a:xfrm rot="5400000">
          <a:off x="13686434" y="16185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176928</xdr:colOff>
      <xdr:row>397</xdr:row>
      <xdr:rowOff>12961</xdr:rowOff>
    </xdr:from>
    <xdr:to>
      <xdr:col>24</xdr:col>
      <xdr:colOff>293546</xdr:colOff>
      <xdr:row>397</xdr:row>
      <xdr:rowOff>28514</xdr:rowOff>
    </xdr:to>
    <xdr:cxnSp macro="">
      <xdr:nvCxnSpPr>
        <xdr:cNvPr id="656" name="Connector: Elbow 351">
          <a:extLst>
            <a:ext uri="{FF2B5EF4-FFF2-40B4-BE49-F238E27FC236}">
              <a16:creationId xmlns:a16="http://schemas.microsoft.com/office/drawing/2014/main" id="{9CD9DAB9-94B3-4CE5-8A4A-1070B3916749}"/>
            </a:ext>
          </a:extLst>
        </xdr:cNvPr>
        <xdr:cNvCxnSpPr>
          <a:stCxn id="639" idx="3"/>
          <a:endCxn id="651" idx="3"/>
        </xdr:cNvCxnSpPr>
      </xdr:nvCxnSpPr>
      <xdr:spPr>
        <a:xfrm flipV="1">
          <a:off x="12978528" y="16289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519389</xdr:colOff>
      <xdr:row>382</xdr:row>
      <xdr:rowOff>102642</xdr:rowOff>
    </xdr:from>
    <xdr:to>
      <xdr:col>27</xdr:col>
      <xdr:colOff>149275</xdr:colOff>
      <xdr:row>385</xdr:row>
      <xdr:rowOff>59100</xdr:rowOff>
    </xdr:to>
    <xdr:sp macro="" textlink="">
      <xdr:nvSpPr>
        <xdr:cNvPr id="658" name="Rectangle: Rounded Corners 657">
          <a:extLst>
            <a:ext uri="{FF2B5EF4-FFF2-40B4-BE49-F238E27FC236}">
              <a16:creationId xmlns:a16="http://schemas.microsoft.com/office/drawing/2014/main" id="{EFCD455E-0B04-476E-BAA7-1264C00247EB}"/>
            </a:ext>
          </a:extLst>
        </xdr:cNvPr>
        <xdr:cNvSpPr/>
      </xdr:nvSpPr>
      <xdr:spPr>
        <a:xfrm>
          <a:off x="14540189" y="13635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23</xdr:col>
      <xdr:colOff>601436</xdr:colOff>
      <xdr:row>381</xdr:row>
      <xdr:rowOff>-1</xdr:rowOff>
    </xdr:from>
    <xdr:to>
      <xdr:col>24</xdr:col>
      <xdr:colOff>307521</xdr:colOff>
      <xdr:row>382</xdr:row>
      <xdr:rowOff>76199</xdr:rowOff>
    </xdr:to>
    <xdr:sp macro="" textlink="">
      <xdr:nvSpPr>
        <xdr:cNvPr id="659" name="Oval 658">
          <a:extLst>
            <a:ext uri="{FF2B5EF4-FFF2-40B4-BE49-F238E27FC236}">
              <a16:creationId xmlns:a16="http://schemas.microsoft.com/office/drawing/2014/main" id="{2525529E-6D2A-4715-AC5F-F701985E0338}"/>
            </a:ext>
          </a:extLst>
        </xdr:cNvPr>
        <xdr:cNvSpPr/>
      </xdr:nvSpPr>
      <xdr:spPr>
        <a:xfrm>
          <a:off x="13403036" y="13350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15240</xdr:colOff>
      <xdr:row>381</xdr:row>
      <xdr:rowOff>93617</xdr:rowOff>
    </xdr:from>
    <xdr:to>
      <xdr:col>23</xdr:col>
      <xdr:colOff>601436</xdr:colOff>
      <xdr:row>381</xdr:row>
      <xdr:rowOff>129539</xdr:rowOff>
    </xdr:to>
    <xdr:cxnSp macro="">
      <xdr:nvCxnSpPr>
        <xdr:cNvPr id="660" name="Connector: Elbow 42">
          <a:extLst>
            <a:ext uri="{FF2B5EF4-FFF2-40B4-BE49-F238E27FC236}">
              <a16:creationId xmlns:a16="http://schemas.microsoft.com/office/drawing/2014/main" id="{F1E8214D-BB6E-413F-AD0A-D33B14FD060C}"/>
            </a:ext>
          </a:extLst>
        </xdr:cNvPr>
        <xdr:cNvCxnSpPr>
          <a:cxnSpLocks/>
          <a:stCxn id="638" idx="3"/>
          <a:endCxn id="659"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149679</xdr:colOff>
      <xdr:row>382</xdr:row>
      <xdr:rowOff>76199</xdr:rowOff>
    </xdr:from>
    <xdr:to>
      <xdr:col>25</xdr:col>
      <xdr:colOff>519389</xdr:colOff>
      <xdr:row>383</xdr:row>
      <xdr:rowOff>172311</xdr:rowOff>
    </xdr:to>
    <xdr:cxnSp macro="">
      <xdr:nvCxnSpPr>
        <xdr:cNvPr id="662" name="Connector: Elbow 661">
          <a:extLst>
            <a:ext uri="{FF2B5EF4-FFF2-40B4-BE49-F238E27FC236}">
              <a16:creationId xmlns:a16="http://schemas.microsoft.com/office/drawing/2014/main" id="{F31CAA02-B1BD-4F30-8097-F5250A3ADC32}"/>
            </a:ext>
          </a:extLst>
        </xdr:cNvPr>
        <xdr:cNvCxnSpPr>
          <a:stCxn id="659" idx="4"/>
          <a:endCxn id="658" idx="1"/>
        </xdr:cNvCxnSpPr>
      </xdr:nvCxnSpPr>
      <xdr:spPr>
        <a:xfrm rot="16200000" flipH="1">
          <a:off x="13911038" y="13259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507275</xdr:colOff>
      <xdr:row>383</xdr:row>
      <xdr:rowOff>29256</xdr:rowOff>
    </xdr:from>
    <xdr:to>
      <xdr:col>29</xdr:col>
      <xdr:colOff>104504</xdr:colOff>
      <xdr:row>384</xdr:row>
      <xdr:rowOff>83684</xdr:rowOff>
    </xdr:to>
    <xdr:sp macro="" textlink="">
      <xdr:nvSpPr>
        <xdr:cNvPr id="663" name="Isosceles Triangle 662">
          <a:extLst>
            <a:ext uri="{FF2B5EF4-FFF2-40B4-BE49-F238E27FC236}">
              <a16:creationId xmlns:a16="http://schemas.microsoft.com/office/drawing/2014/main" id="{91D0214B-65C1-4CE5-82BC-E4BB5D19D671}"/>
            </a:ext>
          </a:extLst>
        </xdr:cNvPr>
        <xdr:cNvSpPr/>
      </xdr:nvSpPr>
      <xdr:spPr>
        <a:xfrm rot="5400000">
          <a:off x="16341636" y="13760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149275</xdr:colOff>
      <xdr:row>383</xdr:row>
      <xdr:rowOff>147910</xdr:rowOff>
    </xdr:from>
    <xdr:to>
      <xdr:col>28</xdr:col>
      <xdr:colOff>507276</xdr:colOff>
      <xdr:row>383</xdr:row>
      <xdr:rowOff>172311</xdr:rowOff>
    </xdr:to>
    <xdr:cxnSp macro="">
      <xdr:nvCxnSpPr>
        <xdr:cNvPr id="664" name="Connector: Elbow 351">
          <a:extLst>
            <a:ext uri="{FF2B5EF4-FFF2-40B4-BE49-F238E27FC236}">
              <a16:creationId xmlns:a16="http://schemas.microsoft.com/office/drawing/2014/main" id="{882FF268-5722-44EA-99FA-B8934BED9DBF}"/>
            </a:ext>
          </a:extLst>
        </xdr:cNvPr>
        <xdr:cNvCxnSpPr>
          <a:stCxn id="658" idx="3"/>
          <a:endCxn id="663" idx="3"/>
        </xdr:cNvCxnSpPr>
      </xdr:nvCxnSpPr>
      <xdr:spPr>
        <a:xfrm flipV="1">
          <a:off x="15389275" y="13863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428616</xdr:colOff>
      <xdr:row>371</xdr:row>
      <xdr:rowOff>131524</xdr:rowOff>
    </xdr:from>
    <xdr:to>
      <xdr:col>27</xdr:col>
      <xdr:colOff>58502</xdr:colOff>
      <xdr:row>374</xdr:row>
      <xdr:rowOff>94127</xdr:rowOff>
    </xdr:to>
    <xdr:sp macro="" textlink="">
      <xdr:nvSpPr>
        <xdr:cNvPr id="666" name="Rectangle: Rounded Corners 665">
          <a:extLst>
            <a:ext uri="{FF2B5EF4-FFF2-40B4-BE49-F238E27FC236}">
              <a16:creationId xmlns:a16="http://schemas.microsoft.com/office/drawing/2014/main" id="{1C6208C9-0823-4F10-A4CC-50DFBAA65E94}"/>
            </a:ext>
          </a:extLst>
        </xdr:cNvPr>
        <xdr:cNvSpPr/>
      </xdr:nvSpPr>
      <xdr:spPr>
        <a:xfrm>
          <a:off x="15668616" y="67949524"/>
          <a:ext cx="849086" cy="5112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24</xdr:col>
      <xdr:colOff>149679</xdr:colOff>
      <xdr:row>373</xdr:row>
      <xdr:rowOff>21387</xdr:rowOff>
    </xdr:from>
    <xdr:to>
      <xdr:col>25</xdr:col>
      <xdr:colOff>428616</xdr:colOff>
      <xdr:row>381</xdr:row>
      <xdr:rowOff>0</xdr:rowOff>
    </xdr:to>
    <xdr:cxnSp macro="">
      <xdr:nvCxnSpPr>
        <xdr:cNvPr id="668" name="Connector: Elbow 667">
          <a:extLst>
            <a:ext uri="{FF2B5EF4-FFF2-40B4-BE49-F238E27FC236}">
              <a16:creationId xmlns:a16="http://schemas.microsoft.com/office/drawing/2014/main" id="{4D90EE83-3831-489A-BEED-DBE8D05AD100}"/>
            </a:ext>
          </a:extLst>
        </xdr:cNvPr>
        <xdr:cNvCxnSpPr>
          <a:cxnSpLocks/>
          <a:stCxn id="659" idx="0"/>
          <a:endCxn id="666" idx="1"/>
        </xdr:cNvCxnSpPr>
      </xdr:nvCxnSpPr>
      <xdr:spPr>
        <a:xfrm rot="5400000" flipH="1" flipV="1">
          <a:off x="14503521" y="68481705"/>
          <a:ext cx="1441653" cy="88853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309507</xdr:colOff>
      <xdr:row>372</xdr:row>
      <xdr:rowOff>73660</xdr:rowOff>
    </xdr:from>
    <xdr:to>
      <xdr:col>28</xdr:col>
      <xdr:colOff>516336</xdr:colOff>
      <xdr:row>373</xdr:row>
      <xdr:rowOff>120468</xdr:rowOff>
    </xdr:to>
    <xdr:sp macro="" textlink="">
      <xdr:nvSpPr>
        <xdr:cNvPr id="669" name="Isosceles Triangle 668">
          <a:extLst>
            <a:ext uri="{FF2B5EF4-FFF2-40B4-BE49-F238E27FC236}">
              <a16:creationId xmlns:a16="http://schemas.microsoft.com/office/drawing/2014/main" id="{59F586ED-68E1-4B60-B771-B6B39F76E65A}"/>
            </a:ext>
          </a:extLst>
        </xdr:cNvPr>
        <xdr:cNvSpPr/>
      </xdr:nvSpPr>
      <xdr:spPr>
        <a:xfrm rot="5400000">
          <a:off x="17366878" y="6808596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58502</xdr:colOff>
      <xdr:row>373</xdr:row>
      <xdr:rowOff>5624</xdr:rowOff>
    </xdr:from>
    <xdr:to>
      <xdr:col>28</xdr:col>
      <xdr:colOff>309508</xdr:colOff>
      <xdr:row>373</xdr:row>
      <xdr:rowOff>21386</xdr:rowOff>
    </xdr:to>
    <xdr:cxnSp macro="">
      <xdr:nvCxnSpPr>
        <xdr:cNvPr id="670" name="Connector: Elbow 351">
          <a:extLst>
            <a:ext uri="{FF2B5EF4-FFF2-40B4-BE49-F238E27FC236}">
              <a16:creationId xmlns:a16="http://schemas.microsoft.com/office/drawing/2014/main" id="{4B0EFA93-C610-4808-B2AE-214223905338}"/>
            </a:ext>
          </a:extLst>
        </xdr:cNvPr>
        <xdr:cNvCxnSpPr>
          <a:cxnSpLocks/>
          <a:stCxn id="666" idx="3"/>
          <a:endCxn id="669" idx="3"/>
        </xdr:cNvCxnSpPr>
      </xdr:nvCxnSpPr>
      <xdr:spPr>
        <a:xfrm flipV="1">
          <a:off x="16517702" y="68189384"/>
          <a:ext cx="860606" cy="1576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549869</xdr:colOff>
      <xdr:row>389</xdr:row>
      <xdr:rowOff>26442</xdr:rowOff>
    </xdr:from>
    <xdr:to>
      <xdr:col>27</xdr:col>
      <xdr:colOff>179755</xdr:colOff>
      <xdr:row>391</xdr:row>
      <xdr:rowOff>165780</xdr:rowOff>
    </xdr:to>
    <xdr:sp macro="" textlink="">
      <xdr:nvSpPr>
        <xdr:cNvPr id="674" name="Rectangle: Rounded Corners 673">
          <a:extLst>
            <a:ext uri="{FF2B5EF4-FFF2-40B4-BE49-F238E27FC236}">
              <a16:creationId xmlns:a16="http://schemas.microsoft.com/office/drawing/2014/main" id="{57260867-B355-41F1-AB7F-C9806A17BB31}"/>
            </a:ext>
          </a:extLst>
        </xdr:cNvPr>
        <xdr:cNvSpPr/>
      </xdr:nvSpPr>
      <xdr:spPr>
        <a:xfrm>
          <a:off x="14570669" y="14839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24</xdr:col>
      <xdr:colOff>149679</xdr:colOff>
      <xdr:row>382</xdr:row>
      <xdr:rowOff>76199</xdr:rowOff>
    </xdr:from>
    <xdr:to>
      <xdr:col>25</xdr:col>
      <xdr:colOff>549869</xdr:colOff>
      <xdr:row>390</xdr:row>
      <xdr:rowOff>96111</xdr:rowOff>
    </xdr:to>
    <xdr:cxnSp macro="">
      <xdr:nvCxnSpPr>
        <xdr:cNvPr id="675" name="Connector: Elbow 674">
          <a:extLst>
            <a:ext uri="{FF2B5EF4-FFF2-40B4-BE49-F238E27FC236}">
              <a16:creationId xmlns:a16="http://schemas.microsoft.com/office/drawing/2014/main" id="{41810608-14C9-44DD-A8E8-8558DAFF6134}"/>
            </a:ext>
          </a:extLst>
        </xdr:cNvPr>
        <xdr:cNvCxnSpPr>
          <a:stCxn id="659" idx="4"/>
          <a:endCxn id="674" idx="1"/>
        </xdr:cNvCxnSpPr>
      </xdr:nvCxnSpPr>
      <xdr:spPr>
        <a:xfrm rot="16200000" flipH="1">
          <a:off x="13324298" y="13845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34835</xdr:colOff>
      <xdr:row>389</xdr:row>
      <xdr:rowOff>181655</xdr:rowOff>
    </xdr:from>
    <xdr:to>
      <xdr:col>29</xdr:col>
      <xdr:colOff>241664</xdr:colOff>
      <xdr:row>391</xdr:row>
      <xdr:rowOff>53203</xdr:rowOff>
    </xdr:to>
    <xdr:sp macro="" textlink="">
      <xdr:nvSpPr>
        <xdr:cNvPr id="676" name="Isosceles Triangle 675">
          <a:extLst>
            <a:ext uri="{FF2B5EF4-FFF2-40B4-BE49-F238E27FC236}">
              <a16:creationId xmlns:a16="http://schemas.microsoft.com/office/drawing/2014/main" id="{2B41C47D-6CCF-44E7-BB28-46C0B7FEA4FB}"/>
            </a:ext>
          </a:extLst>
        </xdr:cNvPr>
        <xdr:cNvSpPr/>
      </xdr:nvSpPr>
      <xdr:spPr>
        <a:xfrm rot="5400000">
          <a:off x="16478796" y="15010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179755</xdr:colOff>
      <xdr:row>390</xdr:row>
      <xdr:rowOff>96111</xdr:rowOff>
    </xdr:from>
    <xdr:to>
      <xdr:col>29</xdr:col>
      <xdr:colOff>34836</xdr:colOff>
      <xdr:row>390</xdr:row>
      <xdr:rowOff>117429</xdr:rowOff>
    </xdr:to>
    <xdr:cxnSp macro="">
      <xdr:nvCxnSpPr>
        <xdr:cNvPr id="677" name="Connector: Elbow 351">
          <a:extLst>
            <a:ext uri="{FF2B5EF4-FFF2-40B4-BE49-F238E27FC236}">
              <a16:creationId xmlns:a16="http://schemas.microsoft.com/office/drawing/2014/main" id="{16AC9345-9E83-41E0-9506-8232D670AC6B}"/>
            </a:ext>
          </a:extLst>
        </xdr:cNvPr>
        <xdr:cNvCxnSpPr>
          <a:stCxn id="674" idx="3"/>
          <a:endCxn id="676" idx="3"/>
        </xdr:cNvCxnSpPr>
      </xdr:nvCxnSpPr>
      <xdr:spPr>
        <a:xfrm>
          <a:off x="15419755" y="15092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415925</xdr:colOff>
      <xdr:row>12</xdr:row>
      <xdr:rowOff>130175</xdr:rowOff>
    </xdr:from>
    <xdr:to>
      <xdr:col>9</xdr:col>
      <xdr:colOff>587375</xdr:colOff>
      <xdr:row>27</xdr:row>
      <xdr:rowOff>111125</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591339</xdr:colOff>
      <xdr:row>17</xdr:row>
      <xdr:rowOff>55130</xdr:rowOff>
    </xdr:from>
    <xdr:to>
      <xdr:col>7</xdr:col>
      <xdr:colOff>539932</xdr:colOff>
      <xdr:row>66</xdr:row>
      <xdr:rowOff>72933</xdr:rowOff>
    </xdr:to>
    <xdr:cxnSp macro="">
      <xdr:nvCxnSpPr>
        <xdr:cNvPr id="17" name="Connector: Elbow 16">
          <a:extLst>
            <a:ext uri="{FF2B5EF4-FFF2-40B4-BE49-F238E27FC236}">
              <a16:creationId xmlns:a16="http://schemas.microsoft.com/office/drawing/2014/main" id="{520E8D03-D3C0-4AEE-BED4-37EB500BDDC4}"/>
            </a:ext>
          </a:extLst>
        </xdr:cNvPr>
        <xdr:cNvCxnSpPr>
          <a:cxnSpLocks/>
          <a:stCxn id="257" idx="2"/>
          <a:endCxn id="25" idx="2"/>
        </xdr:cNvCxnSpPr>
      </xdr:nvCxnSpPr>
      <xdr:spPr>
        <a:xfrm rot="16200000" flipH="1">
          <a:off x="-1485426" y="5850455"/>
          <a:ext cx="8978923" cy="360619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8165</xdr:colOff>
      <xdr:row>149</xdr:row>
      <xdr:rowOff>155667</xdr:rowOff>
    </xdr:from>
    <xdr:to>
      <xdr:col>11</xdr:col>
      <xdr:colOff>247651</xdr:colOff>
      <xdr:row>151</xdr:row>
      <xdr:rowOff>177438</xdr:rowOff>
    </xdr:to>
    <xdr:sp macro="" textlink="">
      <xdr:nvSpPr>
        <xdr:cNvPr id="20" name="Rectangle: Rounded Corners 19">
          <a:extLst>
            <a:ext uri="{FF2B5EF4-FFF2-40B4-BE49-F238E27FC236}">
              <a16:creationId xmlns:a16="http://schemas.microsoft.com/office/drawing/2014/main" id="{D6FCAE08-9331-492C-A878-C8572DA18BCE}"/>
            </a:ext>
          </a:extLst>
        </xdr:cNvPr>
        <xdr:cNvSpPr/>
      </xdr:nvSpPr>
      <xdr:spPr>
        <a:xfrm>
          <a:off x="6104165" y="27404787"/>
          <a:ext cx="849086" cy="38753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10</xdr:col>
      <xdr:colOff>341811</xdr:colOff>
      <xdr:row>45</xdr:row>
      <xdr:rowOff>156210</xdr:rowOff>
    </xdr:from>
    <xdr:to>
      <xdr:col>11</xdr:col>
      <xdr:colOff>581297</xdr:colOff>
      <xdr:row>48</xdr:row>
      <xdr:rowOff>107224</xdr:rowOff>
    </xdr:to>
    <xdr:sp macro="" textlink="">
      <xdr:nvSpPr>
        <xdr:cNvPr id="21" name="Rectangle: Rounded Corners 20">
          <a:extLst>
            <a:ext uri="{FF2B5EF4-FFF2-40B4-BE49-F238E27FC236}">
              <a16:creationId xmlns:a16="http://schemas.microsoft.com/office/drawing/2014/main" id="{72A7353B-7E86-42F6-8BEF-A9C4EC4E9CC3}"/>
            </a:ext>
          </a:extLst>
        </xdr:cNvPr>
        <xdr:cNvSpPr/>
      </xdr:nvSpPr>
      <xdr:spPr>
        <a:xfrm>
          <a:off x="6437811" y="83858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8</xdr:col>
      <xdr:colOff>88175</xdr:colOff>
      <xdr:row>47</xdr:row>
      <xdr:rowOff>40277</xdr:rowOff>
    </xdr:from>
    <xdr:to>
      <xdr:col>10</xdr:col>
      <xdr:colOff>341811</xdr:colOff>
      <xdr:row>65</xdr:row>
      <xdr:rowOff>126273</xdr:rowOff>
    </xdr:to>
    <xdr:cxnSp macro="">
      <xdr:nvCxnSpPr>
        <xdr:cNvPr id="22" name="Connector: Elbow 21">
          <a:extLst>
            <a:ext uri="{FF2B5EF4-FFF2-40B4-BE49-F238E27FC236}">
              <a16:creationId xmlns:a16="http://schemas.microsoft.com/office/drawing/2014/main" id="{1816B7AF-8A66-47E3-8D6F-E1D903483585}"/>
            </a:ext>
          </a:extLst>
        </xdr:cNvPr>
        <xdr:cNvCxnSpPr>
          <a:stCxn id="25" idx="0"/>
          <a:endCxn id="21" idx="1"/>
        </xdr:cNvCxnSpPr>
      </xdr:nvCxnSpPr>
      <xdr:spPr>
        <a:xfrm rot="5400000" flipH="1" flipV="1">
          <a:off x="4012475" y="9588137"/>
          <a:ext cx="3377836" cy="147283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88176</xdr:colOff>
      <xdr:row>67</xdr:row>
      <xdr:rowOff>19593</xdr:rowOff>
    </xdr:from>
    <xdr:to>
      <xdr:col>10</xdr:col>
      <xdr:colOff>8166</xdr:colOff>
      <xdr:row>150</xdr:row>
      <xdr:rowOff>166552</xdr:rowOff>
    </xdr:to>
    <xdr:cxnSp macro="">
      <xdr:nvCxnSpPr>
        <xdr:cNvPr id="23" name="Connector: Elbow 22">
          <a:extLst>
            <a:ext uri="{FF2B5EF4-FFF2-40B4-BE49-F238E27FC236}">
              <a16:creationId xmlns:a16="http://schemas.microsoft.com/office/drawing/2014/main" id="{5CF9EC91-18A5-4BB5-A684-C94273B21C20}"/>
            </a:ext>
          </a:extLst>
        </xdr:cNvPr>
        <xdr:cNvCxnSpPr>
          <a:stCxn id="25" idx="4"/>
          <a:endCxn id="20" idx="1"/>
        </xdr:cNvCxnSpPr>
      </xdr:nvCxnSpPr>
      <xdr:spPr>
        <a:xfrm rot="16200000" flipH="1">
          <a:off x="-2128429" y="19365958"/>
          <a:ext cx="15325999" cy="11391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539932</xdr:colOff>
      <xdr:row>65</xdr:row>
      <xdr:rowOff>126273</xdr:rowOff>
    </xdr:from>
    <xdr:to>
      <xdr:col>8</xdr:col>
      <xdr:colOff>246017</xdr:colOff>
      <xdr:row>67</xdr:row>
      <xdr:rowOff>19594</xdr:rowOff>
    </xdr:to>
    <xdr:sp macro="" textlink="">
      <xdr:nvSpPr>
        <xdr:cNvPr id="25" name="Oval 24">
          <a:extLst>
            <a:ext uri="{FF2B5EF4-FFF2-40B4-BE49-F238E27FC236}">
              <a16:creationId xmlns:a16="http://schemas.microsoft.com/office/drawing/2014/main" id="{EAE8D2F4-7881-47E1-B0D4-A83153D829DE}"/>
            </a:ext>
          </a:extLst>
        </xdr:cNvPr>
        <xdr:cNvSpPr/>
      </xdr:nvSpPr>
      <xdr:spPr>
        <a:xfrm>
          <a:off x="4807132" y="12013473"/>
          <a:ext cx="315685" cy="25908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0</xdr:col>
      <xdr:colOff>0</xdr:colOff>
      <xdr:row>1</xdr:row>
      <xdr:rowOff>0</xdr:rowOff>
    </xdr:from>
    <xdr:to>
      <xdr:col>0</xdr:col>
      <xdr:colOff>0</xdr:colOff>
      <xdr:row>1</xdr:row>
      <xdr:rowOff>174173</xdr:rowOff>
    </xdr:to>
    <xdr:cxnSp macro="">
      <xdr:nvCxnSpPr>
        <xdr:cNvPr id="49" name="Connector: Elbow 48">
          <a:extLst>
            <a:ext uri="{FF2B5EF4-FFF2-40B4-BE49-F238E27FC236}">
              <a16:creationId xmlns:a16="http://schemas.microsoft.com/office/drawing/2014/main" id="{B45DDA66-1245-4EDA-9E57-3B3AD6840569}"/>
            </a:ext>
          </a:extLst>
        </xdr:cNvPr>
        <xdr:cNvCxnSpPr>
          <a:cxnSpLocks/>
        </xdr:cNvCxnSpPr>
      </xdr:nvCxnSpPr>
      <xdr:spPr>
        <a:xfrm rot="5400000" flipH="1" flipV="1">
          <a:off x="8024949" y="11958504"/>
          <a:ext cx="493667" cy="44359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581297</xdr:colOff>
      <xdr:row>47</xdr:row>
      <xdr:rowOff>40277</xdr:rowOff>
    </xdr:from>
    <xdr:to>
      <xdr:col>12</xdr:col>
      <xdr:colOff>451758</xdr:colOff>
      <xdr:row>47</xdr:row>
      <xdr:rowOff>46807</xdr:rowOff>
    </xdr:to>
    <xdr:cxnSp macro="">
      <xdr:nvCxnSpPr>
        <xdr:cNvPr id="57" name="Connector: Elbow 42">
          <a:extLst>
            <a:ext uri="{FF2B5EF4-FFF2-40B4-BE49-F238E27FC236}">
              <a16:creationId xmlns:a16="http://schemas.microsoft.com/office/drawing/2014/main" id="{BB6E1D6A-7A22-4A30-B201-5AB8CAC78DFA}"/>
            </a:ext>
          </a:extLst>
        </xdr:cNvPr>
        <xdr:cNvCxnSpPr>
          <a:cxnSpLocks/>
          <a:stCxn id="21" idx="3"/>
          <a:endCxn id="162" idx="2"/>
        </xdr:cNvCxnSpPr>
      </xdr:nvCxnSpPr>
      <xdr:spPr>
        <a:xfrm>
          <a:off x="7286897" y="8635637"/>
          <a:ext cx="480061" cy="653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247651</xdr:colOff>
      <xdr:row>150</xdr:row>
      <xdr:rowOff>166553</xdr:rowOff>
    </xdr:from>
    <xdr:to>
      <xdr:col>12</xdr:col>
      <xdr:colOff>451758</xdr:colOff>
      <xdr:row>151</xdr:row>
      <xdr:rowOff>46807</xdr:rowOff>
    </xdr:to>
    <xdr:cxnSp macro="">
      <xdr:nvCxnSpPr>
        <xdr:cNvPr id="58" name="Connector: Elbow 42">
          <a:extLst>
            <a:ext uri="{FF2B5EF4-FFF2-40B4-BE49-F238E27FC236}">
              <a16:creationId xmlns:a16="http://schemas.microsoft.com/office/drawing/2014/main" id="{6D0A4709-B49A-4584-B3E4-A5C3353C1811}"/>
            </a:ext>
          </a:extLst>
        </xdr:cNvPr>
        <xdr:cNvCxnSpPr>
          <a:cxnSpLocks/>
          <a:stCxn id="20" idx="3"/>
          <a:endCxn id="273" idx="2"/>
        </xdr:cNvCxnSpPr>
      </xdr:nvCxnSpPr>
      <xdr:spPr>
        <a:xfrm>
          <a:off x="6953251" y="27598553"/>
          <a:ext cx="813707" cy="6313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xdr:row>
      <xdr:rowOff>0</xdr:rowOff>
    </xdr:from>
    <xdr:to>
      <xdr:col>0</xdr:col>
      <xdr:colOff>0</xdr:colOff>
      <xdr:row>1</xdr:row>
      <xdr:rowOff>54428</xdr:rowOff>
    </xdr:to>
    <xdr:sp macro="" textlink="">
      <xdr:nvSpPr>
        <xdr:cNvPr id="133" name="Isosceles Triangle 132">
          <a:extLst>
            <a:ext uri="{FF2B5EF4-FFF2-40B4-BE49-F238E27FC236}">
              <a16:creationId xmlns:a16="http://schemas.microsoft.com/office/drawing/2014/main" id="{7F093AEE-0F2F-46C7-BBAE-101A5D2784ED}"/>
            </a:ext>
          </a:extLst>
        </xdr:cNvPr>
        <xdr:cNvSpPr/>
      </xdr:nvSpPr>
      <xdr:spPr>
        <a:xfrm rot="5400000">
          <a:off x="11975376" y="12085319"/>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166796</xdr:colOff>
      <xdr:row>14</xdr:row>
      <xdr:rowOff>98674</xdr:rowOff>
    </xdr:from>
    <xdr:to>
      <xdr:col>2</xdr:col>
      <xdr:colOff>406282</xdr:colOff>
      <xdr:row>17</xdr:row>
      <xdr:rowOff>55131</xdr:rowOff>
    </xdr:to>
    <xdr:sp macro="" textlink="">
      <xdr:nvSpPr>
        <xdr:cNvPr id="257" name="Rectangle: Rounded Corners 256">
          <a:extLst>
            <a:ext uri="{FF2B5EF4-FFF2-40B4-BE49-F238E27FC236}">
              <a16:creationId xmlns:a16="http://schemas.microsoft.com/office/drawing/2014/main" id="{19A0AF5E-EAB3-49E6-A143-FA3AAA5C9E6F}"/>
            </a:ext>
          </a:extLst>
        </xdr:cNvPr>
        <xdr:cNvSpPr/>
      </xdr:nvSpPr>
      <xdr:spPr>
        <a:xfrm>
          <a:off x="776396" y="14729074"/>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Comparator</a:t>
          </a:r>
        </a:p>
      </xdr:txBody>
    </xdr:sp>
    <xdr:clientData/>
  </xdr:twoCellAnchor>
  <xdr:twoCellAnchor>
    <xdr:from>
      <xdr:col>1</xdr:col>
      <xdr:colOff>583029</xdr:colOff>
      <xdr:row>1</xdr:row>
      <xdr:rowOff>0</xdr:rowOff>
    </xdr:from>
    <xdr:to>
      <xdr:col>1</xdr:col>
      <xdr:colOff>593797</xdr:colOff>
      <xdr:row>14</xdr:row>
      <xdr:rowOff>98674</xdr:rowOff>
    </xdr:to>
    <xdr:cxnSp macro="">
      <xdr:nvCxnSpPr>
        <xdr:cNvPr id="258" name="Connector: Elbow 838">
          <a:extLst>
            <a:ext uri="{FF2B5EF4-FFF2-40B4-BE49-F238E27FC236}">
              <a16:creationId xmlns:a16="http://schemas.microsoft.com/office/drawing/2014/main" id="{09244165-2EE3-4F41-B1B9-96F7AAC17446}"/>
            </a:ext>
          </a:extLst>
        </xdr:cNvPr>
        <xdr:cNvCxnSpPr>
          <a:cxnSpLocks/>
          <a:endCxn id="257" idx="0"/>
        </xdr:cNvCxnSpPr>
      </xdr:nvCxnSpPr>
      <xdr:spPr>
        <a:xfrm>
          <a:off x="1192629" y="12146280"/>
          <a:ext cx="10768" cy="258279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594904</xdr:colOff>
      <xdr:row>39</xdr:row>
      <xdr:rowOff>81643</xdr:rowOff>
    </xdr:from>
    <xdr:to>
      <xdr:col>15</xdr:col>
      <xdr:colOff>224790</xdr:colOff>
      <xdr:row>42</xdr:row>
      <xdr:rowOff>38100</xdr:rowOff>
    </xdr:to>
    <xdr:sp macro="" textlink="">
      <xdr:nvSpPr>
        <xdr:cNvPr id="158" name="Rectangle: Rounded Corners 157">
          <a:extLst>
            <a:ext uri="{FF2B5EF4-FFF2-40B4-BE49-F238E27FC236}">
              <a16:creationId xmlns:a16="http://schemas.microsoft.com/office/drawing/2014/main" id="{E52BF4F0-38D0-49B6-8E45-4F6CD8123A39}"/>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283573</xdr:colOff>
      <xdr:row>78</xdr:row>
      <xdr:rowOff>81099</xdr:rowOff>
    </xdr:from>
    <xdr:to>
      <xdr:col>15</xdr:col>
      <xdr:colOff>523059</xdr:colOff>
      <xdr:row>81</xdr:row>
      <xdr:rowOff>30480</xdr:rowOff>
    </xdr:to>
    <xdr:sp macro="" textlink="">
      <xdr:nvSpPr>
        <xdr:cNvPr id="159" name="Rectangle: Rounded Corners 158">
          <a:extLst>
            <a:ext uri="{FF2B5EF4-FFF2-40B4-BE49-F238E27FC236}">
              <a16:creationId xmlns:a16="http://schemas.microsoft.com/office/drawing/2014/main" id="{EA0762C8-3C32-45FD-A0A3-AFE01C60C3AE}"/>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1</xdr:colOff>
      <xdr:row>40</xdr:row>
      <xdr:rowOff>151313</xdr:rowOff>
    </xdr:from>
    <xdr:to>
      <xdr:col>13</xdr:col>
      <xdr:colOff>594904</xdr:colOff>
      <xdr:row>46</xdr:row>
      <xdr:rowOff>100148</xdr:rowOff>
    </xdr:to>
    <xdr:cxnSp macro="">
      <xdr:nvCxnSpPr>
        <xdr:cNvPr id="160" name="Connector: Elbow 159">
          <a:extLst>
            <a:ext uri="{FF2B5EF4-FFF2-40B4-BE49-F238E27FC236}">
              <a16:creationId xmlns:a16="http://schemas.microsoft.com/office/drawing/2014/main" id="{6F16185E-9F28-4A2E-9FDC-7F6DDCABD930}"/>
            </a:ext>
          </a:extLst>
        </xdr:cNvPr>
        <xdr:cNvCxnSpPr>
          <a:stCxn id="162" idx="0"/>
          <a:endCxn id="158" idx="1"/>
        </xdr:cNvCxnSpPr>
      </xdr:nvCxnSpPr>
      <xdr:spPr>
        <a:xfrm rot="5400000" flipH="1" flipV="1">
          <a:off x="7699195" y="7692119"/>
          <a:ext cx="1046115" cy="5949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xdr:colOff>
      <xdr:row>47</xdr:row>
      <xdr:rowOff>176346</xdr:rowOff>
    </xdr:from>
    <xdr:to>
      <xdr:col>14</xdr:col>
      <xdr:colOff>283574</xdr:colOff>
      <xdr:row>79</xdr:row>
      <xdr:rowOff>147229</xdr:rowOff>
    </xdr:to>
    <xdr:cxnSp macro="">
      <xdr:nvCxnSpPr>
        <xdr:cNvPr id="161" name="Connector: Elbow 160">
          <a:extLst>
            <a:ext uri="{FF2B5EF4-FFF2-40B4-BE49-F238E27FC236}">
              <a16:creationId xmlns:a16="http://schemas.microsoft.com/office/drawing/2014/main" id="{8EA11D83-273A-485C-9189-0D4F5613C554}"/>
            </a:ext>
          </a:extLst>
        </xdr:cNvPr>
        <xdr:cNvCxnSpPr>
          <a:stCxn id="162" idx="4"/>
          <a:endCxn id="159" idx="1"/>
        </xdr:cNvCxnSpPr>
      </xdr:nvCxnSpPr>
      <xdr:spPr>
        <a:xfrm rot="16200000" flipH="1">
          <a:off x="5459866" y="11236642"/>
          <a:ext cx="5823043" cy="893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451758</xdr:colOff>
      <xdr:row>46</xdr:row>
      <xdr:rowOff>100147</xdr:rowOff>
    </xdr:from>
    <xdr:to>
      <xdr:col>13</xdr:col>
      <xdr:colOff>157843</xdr:colOff>
      <xdr:row>47</xdr:row>
      <xdr:rowOff>176347</xdr:rowOff>
    </xdr:to>
    <xdr:sp macro="" textlink="">
      <xdr:nvSpPr>
        <xdr:cNvPr id="162" name="Oval 161">
          <a:extLst>
            <a:ext uri="{FF2B5EF4-FFF2-40B4-BE49-F238E27FC236}">
              <a16:creationId xmlns:a16="http://schemas.microsoft.com/office/drawing/2014/main" id="{7C9021F5-A8C7-4E51-9471-ACEB1B3E12F3}"/>
            </a:ext>
          </a:extLst>
        </xdr:cNvPr>
        <xdr:cNvSpPr/>
      </xdr:nvSpPr>
      <xdr:spPr>
        <a:xfrm>
          <a:off x="7766958" y="85126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523059</xdr:colOff>
      <xdr:row>79</xdr:row>
      <xdr:rowOff>147230</xdr:rowOff>
    </xdr:from>
    <xdr:to>
      <xdr:col>17</xdr:col>
      <xdr:colOff>516528</xdr:colOff>
      <xdr:row>79</xdr:row>
      <xdr:rowOff>166551</xdr:rowOff>
    </xdr:to>
    <xdr:cxnSp macro="">
      <xdr:nvCxnSpPr>
        <xdr:cNvPr id="163" name="Connector: Elbow 351">
          <a:extLst>
            <a:ext uri="{FF2B5EF4-FFF2-40B4-BE49-F238E27FC236}">
              <a16:creationId xmlns:a16="http://schemas.microsoft.com/office/drawing/2014/main" id="{236510D6-5CD7-4102-ACAC-4048AA970D35}"/>
            </a:ext>
          </a:extLst>
        </xdr:cNvPr>
        <xdr:cNvCxnSpPr>
          <a:cxnSpLocks/>
          <a:stCxn id="159" idx="3"/>
          <a:endCxn id="217"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141514</xdr:colOff>
      <xdr:row>22</xdr:row>
      <xdr:rowOff>57150</xdr:rowOff>
    </xdr:from>
    <xdr:to>
      <xdr:col>18</xdr:col>
      <xdr:colOff>381000</xdr:colOff>
      <xdr:row>25</xdr:row>
      <xdr:rowOff>8164</xdr:rowOff>
    </xdr:to>
    <xdr:sp macro="" textlink="">
      <xdr:nvSpPr>
        <xdr:cNvPr id="164" name="Rectangle: Rounded Corners 163">
          <a:extLst>
            <a:ext uri="{FF2B5EF4-FFF2-40B4-BE49-F238E27FC236}">
              <a16:creationId xmlns:a16="http://schemas.microsoft.com/office/drawing/2014/main" id="{BED54C72-E51F-48DD-82CB-2C0562635FE7}"/>
            </a:ext>
          </a:extLst>
        </xdr:cNvPr>
        <xdr:cNvSpPr/>
      </xdr:nvSpPr>
      <xdr:spPr>
        <a:xfrm>
          <a:off x="10504714" y="40805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547042</xdr:colOff>
      <xdr:row>37</xdr:row>
      <xdr:rowOff>144797</xdr:rowOff>
    </xdr:from>
    <xdr:to>
      <xdr:col>19</xdr:col>
      <xdr:colOff>176928</xdr:colOff>
      <xdr:row>40</xdr:row>
      <xdr:rowOff>95110</xdr:rowOff>
    </xdr:to>
    <xdr:sp macro="" textlink="">
      <xdr:nvSpPr>
        <xdr:cNvPr id="165" name="Rectangle: Rounded Corners 164">
          <a:extLst>
            <a:ext uri="{FF2B5EF4-FFF2-40B4-BE49-F238E27FC236}">
              <a16:creationId xmlns:a16="http://schemas.microsoft.com/office/drawing/2014/main" id="{3379D09F-BEE3-4EAA-AD0F-EDBA4A1BC5F6}"/>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17</xdr:col>
      <xdr:colOff>487136</xdr:colOff>
      <xdr:row>46</xdr:row>
      <xdr:rowOff>127907</xdr:rowOff>
    </xdr:from>
    <xdr:to>
      <xdr:col>19</xdr:col>
      <xdr:colOff>117022</xdr:colOff>
      <xdr:row>49</xdr:row>
      <xdr:rowOff>78922</xdr:rowOff>
    </xdr:to>
    <xdr:sp macro="" textlink="">
      <xdr:nvSpPr>
        <xdr:cNvPr id="166" name="Rectangle: Rounded Corners 165">
          <a:extLst>
            <a:ext uri="{FF2B5EF4-FFF2-40B4-BE49-F238E27FC236}">
              <a16:creationId xmlns:a16="http://schemas.microsoft.com/office/drawing/2014/main" id="{AA7AF8FE-C511-4C8F-A451-20DEDC74E339}"/>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13608</xdr:colOff>
      <xdr:row>40</xdr:row>
      <xdr:rowOff>21771</xdr:rowOff>
    </xdr:from>
    <xdr:to>
      <xdr:col>16</xdr:col>
      <xdr:colOff>329293</xdr:colOff>
      <xdr:row>41</xdr:row>
      <xdr:rowOff>97970</xdr:rowOff>
    </xdr:to>
    <xdr:sp macro="" textlink="">
      <xdr:nvSpPr>
        <xdr:cNvPr id="167" name="Oval 166">
          <a:extLst>
            <a:ext uri="{FF2B5EF4-FFF2-40B4-BE49-F238E27FC236}">
              <a16:creationId xmlns:a16="http://schemas.microsoft.com/office/drawing/2014/main" id="{0BCBC8A5-60F3-4A54-9BF1-AFE9EC7AF243}"/>
            </a:ext>
          </a:extLst>
        </xdr:cNvPr>
        <xdr:cNvSpPr/>
      </xdr:nvSpPr>
      <xdr:spPr>
        <a:xfrm>
          <a:off x="9767208" y="733697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224790</xdr:colOff>
      <xdr:row>40</xdr:row>
      <xdr:rowOff>151311</xdr:rowOff>
    </xdr:from>
    <xdr:to>
      <xdr:col>16</xdr:col>
      <xdr:colOff>13608</xdr:colOff>
      <xdr:row>40</xdr:row>
      <xdr:rowOff>151312</xdr:rowOff>
    </xdr:to>
    <xdr:cxnSp macro="">
      <xdr:nvCxnSpPr>
        <xdr:cNvPr id="168" name="Connector: Elbow 42">
          <a:extLst>
            <a:ext uri="{FF2B5EF4-FFF2-40B4-BE49-F238E27FC236}">
              <a16:creationId xmlns:a16="http://schemas.microsoft.com/office/drawing/2014/main" id="{22102FE5-C330-4364-BB23-E5895D2AEE00}"/>
            </a:ext>
          </a:extLst>
        </xdr:cNvPr>
        <xdr:cNvCxnSpPr>
          <a:cxnSpLocks/>
          <a:stCxn id="158" idx="3"/>
          <a:endCxn id="167"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23</xdr:row>
      <xdr:rowOff>127908</xdr:rowOff>
    </xdr:from>
    <xdr:to>
      <xdr:col>17</xdr:col>
      <xdr:colOff>141513</xdr:colOff>
      <xdr:row>40</xdr:row>
      <xdr:rowOff>21772</xdr:rowOff>
    </xdr:to>
    <xdr:cxnSp macro="">
      <xdr:nvCxnSpPr>
        <xdr:cNvPr id="169" name="Connector: Elbow 168">
          <a:extLst>
            <a:ext uri="{FF2B5EF4-FFF2-40B4-BE49-F238E27FC236}">
              <a16:creationId xmlns:a16="http://schemas.microsoft.com/office/drawing/2014/main" id="{0F9DEF7D-D2FB-4095-97FB-6F21D834EB62}"/>
            </a:ext>
          </a:extLst>
        </xdr:cNvPr>
        <xdr:cNvCxnSpPr>
          <a:stCxn id="167" idx="0"/>
          <a:endCxn id="164" idx="1"/>
        </xdr:cNvCxnSpPr>
      </xdr:nvCxnSpPr>
      <xdr:spPr>
        <a:xfrm rot="5400000" flipH="1" flipV="1">
          <a:off x="8713470" y="5545728"/>
          <a:ext cx="300282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329293</xdr:colOff>
      <xdr:row>39</xdr:row>
      <xdr:rowOff>28514</xdr:rowOff>
    </xdr:from>
    <xdr:to>
      <xdr:col>17</xdr:col>
      <xdr:colOff>547042</xdr:colOff>
      <xdr:row>40</xdr:row>
      <xdr:rowOff>151311</xdr:rowOff>
    </xdr:to>
    <xdr:cxnSp macro="">
      <xdr:nvCxnSpPr>
        <xdr:cNvPr id="170" name="Connector: Elbow 169">
          <a:extLst>
            <a:ext uri="{FF2B5EF4-FFF2-40B4-BE49-F238E27FC236}">
              <a16:creationId xmlns:a16="http://schemas.microsoft.com/office/drawing/2014/main" id="{55CC73ED-AD6D-4C0C-982C-8D78660D8CD4}"/>
            </a:ext>
          </a:extLst>
        </xdr:cNvPr>
        <xdr:cNvCxnSpPr>
          <a:stCxn id="167" idx="6"/>
          <a:endCxn id="165"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171451</xdr:colOff>
      <xdr:row>41</xdr:row>
      <xdr:rowOff>97969</xdr:rowOff>
    </xdr:from>
    <xdr:to>
      <xdr:col>17</xdr:col>
      <xdr:colOff>487136</xdr:colOff>
      <xdr:row>48</xdr:row>
      <xdr:rowOff>8164</xdr:rowOff>
    </xdr:to>
    <xdr:cxnSp macro="">
      <xdr:nvCxnSpPr>
        <xdr:cNvPr id="171" name="Connector: Elbow 170">
          <a:extLst>
            <a:ext uri="{FF2B5EF4-FFF2-40B4-BE49-F238E27FC236}">
              <a16:creationId xmlns:a16="http://schemas.microsoft.com/office/drawing/2014/main" id="{98EA1DDE-DAAE-4CD7-B6A7-A4BCBA396AEA}"/>
            </a:ext>
          </a:extLst>
        </xdr:cNvPr>
        <xdr:cNvCxnSpPr>
          <a:stCxn id="167" idx="4"/>
          <a:endCxn id="166" idx="1"/>
        </xdr:cNvCxnSpPr>
      </xdr:nvCxnSpPr>
      <xdr:spPr>
        <a:xfrm rot="16200000" flipH="1">
          <a:off x="9792516" y="7728584"/>
          <a:ext cx="119035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103415</xdr:colOff>
      <xdr:row>47</xdr:row>
      <xdr:rowOff>76206</xdr:rowOff>
    </xdr:from>
    <xdr:to>
      <xdr:col>20</xdr:col>
      <xdr:colOff>310244</xdr:colOff>
      <xdr:row>48</xdr:row>
      <xdr:rowOff>130634</xdr:rowOff>
    </xdr:to>
    <xdr:sp macro="" textlink="">
      <xdr:nvSpPr>
        <xdr:cNvPr id="172" name="Isosceles Triangle 171">
          <a:extLst>
            <a:ext uri="{FF2B5EF4-FFF2-40B4-BE49-F238E27FC236}">
              <a16:creationId xmlns:a16="http://schemas.microsoft.com/office/drawing/2014/main" id="{3DB38F39-6221-4C28-92C4-B173CFC29815}"/>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117022</xdr:colOff>
      <xdr:row>48</xdr:row>
      <xdr:rowOff>8165</xdr:rowOff>
    </xdr:from>
    <xdr:to>
      <xdr:col>20</xdr:col>
      <xdr:colOff>103416</xdr:colOff>
      <xdr:row>48</xdr:row>
      <xdr:rowOff>8170</xdr:rowOff>
    </xdr:to>
    <xdr:cxnSp macro="">
      <xdr:nvCxnSpPr>
        <xdr:cNvPr id="173" name="Connector: Elbow 351">
          <a:extLst>
            <a:ext uri="{FF2B5EF4-FFF2-40B4-BE49-F238E27FC236}">
              <a16:creationId xmlns:a16="http://schemas.microsoft.com/office/drawing/2014/main" id="{18CAE7D2-19D9-4BE2-B099-87BACB46605F}"/>
            </a:ext>
          </a:extLst>
        </xdr:cNvPr>
        <xdr:cNvCxnSpPr>
          <a:stCxn id="166" idx="3"/>
          <a:endCxn id="172"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293546</xdr:colOff>
      <xdr:row>38</xdr:row>
      <xdr:rowOff>74114</xdr:rowOff>
    </xdr:from>
    <xdr:to>
      <xdr:col>20</xdr:col>
      <xdr:colOff>500375</xdr:colOff>
      <xdr:row>39</xdr:row>
      <xdr:rowOff>134687</xdr:rowOff>
    </xdr:to>
    <xdr:sp macro="" textlink="">
      <xdr:nvSpPr>
        <xdr:cNvPr id="174" name="Isosceles Triangle 173">
          <a:extLst>
            <a:ext uri="{FF2B5EF4-FFF2-40B4-BE49-F238E27FC236}">
              <a16:creationId xmlns:a16="http://schemas.microsoft.com/office/drawing/2014/main" id="{37651AC8-9EDC-4A04-9049-76344B82ADC0}"/>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176928</xdr:colOff>
      <xdr:row>39</xdr:row>
      <xdr:rowOff>12961</xdr:rowOff>
    </xdr:from>
    <xdr:to>
      <xdr:col>20</xdr:col>
      <xdr:colOff>293546</xdr:colOff>
      <xdr:row>39</xdr:row>
      <xdr:rowOff>28514</xdr:rowOff>
    </xdr:to>
    <xdr:cxnSp macro="">
      <xdr:nvCxnSpPr>
        <xdr:cNvPr id="175" name="Connector: Elbow 351">
          <a:extLst>
            <a:ext uri="{FF2B5EF4-FFF2-40B4-BE49-F238E27FC236}">
              <a16:creationId xmlns:a16="http://schemas.microsoft.com/office/drawing/2014/main" id="{5EBCC93A-33AB-41F9-A0A9-0DC2A415896A}"/>
            </a:ext>
          </a:extLst>
        </xdr:cNvPr>
        <xdr:cNvCxnSpPr>
          <a:stCxn id="165" idx="3"/>
          <a:endCxn id="174"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480604</xdr:colOff>
      <xdr:row>13</xdr:row>
      <xdr:rowOff>171450</xdr:rowOff>
    </xdr:from>
    <xdr:to>
      <xdr:col>23</xdr:col>
      <xdr:colOff>110490</xdr:colOff>
      <xdr:row>16</xdr:row>
      <xdr:rowOff>130084</xdr:rowOff>
    </xdr:to>
    <xdr:sp macro="" textlink="">
      <xdr:nvSpPr>
        <xdr:cNvPr id="176" name="Rectangle: Rounded Corners 175">
          <a:extLst>
            <a:ext uri="{FF2B5EF4-FFF2-40B4-BE49-F238E27FC236}">
              <a16:creationId xmlns:a16="http://schemas.microsoft.com/office/drawing/2014/main" id="{8DAB8DB7-9C06-43ED-8637-FB185EA65BCD}"/>
            </a:ext>
          </a:extLst>
        </xdr:cNvPr>
        <xdr:cNvSpPr/>
      </xdr:nvSpPr>
      <xdr:spPr>
        <a:xfrm>
          <a:off x="13282204" y="2548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21</xdr:col>
      <xdr:colOff>519389</xdr:colOff>
      <xdr:row>24</xdr:row>
      <xdr:rowOff>102642</xdr:rowOff>
    </xdr:from>
    <xdr:to>
      <xdr:col>23</xdr:col>
      <xdr:colOff>149275</xdr:colOff>
      <xdr:row>27</xdr:row>
      <xdr:rowOff>59100</xdr:rowOff>
    </xdr:to>
    <xdr:sp macro="" textlink="">
      <xdr:nvSpPr>
        <xdr:cNvPr id="177" name="Rectangle: Rounded Corners 176">
          <a:extLst>
            <a:ext uri="{FF2B5EF4-FFF2-40B4-BE49-F238E27FC236}">
              <a16:creationId xmlns:a16="http://schemas.microsoft.com/office/drawing/2014/main" id="{880825C8-055C-44D1-9D46-00B803E1B006}"/>
            </a:ext>
          </a:extLst>
        </xdr:cNvPr>
        <xdr:cNvSpPr/>
      </xdr:nvSpPr>
      <xdr:spPr>
        <a:xfrm>
          <a:off x="13320989" y="4491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19</xdr:col>
      <xdr:colOff>601436</xdr:colOff>
      <xdr:row>23</xdr:row>
      <xdr:rowOff>-1</xdr:rowOff>
    </xdr:from>
    <xdr:to>
      <xdr:col>20</xdr:col>
      <xdr:colOff>307521</xdr:colOff>
      <xdr:row>24</xdr:row>
      <xdr:rowOff>76199</xdr:rowOff>
    </xdr:to>
    <xdr:sp macro="" textlink="">
      <xdr:nvSpPr>
        <xdr:cNvPr id="178" name="Oval 177">
          <a:extLst>
            <a:ext uri="{FF2B5EF4-FFF2-40B4-BE49-F238E27FC236}">
              <a16:creationId xmlns:a16="http://schemas.microsoft.com/office/drawing/2014/main" id="{2BB0CEFA-B4C1-4CD8-8C22-9B9FF1DCBD2C}"/>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381000</xdr:colOff>
      <xdr:row>23</xdr:row>
      <xdr:rowOff>127907</xdr:rowOff>
    </xdr:from>
    <xdr:to>
      <xdr:col>19</xdr:col>
      <xdr:colOff>601436</xdr:colOff>
      <xdr:row>23</xdr:row>
      <xdr:rowOff>133349</xdr:rowOff>
    </xdr:to>
    <xdr:cxnSp macro="">
      <xdr:nvCxnSpPr>
        <xdr:cNvPr id="195" name="Connector: Elbow 42">
          <a:extLst>
            <a:ext uri="{FF2B5EF4-FFF2-40B4-BE49-F238E27FC236}">
              <a16:creationId xmlns:a16="http://schemas.microsoft.com/office/drawing/2014/main" id="{C812A8EC-9056-4631-8BCF-CD3B2C86B8BA}"/>
            </a:ext>
          </a:extLst>
        </xdr:cNvPr>
        <xdr:cNvCxnSpPr>
          <a:cxnSpLocks/>
          <a:stCxn id="164" idx="3"/>
          <a:endCxn id="178" idx="2"/>
        </xdr:cNvCxnSpPr>
      </xdr:nvCxnSpPr>
      <xdr:spPr>
        <a:xfrm>
          <a:off x="11353800" y="433414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149678</xdr:colOff>
      <xdr:row>15</xdr:row>
      <xdr:rowOff>59328</xdr:rowOff>
    </xdr:from>
    <xdr:to>
      <xdr:col>21</xdr:col>
      <xdr:colOff>480603</xdr:colOff>
      <xdr:row>23</xdr:row>
      <xdr:rowOff>0</xdr:rowOff>
    </xdr:to>
    <xdr:cxnSp macro="">
      <xdr:nvCxnSpPr>
        <xdr:cNvPr id="196" name="Connector: Elbow 195">
          <a:extLst>
            <a:ext uri="{FF2B5EF4-FFF2-40B4-BE49-F238E27FC236}">
              <a16:creationId xmlns:a16="http://schemas.microsoft.com/office/drawing/2014/main" id="{EBF32F5E-FD90-46B4-9D96-338DBD2BDA16}"/>
            </a:ext>
          </a:extLst>
        </xdr:cNvPr>
        <xdr:cNvCxnSpPr>
          <a:stCxn id="178" idx="0"/>
          <a:endCxn id="176"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149679</xdr:colOff>
      <xdr:row>24</xdr:row>
      <xdr:rowOff>76199</xdr:rowOff>
    </xdr:from>
    <xdr:to>
      <xdr:col>21</xdr:col>
      <xdr:colOff>519389</xdr:colOff>
      <xdr:row>25</xdr:row>
      <xdr:rowOff>172311</xdr:rowOff>
    </xdr:to>
    <xdr:cxnSp macro="">
      <xdr:nvCxnSpPr>
        <xdr:cNvPr id="197" name="Connector: Elbow 196">
          <a:extLst>
            <a:ext uri="{FF2B5EF4-FFF2-40B4-BE49-F238E27FC236}">
              <a16:creationId xmlns:a16="http://schemas.microsoft.com/office/drawing/2014/main" id="{43E1EE6F-845D-47BD-AEB0-565A652D6BE8}"/>
            </a:ext>
          </a:extLst>
        </xdr:cNvPr>
        <xdr:cNvCxnSpPr>
          <a:stCxn id="178" idx="4"/>
          <a:endCxn id="177" idx="1"/>
        </xdr:cNvCxnSpPr>
      </xdr:nvCxnSpPr>
      <xdr:spPr>
        <a:xfrm rot="16200000" flipH="1">
          <a:off x="12691838" y="4115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507275</xdr:colOff>
      <xdr:row>25</xdr:row>
      <xdr:rowOff>29256</xdr:rowOff>
    </xdr:from>
    <xdr:to>
      <xdr:col>25</xdr:col>
      <xdr:colOff>104504</xdr:colOff>
      <xdr:row>26</xdr:row>
      <xdr:rowOff>83684</xdr:rowOff>
    </xdr:to>
    <xdr:sp macro="" textlink="">
      <xdr:nvSpPr>
        <xdr:cNvPr id="198" name="Isosceles Triangle 197">
          <a:extLst>
            <a:ext uri="{FF2B5EF4-FFF2-40B4-BE49-F238E27FC236}">
              <a16:creationId xmlns:a16="http://schemas.microsoft.com/office/drawing/2014/main" id="{ABE49127-3192-4A99-AEC5-F6AA4F4EA055}"/>
            </a:ext>
          </a:extLst>
        </xdr:cNvPr>
        <xdr:cNvSpPr/>
      </xdr:nvSpPr>
      <xdr:spPr>
        <a:xfrm rot="5400000">
          <a:off x="15122436" y="4616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149275</xdr:colOff>
      <xdr:row>25</xdr:row>
      <xdr:rowOff>147910</xdr:rowOff>
    </xdr:from>
    <xdr:to>
      <xdr:col>24</xdr:col>
      <xdr:colOff>507276</xdr:colOff>
      <xdr:row>25</xdr:row>
      <xdr:rowOff>172311</xdr:rowOff>
    </xdr:to>
    <xdr:cxnSp macro="">
      <xdr:nvCxnSpPr>
        <xdr:cNvPr id="199" name="Connector: Elbow 351">
          <a:extLst>
            <a:ext uri="{FF2B5EF4-FFF2-40B4-BE49-F238E27FC236}">
              <a16:creationId xmlns:a16="http://schemas.microsoft.com/office/drawing/2014/main" id="{DA3EC0B5-524A-4651-9590-A6C415C2FD02}"/>
            </a:ext>
          </a:extLst>
        </xdr:cNvPr>
        <xdr:cNvCxnSpPr>
          <a:stCxn id="177" idx="3"/>
          <a:endCxn id="198" idx="3"/>
        </xdr:cNvCxnSpPr>
      </xdr:nvCxnSpPr>
      <xdr:spPr>
        <a:xfrm flipV="1">
          <a:off x="14170075" y="4719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110490</xdr:colOff>
      <xdr:row>15</xdr:row>
      <xdr:rowOff>59327</xdr:rowOff>
    </xdr:from>
    <xdr:to>
      <xdr:col>24</xdr:col>
      <xdr:colOff>400948</xdr:colOff>
      <xdr:row>15</xdr:row>
      <xdr:rowOff>81824</xdr:rowOff>
    </xdr:to>
    <xdr:cxnSp macro="">
      <xdr:nvCxnSpPr>
        <xdr:cNvPr id="206" name="Connector: Elbow 42">
          <a:extLst>
            <a:ext uri="{FF2B5EF4-FFF2-40B4-BE49-F238E27FC236}">
              <a16:creationId xmlns:a16="http://schemas.microsoft.com/office/drawing/2014/main" id="{D20263CD-E6BB-4BCD-AA61-8961F16A3F50}"/>
            </a:ext>
          </a:extLst>
        </xdr:cNvPr>
        <xdr:cNvCxnSpPr>
          <a:cxnSpLocks/>
          <a:stCxn id="176" idx="3"/>
          <a:endCxn id="213"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549869</xdr:colOff>
      <xdr:row>31</xdr:row>
      <xdr:rowOff>26442</xdr:rowOff>
    </xdr:from>
    <xdr:to>
      <xdr:col>23</xdr:col>
      <xdr:colOff>179755</xdr:colOff>
      <xdr:row>35</xdr:row>
      <xdr:rowOff>106680</xdr:rowOff>
    </xdr:to>
    <xdr:sp macro="" textlink="">
      <xdr:nvSpPr>
        <xdr:cNvPr id="209" name="Rectangle: Rounded Corners 208">
          <a:extLst>
            <a:ext uri="{FF2B5EF4-FFF2-40B4-BE49-F238E27FC236}">
              <a16:creationId xmlns:a16="http://schemas.microsoft.com/office/drawing/2014/main" id="{22A592AD-2708-438D-9CB2-A374CA8A005C}"/>
            </a:ext>
          </a:extLst>
        </xdr:cNvPr>
        <xdr:cNvSpPr/>
      </xdr:nvSpPr>
      <xdr:spPr>
        <a:xfrm>
          <a:off x="13351469" y="5695722"/>
          <a:ext cx="849086" cy="8117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 within</a:t>
          </a:r>
          <a:r>
            <a:rPr lang="en-ZA" sz="1100" baseline="0">
              <a:solidFill>
                <a:sysClr val="windowText" lastClr="000000"/>
              </a:solidFill>
            </a:rPr>
            <a:t> 28 days</a:t>
          </a:r>
          <a:endParaRPr lang="en-ZA" sz="1100">
            <a:solidFill>
              <a:sysClr val="windowText" lastClr="000000"/>
            </a:solidFill>
          </a:endParaRPr>
        </a:p>
      </xdr:txBody>
    </xdr:sp>
    <xdr:clientData/>
  </xdr:twoCellAnchor>
  <xdr:twoCellAnchor>
    <xdr:from>
      <xdr:col>20</xdr:col>
      <xdr:colOff>149679</xdr:colOff>
      <xdr:row>24</xdr:row>
      <xdr:rowOff>76199</xdr:rowOff>
    </xdr:from>
    <xdr:to>
      <xdr:col>21</xdr:col>
      <xdr:colOff>549869</xdr:colOff>
      <xdr:row>33</xdr:row>
      <xdr:rowOff>66561</xdr:rowOff>
    </xdr:to>
    <xdr:cxnSp macro="">
      <xdr:nvCxnSpPr>
        <xdr:cNvPr id="210" name="Connector: Elbow 209">
          <a:extLst>
            <a:ext uri="{FF2B5EF4-FFF2-40B4-BE49-F238E27FC236}">
              <a16:creationId xmlns:a16="http://schemas.microsoft.com/office/drawing/2014/main" id="{62C2123B-DAB9-4E2E-BCFA-0B0533D4873A}"/>
            </a:ext>
          </a:extLst>
        </xdr:cNvPr>
        <xdr:cNvCxnSpPr>
          <a:stCxn id="178" idx="4"/>
          <a:endCxn id="209" idx="1"/>
        </xdr:cNvCxnSpPr>
      </xdr:nvCxnSpPr>
      <xdr:spPr>
        <a:xfrm rot="16200000" flipH="1">
          <a:off x="12028433" y="4778565"/>
          <a:ext cx="163628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34835</xdr:colOff>
      <xdr:row>32</xdr:row>
      <xdr:rowOff>90216</xdr:rowOff>
    </xdr:from>
    <xdr:to>
      <xdr:col>25</xdr:col>
      <xdr:colOff>241664</xdr:colOff>
      <xdr:row>33</xdr:row>
      <xdr:rowOff>144644</xdr:rowOff>
    </xdr:to>
    <xdr:sp macro="" textlink="">
      <xdr:nvSpPr>
        <xdr:cNvPr id="211" name="Isosceles Triangle 210">
          <a:extLst>
            <a:ext uri="{FF2B5EF4-FFF2-40B4-BE49-F238E27FC236}">
              <a16:creationId xmlns:a16="http://schemas.microsoft.com/office/drawing/2014/main" id="{F3C83B3B-4716-4773-B0B1-826436176DDF}"/>
            </a:ext>
          </a:extLst>
        </xdr:cNvPr>
        <xdr:cNvSpPr/>
      </xdr:nvSpPr>
      <xdr:spPr>
        <a:xfrm rot="5400000">
          <a:off x="15259596" y="595761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179755</xdr:colOff>
      <xdr:row>33</xdr:row>
      <xdr:rowOff>25990</xdr:rowOff>
    </xdr:from>
    <xdr:to>
      <xdr:col>25</xdr:col>
      <xdr:colOff>34836</xdr:colOff>
      <xdr:row>33</xdr:row>
      <xdr:rowOff>66561</xdr:rowOff>
    </xdr:to>
    <xdr:cxnSp macro="">
      <xdr:nvCxnSpPr>
        <xdr:cNvPr id="212" name="Connector: Elbow 351">
          <a:extLst>
            <a:ext uri="{FF2B5EF4-FFF2-40B4-BE49-F238E27FC236}">
              <a16:creationId xmlns:a16="http://schemas.microsoft.com/office/drawing/2014/main" id="{858FB7A8-CB2A-490C-B080-C1E9BA01E33E}"/>
            </a:ext>
          </a:extLst>
        </xdr:cNvPr>
        <xdr:cNvCxnSpPr>
          <a:stCxn id="209" idx="3"/>
          <a:endCxn id="211" idx="3"/>
        </xdr:cNvCxnSpPr>
      </xdr:nvCxnSpPr>
      <xdr:spPr>
        <a:xfrm flipV="1">
          <a:off x="14200555" y="6061030"/>
          <a:ext cx="1074281" cy="4057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400947</xdr:colOff>
      <xdr:row>14</xdr:row>
      <xdr:rowOff>149860</xdr:rowOff>
    </xdr:from>
    <xdr:to>
      <xdr:col>24</xdr:col>
      <xdr:colOff>607776</xdr:colOff>
      <xdr:row>16</xdr:row>
      <xdr:rowOff>13788</xdr:rowOff>
    </xdr:to>
    <xdr:sp macro="" textlink="">
      <xdr:nvSpPr>
        <xdr:cNvPr id="213" name="Isosceles Triangle 212">
          <a:extLst>
            <a:ext uri="{FF2B5EF4-FFF2-40B4-BE49-F238E27FC236}">
              <a16:creationId xmlns:a16="http://schemas.microsoft.com/office/drawing/2014/main" id="{D862D6C0-22E7-4BAD-9F45-C32679C4F632}"/>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385354</xdr:colOff>
      <xdr:row>72</xdr:row>
      <xdr:rowOff>26670</xdr:rowOff>
    </xdr:from>
    <xdr:to>
      <xdr:col>21</xdr:col>
      <xdr:colOff>15240</xdr:colOff>
      <xdr:row>74</xdr:row>
      <xdr:rowOff>160564</xdr:rowOff>
    </xdr:to>
    <xdr:sp macro="" textlink="">
      <xdr:nvSpPr>
        <xdr:cNvPr id="214" name="Rectangle: Rounded Corners 213">
          <a:extLst>
            <a:ext uri="{FF2B5EF4-FFF2-40B4-BE49-F238E27FC236}">
              <a16:creationId xmlns:a16="http://schemas.microsoft.com/office/drawing/2014/main" id="{69CDC4A9-161C-4868-8D27-41020DED4222}"/>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19</xdr:col>
      <xdr:colOff>547042</xdr:colOff>
      <xdr:row>87</xdr:row>
      <xdr:rowOff>144797</xdr:rowOff>
    </xdr:from>
    <xdr:to>
      <xdr:col>21</xdr:col>
      <xdr:colOff>176928</xdr:colOff>
      <xdr:row>90</xdr:row>
      <xdr:rowOff>95110</xdr:rowOff>
    </xdr:to>
    <xdr:sp macro="" textlink="">
      <xdr:nvSpPr>
        <xdr:cNvPr id="215" name="Rectangle: Rounded Corners 214">
          <a:extLst>
            <a:ext uri="{FF2B5EF4-FFF2-40B4-BE49-F238E27FC236}">
              <a16:creationId xmlns:a16="http://schemas.microsoft.com/office/drawing/2014/main" id="{39E76EF1-7422-4C29-BABE-906BA43C3C22}"/>
            </a:ext>
          </a:extLst>
        </xdr:cNvPr>
        <xdr:cNvSpPr/>
      </xdr:nvSpPr>
      <xdr:spPr>
        <a:xfrm>
          <a:off x="12129442" y="16055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96</xdr:row>
      <xdr:rowOff>127907</xdr:rowOff>
    </xdr:from>
    <xdr:to>
      <xdr:col>21</xdr:col>
      <xdr:colOff>117022</xdr:colOff>
      <xdr:row>99</xdr:row>
      <xdr:rowOff>78922</xdr:rowOff>
    </xdr:to>
    <xdr:sp macro="" textlink="">
      <xdr:nvSpPr>
        <xdr:cNvPr id="216" name="Rectangle: Rounded Corners 215">
          <a:extLst>
            <a:ext uri="{FF2B5EF4-FFF2-40B4-BE49-F238E27FC236}">
              <a16:creationId xmlns:a16="http://schemas.microsoft.com/office/drawing/2014/main" id="{6A75CE14-9F45-4125-B8E8-06F80120FD41}"/>
            </a:ext>
          </a:extLst>
        </xdr:cNvPr>
        <xdr:cNvSpPr/>
      </xdr:nvSpPr>
      <xdr:spPr>
        <a:xfrm>
          <a:off x="12069536" y="17684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17</xdr:col>
      <xdr:colOff>516528</xdr:colOff>
      <xdr:row>79</xdr:row>
      <xdr:rowOff>37011</xdr:rowOff>
    </xdr:from>
    <xdr:to>
      <xdr:col>18</xdr:col>
      <xdr:colOff>222613</xdr:colOff>
      <xdr:row>80</xdr:row>
      <xdr:rowOff>113210</xdr:rowOff>
    </xdr:to>
    <xdr:sp macro="" textlink="">
      <xdr:nvSpPr>
        <xdr:cNvPr id="217" name="Oval 216">
          <a:extLst>
            <a:ext uri="{FF2B5EF4-FFF2-40B4-BE49-F238E27FC236}">
              <a16:creationId xmlns:a16="http://schemas.microsoft.com/office/drawing/2014/main" id="{0E2B766C-D4C7-4F63-9D7F-BAFD4881DE6A}"/>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64770</xdr:colOff>
      <xdr:row>73</xdr:row>
      <xdr:rowOff>93618</xdr:rowOff>
    </xdr:from>
    <xdr:to>
      <xdr:col>19</xdr:col>
      <xdr:colOff>385353</xdr:colOff>
      <xdr:row>79</xdr:row>
      <xdr:rowOff>37012</xdr:rowOff>
    </xdr:to>
    <xdr:cxnSp macro="">
      <xdr:nvCxnSpPr>
        <xdr:cNvPr id="218" name="Connector: Elbow 217">
          <a:extLst>
            <a:ext uri="{FF2B5EF4-FFF2-40B4-BE49-F238E27FC236}">
              <a16:creationId xmlns:a16="http://schemas.microsoft.com/office/drawing/2014/main" id="{8E77C751-1A84-4D1E-B0AC-C2D2312B532F}"/>
            </a:ext>
          </a:extLst>
        </xdr:cNvPr>
        <xdr:cNvCxnSpPr>
          <a:cxnSpLocks/>
          <a:stCxn id="217" idx="0"/>
          <a:endCxn id="214"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222613</xdr:colOff>
      <xdr:row>79</xdr:row>
      <xdr:rowOff>166551</xdr:rowOff>
    </xdr:from>
    <xdr:to>
      <xdr:col>19</xdr:col>
      <xdr:colOff>547042</xdr:colOff>
      <xdr:row>89</xdr:row>
      <xdr:rowOff>28514</xdr:rowOff>
    </xdr:to>
    <xdr:cxnSp macro="">
      <xdr:nvCxnSpPr>
        <xdr:cNvPr id="219" name="Connector: Elbow 218">
          <a:extLst>
            <a:ext uri="{FF2B5EF4-FFF2-40B4-BE49-F238E27FC236}">
              <a16:creationId xmlns:a16="http://schemas.microsoft.com/office/drawing/2014/main" id="{C8AA1A25-6760-43DC-A4DD-5C38370DB73F}"/>
            </a:ext>
          </a:extLst>
        </xdr:cNvPr>
        <xdr:cNvCxnSpPr>
          <a:stCxn id="217" idx="6"/>
          <a:endCxn id="215"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64771</xdr:colOff>
      <xdr:row>80</xdr:row>
      <xdr:rowOff>113209</xdr:rowOff>
    </xdr:from>
    <xdr:to>
      <xdr:col>19</xdr:col>
      <xdr:colOff>487136</xdr:colOff>
      <xdr:row>98</xdr:row>
      <xdr:rowOff>11974</xdr:rowOff>
    </xdr:to>
    <xdr:cxnSp macro="">
      <xdr:nvCxnSpPr>
        <xdr:cNvPr id="220" name="Connector: Elbow 219">
          <a:extLst>
            <a:ext uri="{FF2B5EF4-FFF2-40B4-BE49-F238E27FC236}">
              <a16:creationId xmlns:a16="http://schemas.microsoft.com/office/drawing/2014/main" id="{1E564A93-7557-49A8-A78C-FEA719913EB7}"/>
            </a:ext>
          </a:extLst>
        </xdr:cNvPr>
        <xdr:cNvCxnSpPr>
          <a:stCxn id="217" idx="4"/>
          <a:endCxn id="216"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97</xdr:row>
      <xdr:rowOff>76206</xdr:rowOff>
    </xdr:from>
    <xdr:to>
      <xdr:col>22</xdr:col>
      <xdr:colOff>310244</xdr:colOff>
      <xdr:row>98</xdr:row>
      <xdr:rowOff>130634</xdr:rowOff>
    </xdr:to>
    <xdr:sp macro="" textlink="">
      <xdr:nvSpPr>
        <xdr:cNvPr id="221" name="Isosceles Triangle 220">
          <a:extLst>
            <a:ext uri="{FF2B5EF4-FFF2-40B4-BE49-F238E27FC236}">
              <a16:creationId xmlns:a16="http://schemas.microsoft.com/office/drawing/2014/main" id="{3DE0F448-DAE1-4C9D-9CA1-99FF366EB08E}"/>
            </a:ext>
          </a:extLst>
        </xdr:cNvPr>
        <xdr:cNvSpPr/>
      </xdr:nvSpPr>
      <xdr:spPr>
        <a:xfrm rot="5400000">
          <a:off x="13499376" y="17830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98</xdr:row>
      <xdr:rowOff>8165</xdr:rowOff>
    </xdr:from>
    <xdr:to>
      <xdr:col>22</xdr:col>
      <xdr:colOff>103416</xdr:colOff>
      <xdr:row>98</xdr:row>
      <xdr:rowOff>8170</xdr:rowOff>
    </xdr:to>
    <xdr:cxnSp macro="">
      <xdr:nvCxnSpPr>
        <xdr:cNvPr id="222" name="Connector: Elbow 351">
          <a:extLst>
            <a:ext uri="{FF2B5EF4-FFF2-40B4-BE49-F238E27FC236}">
              <a16:creationId xmlns:a16="http://schemas.microsoft.com/office/drawing/2014/main" id="{DEE926F3-7E29-4716-946F-698987874865}"/>
            </a:ext>
          </a:extLst>
        </xdr:cNvPr>
        <xdr:cNvCxnSpPr>
          <a:stCxn id="216" idx="3"/>
          <a:endCxn id="221" idx="3"/>
        </xdr:cNvCxnSpPr>
      </xdr:nvCxnSpPr>
      <xdr:spPr>
        <a:xfrm>
          <a:off x="12918622" y="17930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88</xdr:row>
      <xdr:rowOff>74114</xdr:rowOff>
    </xdr:from>
    <xdr:to>
      <xdr:col>22</xdr:col>
      <xdr:colOff>500375</xdr:colOff>
      <xdr:row>89</xdr:row>
      <xdr:rowOff>134687</xdr:rowOff>
    </xdr:to>
    <xdr:sp macro="" textlink="">
      <xdr:nvSpPr>
        <xdr:cNvPr id="223" name="Isosceles Triangle 222">
          <a:extLst>
            <a:ext uri="{FF2B5EF4-FFF2-40B4-BE49-F238E27FC236}">
              <a16:creationId xmlns:a16="http://schemas.microsoft.com/office/drawing/2014/main" id="{9EA31FDA-273F-47F3-A256-55B7C722D8AB}"/>
            </a:ext>
          </a:extLst>
        </xdr:cNvPr>
        <xdr:cNvSpPr/>
      </xdr:nvSpPr>
      <xdr:spPr>
        <a:xfrm rot="5400000">
          <a:off x="13686434" y="16185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89</xdr:row>
      <xdr:rowOff>12961</xdr:rowOff>
    </xdr:from>
    <xdr:to>
      <xdr:col>22</xdr:col>
      <xdr:colOff>293546</xdr:colOff>
      <xdr:row>89</xdr:row>
      <xdr:rowOff>28514</xdr:rowOff>
    </xdr:to>
    <xdr:cxnSp macro="">
      <xdr:nvCxnSpPr>
        <xdr:cNvPr id="224" name="Connector: Elbow 351">
          <a:extLst>
            <a:ext uri="{FF2B5EF4-FFF2-40B4-BE49-F238E27FC236}">
              <a16:creationId xmlns:a16="http://schemas.microsoft.com/office/drawing/2014/main" id="{795A7286-C821-4D1C-B283-497D598807F4}"/>
            </a:ext>
          </a:extLst>
        </xdr:cNvPr>
        <xdr:cNvCxnSpPr>
          <a:stCxn id="215" idx="3"/>
          <a:endCxn id="223" idx="3"/>
        </xdr:cNvCxnSpPr>
      </xdr:nvCxnSpPr>
      <xdr:spPr>
        <a:xfrm flipV="1">
          <a:off x="12978528" y="16289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480604</xdr:colOff>
      <xdr:row>63</xdr:row>
      <xdr:rowOff>125730</xdr:rowOff>
    </xdr:from>
    <xdr:to>
      <xdr:col>25</xdr:col>
      <xdr:colOff>110490</xdr:colOff>
      <xdr:row>66</xdr:row>
      <xdr:rowOff>84364</xdr:rowOff>
    </xdr:to>
    <xdr:sp macro="" textlink="">
      <xdr:nvSpPr>
        <xdr:cNvPr id="225" name="Rectangle: Rounded Corners 224">
          <a:extLst>
            <a:ext uri="{FF2B5EF4-FFF2-40B4-BE49-F238E27FC236}">
              <a16:creationId xmlns:a16="http://schemas.microsoft.com/office/drawing/2014/main" id="{8D77AE4B-6ED0-477C-886C-482485740F6D}"/>
            </a:ext>
          </a:extLst>
        </xdr:cNvPr>
        <xdr:cNvSpPr/>
      </xdr:nvSpPr>
      <xdr:spPr>
        <a:xfrm>
          <a:off x="14501404" y="1164717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23</xdr:col>
      <xdr:colOff>519389</xdr:colOff>
      <xdr:row>74</xdr:row>
      <xdr:rowOff>102642</xdr:rowOff>
    </xdr:from>
    <xdr:to>
      <xdr:col>25</xdr:col>
      <xdr:colOff>149275</xdr:colOff>
      <xdr:row>77</xdr:row>
      <xdr:rowOff>59100</xdr:rowOff>
    </xdr:to>
    <xdr:sp macro="" textlink="">
      <xdr:nvSpPr>
        <xdr:cNvPr id="226" name="Rectangle: Rounded Corners 225">
          <a:extLst>
            <a:ext uri="{FF2B5EF4-FFF2-40B4-BE49-F238E27FC236}">
              <a16:creationId xmlns:a16="http://schemas.microsoft.com/office/drawing/2014/main" id="{C6B51B7F-1464-495F-BDE0-7CE342C61682}"/>
            </a:ext>
          </a:extLst>
        </xdr:cNvPr>
        <xdr:cNvSpPr/>
      </xdr:nvSpPr>
      <xdr:spPr>
        <a:xfrm>
          <a:off x="14540189" y="13635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73</xdr:row>
      <xdr:rowOff>-1</xdr:rowOff>
    </xdr:from>
    <xdr:to>
      <xdr:col>22</xdr:col>
      <xdr:colOff>307521</xdr:colOff>
      <xdr:row>74</xdr:row>
      <xdr:rowOff>76199</xdr:rowOff>
    </xdr:to>
    <xdr:sp macro="" textlink="">
      <xdr:nvSpPr>
        <xdr:cNvPr id="227" name="Oval 226">
          <a:extLst>
            <a:ext uri="{FF2B5EF4-FFF2-40B4-BE49-F238E27FC236}">
              <a16:creationId xmlns:a16="http://schemas.microsoft.com/office/drawing/2014/main" id="{83488766-BE8C-4634-A638-3E2693EF0850}"/>
            </a:ext>
          </a:extLst>
        </xdr:cNvPr>
        <xdr:cNvSpPr/>
      </xdr:nvSpPr>
      <xdr:spPr>
        <a:xfrm>
          <a:off x="13403036" y="13350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15240</xdr:colOff>
      <xdr:row>73</xdr:row>
      <xdr:rowOff>93617</xdr:rowOff>
    </xdr:from>
    <xdr:to>
      <xdr:col>21</xdr:col>
      <xdr:colOff>601436</xdr:colOff>
      <xdr:row>73</xdr:row>
      <xdr:rowOff>129539</xdr:rowOff>
    </xdr:to>
    <xdr:cxnSp macro="">
      <xdr:nvCxnSpPr>
        <xdr:cNvPr id="228" name="Connector: Elbow 42">
          <a:extLst>
            <a:ext uri="{FF2B5EF4-FFF2-40B4-BE49-F238E27FC236}">
              <a16:creationId xmlns:a16="http://schemas.microsoft.com/office/drawing/2014/main" id="{79381AFA-19C5-48A2-B40B-F685E60C0672}"/>
            </a:ext>
          </a:extLst>
        </xdr:cNvPr>
        <xdr:cNvCxnSpPr>
          <a:cxnSpLocks/>
          <a:stCxn id="214" idx="3"/>
          <a:endCxn id="227"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149678</xdr:colOff>
      <xdr:row>65</xdr:row>
      <xdr:rowOff>13608</xdr:rowOff>
    </xdr:from>
    <xdr:to>
      <xdr:col>23</xdr:col>
      <xdr:colOff>480603</xdr:colOff>
      <xdr:row>73</xdr:row>
      <xdr:rowOff>0</xdr:rowOff>
    </xdr:to>
    <xdr:cxnSp macro="">
      <xdr:nvCxnSpPr>
        <xdr:cNvPr id="229" name="Connector: Elbow 228">
          <a:extLst>
            <a:ext uri="{FF2B5EF4-FFF2-40B4-BE49-F238E27FC236}">
              <a16:creationId xmlns:a16="http://schemas.microsoft.com/office/drawing/2014/main" id="{93FF0DF7-A3C3-4704-939E-4EF285419A0C}"/>
            </a:ext>
          </a:extLst>
        </xdr:cNvPr>
        <xdr:cNvCxnSpPr>
          <a:stCxn id="227" idx="0"/>
          <a:endCxn id="225" idx="1"/>
        </xdr:cNvCxnSpPr>
      </xdr:nvCxnSpPr>
      <xdr:spPr>
        <a:xfrm rot="5400000" flipH="1" flipV="1">
          <a:off x="13306425" y="12155261"/>
          <a:ext cx="144943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149679</xdr:colOff>
      <xdr:row>74</xdr:row>
      <xdr:rowOff>76199</xdr:rowOff>
    </xdr:from>
    <xdr:to>
      <xdr:col>23</xdr:col>
      <xdr:colOff>519389</xdr:colOff>
      <xdr:row>75</xdr:row>
      <xdr:rowOff>172311</xdr:rowOff>
    </xdr:to>
    <xdr:cxnSp macro="">
      <xdr:nvCxnSpPr>
        <xdr:cNvPr id="230" name="Connector: Elbow 229">
          <a:extLst>
            <a:ext uri="{FF2B5EF4-FFF2-40B4-BE49-F238E27FC236}">
              <a16:creationId xmlns:a16="http://schemas.microsoft.com/office/drawing/2014/main" id="{959D213D-8788-429A-AA7C-AA4834E9A2D4}"/>
            </a:ext>
          </a:extLst>
        </xdr:cNvPr>
        <xdr:cNvCxnSpPr>
          <a:stCxn id="227" idx="4"/>
          <a:endCxn id="226" idx="1"/>
        </xdr:cNvCxnSpPr>
      </xdr:nvCxnSpPr>
      <xdr:spPr>
        <a:xfrm rot="16200000" flipH="1">
          <a:off x="13911038" y="13259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507275</xdr:colOff>
      <xdr:row>75</xdr:row>
      <xdr:rowOff>29256</xdr:rowOff>
    </xdr:from>
    <xdr:to>
      <xdr:col>27</xdr:col>
      <xdr:colOff>104504</xdr:colOff>
      <xdr:row>76</xdr:row>
      <xdr:rowOff>83684</xdr:rowOff>
    </xdr:to>
    <xdr:sp macro="" textlink="">
      <xdr:nvSpPr>
        <xdr:cNvPr id="231" name="Isosceles Triangle 230">
          <a:extLst>
            <a:ext uri="{FF2B5EF4-FFF2-40B4-BE49-F238E27FC236}">
              <a16:creationId xmlns:a16="http://schemas.microsoft.com/office/drawing/2014/main" id="{C5D88DB8-9611-42EC-8375-BB97853E06BF}"/>
            </a:ext>
          </a:extLst>
        </xdr:cNvPr>
        <xdr:cNvSpPr/>
      </xdr:nvSpPr>
      <xdr:spPr>
        <a:xfrm rot="5400000">
          <a:off x="16341636" y="13760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149275</xdr:colOff>
      <xdr:row>75</xdr:row>
      <xdr:rowOff>147910</xdr:rowOff>
    </xdr:from>
    <xdr:to>
      <xdr:col>26</xdr:col>
      <xdr:colOff>507276</xdr:colOff>
      <xdr:row>75</xdr:row>
      <xdr:rowOff>172311</xdr:rowOff>
    </xdr:to>
    <xdr:cxnSp macro="">
      <xdr:nvCxnSpPr>
        <xdr:cNvPr id="232" name="Connector: Elbow 351">
          <a:extLst>
            <a:ext uri="{FF2B5EF4-FFF2-40B4-BE49-F238E27FC236}">
              <a16:creationId xmlns:a16="http://schemas.microsoft.com/office/drawing/2014/main" id="{21C06D71-B90D-4391-BC48-ED49D217FADB}"/>
            </a:ext>
          </a:extLst>
        </xdr:cNvPr>
        <xdr:cNvCxnSpPr>
          <a:stCxn id="226" idx="3"/>
          <a:endCxn id="231" idx="3"/>
        </xdr:cNvCxnSpPr>
      </xdr:nvCxnSpPr>
      <xdr:spPr>
        <a:xfrm flipV="1">
          <a:off x="15389275" y="13863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110490</xdr:colOff>
      <xdr:row>65</xdr:row>
      <xdr:rowOff>13607</xdr:rowOff>
    </xdr:from>
    <xdr:to>
      <xdr:col>26</xdr:col>
      <xdr:colOff>400948</xdr:colOff>
      <xdr:row>65</xdr:row>
      <xdr:rowOff>81824</xdr:rowOff>
    </xdr:to>
    <xdr:cxnSp macro="">
      <xdr:nvCxnSpPr>
        <xdr:cNvPr id="261" name="Connector: Elbow 42">
          <a:extLst>
            <a:ext uri="{FF2B5EF4-FFF2-40B4-BE49-F238E27FC236}">
              <a16:creationId xmlns:a16="http://schemas.microsoft.com/office/drawing/2014/main" id="{FB3E6B0C-B5C4-42EC-9DD6-B49CADDA7BD1}"/>
            </a:ext>
          </a:extLst>
        </xdr:cNvPr>
        <xdr:cNvCxnSpPr>
          <a:cxnSpLocks/>
          <a:stCxn id="225" idx="3"/>
          <a:endCxn id="268" idx="3"/>
        </xdr:cNvCxnSpPr>
      </xdr:nvCxnSpPr>
      <xdr:spPr>
        <a:xfrm>
          <a:off x="15350490" y="11900807"/>
          <a:ext cx="900058" cy="6821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81</xdr:row>
      <xdr:rowOff>26442</xdr:rowOff>
    </xdr:from>
    <xdr:to>
      <xdr:col>25</xdr:col>
      <xdr:colOff>179755</xdr:colOff>
      <xdr:row>83</xdr:row>
      <xdr:rowOff>165780</xdr:rowOff>
    </xdr:to>
    <xdr:sp macro="" textlink="">
      <xdr:nvSpPr>
        <xdr:cNvPr id="264" name="Rectangle: Rounded Corners 263">
          <a:extLst>
            <a:ext uri="{FF2B5EF4-FFF2-40B4-BE49-F238E27FC236}">
              <a16:creationId xmlns:a16="http://schemas.microsoft.com/office/drawing/2014/main" id="{9D4F6B31-ACD5-4EC3-860E-720F5CB6B0F8}"/>
            </a:ext>
          </a:extLst>
        </xdr:cNvPr>
        <xdr:cNvSpPr/>
      </xdr:nvSpPr>
      <xdr:spPr>
        <a:xfrm>
          <a:off x="14570669" y="14839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74</xdr:row>
      <xdr:rowOff>76199</xdr:rowOff>
    </xdr:from>
    <xdr:to>
      <xdr:col>23</xdr:col>
      <xdr:colOff>549869</xdr:colOff>
      <xdr:row>82</xdr:row>
      <xdr:rowOff>96111</xdr:rowOff>
    </xdr:to>
    <xdr:cxnSp macro="">
      <xdr:nvCxnSpPr>
        <xdr:cNvPr id="265" name="Connector: Elbow 264">
          <a:extLst>
            <a:ext uri="{FF2B5EF4-FFF2-40B4-BE49-F238E27FC236}">
              <a16:creationId xmlns:a16="http://schemas.microsoft.com/office/drawing/2014/main" id="{5038E782-7003-40A6-B7B8-733BAFF1D3CE}"/>
            </a:ext>
          </a:extLst>
        </xdr:cNvPr>
        <xdr:cNvCxnSpPr>
          <a:stCxn id="227" idx="4"/>
          <a:endCxn id="264" idx="1"/>
        </xdr:cNvCxnSpPr>
      </xdr:nvCxnSpPr>
      <xdr:spPr>
        <a:xfrm rot="16200000" flipH="1">
          <a:off x="13324298" y="13845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81</xdr:row>
      <xdr:rowOff>181655</xdr:rowOff>
    </xdr:from>
    <xdr:to>
      <xdr:col>27</xdr:col>
      <xdr:colOff>241664</xdr:colOff>
      <xdr:row>83</xdr:row>
      <xdr:rowOff>53203</xdr:rowOff>
    </xdr:to>
    <xdr:sp macro="" textlink="">
      <xdr:nvSpPr>
        <xdr:cNvPr id="266" name="Isosceles Triangle 265">
          <a:extLst>
            <a:ext uri="{FF2B5EF4-FFF2-40B4-BE49-F238E27FC236}">
              <a16:creationId xmlns:a16="http://schemas.microsoft.com/office/drawing/2014/main" id="{938852F7-C56A-4C33-B56C-145F88C5539F}"/>
            </a:ext>
          </a:extLst>
        </xdr:cNvPr>
        <xdr:cNvSpPr/>
      </xdr:nvSpPr>
      <xdr:spPr>
        <a:xfrm rot="5400000">
          <a:off x="16478796" y="15010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82</xdr:row>
      <xdr:rowOff>96111</xdr:rowOff>
    </xdr:from>
    <xdr:to>
      <xdr:col>27</xdr:col>
      <xdr:colOff>34836</xdr:colOff>
      <xdr:row>82</xdr:row>
      <xdr:rowOff>117429</xdr:rowOff>
    </xdr:to>
    <xdr:cxnSp macro="">
      <xdr:nvCxnSpPr>
        <xdr:cNvPr id="267" name="Connector: Elbow 351">
          <a:extLst>
            <a:ext uri="{FF2B5EF4-FFF2-40B4-BE49-F238E27FC236}">
              <a16:creationId xmlns:a16="http://schemas.microsoft.com/office/drawing/2014/main" id="{B24A60D2-A2A9-403C-B1AA-41E7ECD29A8E}"/>
            </a:ext>
          </a:extLst>
        </xdr:cNvPr>
        <xdr:cNvCxnSpPr>
          <a:stCxn id="264" idx="3"/>
          <a:endCxn id="266" idx="3"/>
        </xdr:cNvCxnSpPr>
      </xdr:nvCxnSpPr>
      <xdr:spPr>
        <a:xfrm>
          <a:off x="15419755" y="15092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400947</xdr:colOff>
      <xdr:row>64</xdr:row>
      <xdr:rowOff>149860</xdr:rowOff>
    </xdr:from>
    <xdr:to>
      <xdr:col>26</xdr:col>
      <xdr:colOff>607776</xdr:colOff>
      <xdr:row>66</xdr:row>
      <xdr:rowOff>13788</xdr:rowOff>
    </xdr:to>
    <xdr:sp macro="" textlink="">
      <xdr:nvSpPr>
        <xdr:cNvPr id="268" name="Isosceles Triangle 267">
          <a:extLst>
            <a:ext uri="{FF2B5EF4-FFF2-40B4-BE49-F238E27FC236}">
              <a16:creationId xmlns:a16="http://schemas.microsoft.com/office/drawing/2014/main" id="{142BD563-D3D4-4AC3-974D-3EE3870D2C3B}"/>
            </a:ext>
          </a:extLst>
        </xdr:cNvPr>
        <xdr:cNvSpPr/>
      </xdr:nvSpPr>
      <xdr:spPr>
        <a:xfrm rot="5400000">
          <a:off x="16239118" y="11865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13</xdr:col>
      <xdr:colOff>594904</xdr:colOff>
      <xdr:row>143</xdr:row>
      <xdr:rowOff>81643</xdr:rowOff>
    </xdr:from>
    <xdr:to>
      <xdr:col>15</xdr:col>
      <xdr:colOff>224790</xdr:colOff>
      <xdr:row>146</xdr:row>
      <xdr:rowOff>38100</xdr:rowOff>
    </xdr:to>
    <xdr:sp macro="" textlink="">
      <xdr:nvSpPr>
        <xdr:cNvPr id="269" name="Rectangle: Rounded Corners 268">
          <a:extLst>
            <a:ext uri="{FF2B5EF4-FFF2-40B4-BE49-F238E27FC236}">
              <a16:creationId xmlns:a16="http://schemas.microsoft.com/office/drawing/2014/main" id="{954464AE-EB5B-44D7-9C98-E2A3D051EAAC}"/>
            </a:ext>
          </a:extLst>
        </xdr:cNvPr>
        <xdr:cNvSpPr/>
      </xdr:nvSpPr>
      <xdr:spPr>
        <a:xfrm>
          <a:off x="8519704" y="7213963"/>
          <a:ext cx="849086" cy="50509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283573</xdr:colOff>
      <xdr:row>182</xdr:row>
      <xdr:rowOff>81099</xdr:rowOff>
    </xdr:from>
    <xdr:to>
      <xdr:col>15</xdr:col>
      <xdr:colOff>523059</xdr:colOff>
      <xdr:row>185</xdr:row>
      <xdr:rowOff>30480</xdr:rowOff>
    </xdr:to>
    <xdr:sp macro="" textlink="">
      <xdr:nvSpPr>
        <xdr:cNvPr id="270" name="Rectangle: Rounded Corners 269">
          <a:extLst>
            <a:ext uri="{FF2B5EF4-FFF2-40B4-BE49-F238E27FC236}">
              <a16:creationId xmlns:a16="http://schemas.microsoft.com/office/drawing/2014/main" id="{41780B37-C142-4C0E-B757-3A4F6D4FC1A7}"/>
            </a:ext>
          </a:extLst>
        </xdr:cNvPr>
        <xdr:cNvSpPr/>
      </xdr:nvSpPr>
      <xdr:spPr>
        <a:xfrm>
          <a:off x="8817973" y="14345739"/>
          <a:ext cx="849086" cy="49802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1</xdr:colOff>
      <xdr:row>144</xdr:row>
      <xdr:rowOff>151313</xdr:rowOff>
    </xdr:from>
    <xdr:to>
      <xdr:col>13</xdr:col>
      <xdr:colOff>594904</xdr:colOff>
      <xdr:row>150</xdr:row>
      <xdr:rowOff>100148</xdr:rowOff>
    </xdr:to>
    <xdr:cxnSp macro="">
      <xdr:nvCxnSpPr>
        <xdr:cNvPr id="271" name="Connector: Elbow 270">
          <a:extLst>
            <a:ext uri="{FF2B5EF4-FFF2-40B4-BE49-F238E27FC236}">
              <a16:creationId xmlns:a16="http://schemas.microsoft.com/office/drawing/2014/main" id="{A5F37336-7AE8-4D45-BB2D-B033910BBFE9}"/>
            </a:ext>
          </a:extLst>
        </xdr:cNvPr>
        <xdr:cNvCxnSpPr>
          <a:stCxn id="273" idx="0"/>
          <a:endCxn id="269" idx="1"/>
        </xdr:cNvCxnSpPr>
      </xdr:nvCxnSpPr>
      <xdr:spPr>
        <a:xfrm rot="5400000" flipH="1" flipV="1">
          <a:off x="7699195" y="7692119"/>
          <a:ext cx="1046115" cy="59490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xdr:colOff>
      <xdr:row>151</xdr:row>
      <xdr:rowOff>176346</xdr:rowOff>
    </xdr:from>
    <xdr:to>
      <xdr:col>14</xdr:col>
      <xdr:colOff>283574</xdr:colOff>
      <xdr:row>183</xdr:row>
      <xdr:rowOff>147229</xdr:rowOff>
    </xdr:to>
    <xdr:cxnSp macro="">
      <xdr:nvCxnSpPr>
        <xdr:cNvPr id="272" name="Connector: Elbow 271">
          <a:extLst>
            <a:ext uri="{FF2B5EF4-FFF2-40B4-BE49-F238E27FC236}">
              <a16:creationId xmlns:a16="http://schemas.microsoft.com/office/drawing/2014/main" id="{77A087D8-0131-4403-9DCA-1C41FFDB7BC2}"/>
            </a:ext>
          </a:extLst>
        </xdr:cNvPr>
        <xdr:cNvCxnSpPr>
          <a:stCxn id="273" idx="4"/>
          <a:endCxn id="270" idx="1"/>
        </xdr:cNvCxnSpPr>
      </xdr:nvCxnSpPr>
      <xdr:spPr>
        <a:xfrm rot="16200000" flipH="1">
          <a:off x="5459866" y="11236642"/>
          <a:ext cx="5823043" cy="893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451758</xdr:colOff>
      <xdr:row>150</xdr:row>
      <xdr:rowOff>100147</xdr:rowOff>
    </xdr:from>
    <xdr:to>
      <xdr:col>13</xdr:col>
      <xdr:colOff>157843</xdr:colOff>
      <xdr:row>151</xdr:row>
      <xdr:rowOff>176347</xdr:rowOff>
    </xdr:to>
    <xdr:sp macro="" textlink="">
      <xdr:nvSpPr>
        <xdr:cNvPr id="273" name="Oval 272">
          <a:extLst>
            <a:ext uri="{FF2B5EF4-FFF2-40B4-BE49-F238E27FC236}">
              <a16:creationId xmlns:a16="http://schemas.microsoft.com/office/drawing/2014/main" id="{B6661806-482C-47F4-A941-19F9D3FA65EB}"/>
            </a:ext>
          </a:extLst>
        </xdr:cNvPr>
        <xdr:cNvSpPr/>
      </xdr:nvSpPr>
      <xdr:spPr>
        <a:xfrm>
          <a:off x="7766958" y="8512627"/>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523059</xdr:colOff>
      <xdr:row>183</xdr:row>
      <xdr:rowOff>147230</xdr:rowOff>
    </xdr:from>
    <xdr:to>
      <xdr:col>17</xdr:col>
      <xdr:colOff>516528</xdr:colOff>
      <xdr:row>183</xdr:row>
      <xdr:rowOff>166551</xdr:rowOff>
    </xdr:to>
    <xdr:cxnSp macro="">
      <xdr:nvCxnSpPr>
        <xdr:cNvPr id="274" name="Connector: Elbow 351">
          <a:extLst>
            <a:ext uri="{FF2B5EF4-FFF2-40B4-BE49-F238E27FC236}">
              <a16:creationId xmlns:a16="http://schemas.microsoft.com/office/drawing/2014/main" id="{D1D3FC82-91BA-4BA6-A6DC-9516B926CD6A}"/>
            </a:ext>
          </a:extLst>
        </xdr:cNvPr>
        <xdr:cNvCxnSpPr>
          <a:cxnSpLocks/>
          <a:stCxn id="270" idx="3"/>
          <a:endCxn id="316" idx="2"/>
        </xdr:cNvCxnSpPr>
      </xdr:nvCxnSpPr>
      <xdr:spPr>
        <a:xfrm>
          <a:off x="9667059" y="14594750"/>
          <a:ext cx="1212669" cy="1932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141514</xdr:colOff>
      <xdr:row>126</xdr:row>
      <xdr:rowOff>57150</xdr:rowOff>
    </xdr:from>
    <xdr:to>
      <xdr:col>18</xdr:col>
      <xdr:colOff>381000</xdr:colOff>
      <xdr:row>129</xdr:row>
      <xdr:rowOff>8164</xdr:rowOff>
    </xdr:to>
    <xdr:sp macro="" textlink="">
      <xdr:nvSpPr>
        <xdr:cNvPr id="275" name="Rectangle: Rounded Corners 274">
          <a:extLst>
            <a:ext uri="{FF2B5EF4-FFF2-40B4-BE49-F238E27FC236}">
              <a16:creationId xmlns:a16="http://schemas.microsoft.com/office/drawing/2014/main" id="{53C170D5-4FFD-41D9-8C29-B7161FFF8866}"/>
            </a:ext>
          </a:extLst>
        </xdr:cNvPr>
        <xdr:cNvSpPr/>
      </xdr:nvSpPr>
      <xdr:spPr>
        <a:xfrm>
          <a:off x="10504714" y="408051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547042</xdr:colOff>
      <xdr:row>141</xdr:row>
      <xdr:rowOff>144797</xdr:rowOff>
    </xdr:from>
    <xdr:to>
      <xdr:col>19</xdr:col>
      <xdr:colOff>176928</xdr:colOff>
      <xdr:row>144</xdr:row>
      <xdr:rowOff>95110</xdr:rowOff>
    </xdr:to>
    <xdr:sp macro="" textlink="">
      <xdr:nvSpPr>
        <xdr:cNvPr id="276" name="Rectangle: Rounded Corners 275">
          <a:extLst>
            <a:ext uri="{FF2B5EF4-FFF2-40B4-BE49-F238E27FC236}">
              <a16:creationId xmlns:a16="http://schemas.microsoft.com/office/drawing/2014/main" id="{228487CF-29ED-4487-9D9B-B8A2DE9D3237}"/>
            </a:ext>
          </a:extLst>
        </xdr:cNvPr>
        <xdr:cNvSpPr/>
      </xdr:nvSpPr>
      <xdr:spPr>
        <a:xfrm>
          <a:off x="10910242" y="6911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17</xdr:col>
      <xdr:colOff>487136</xdr:colOff>
      <xdr:row>150</xdr:row>
      <xdr:rowOff>127907</xdr:rowOff>
    </xdr:from>
    <xdr:to>
      <xdr:col>19</xdr:col>
      <xdr:colOff>117022</xdr:colOff>
      <xdr:row>153</xdr:row>
      <xdr:rowOff>78922</xdr:rowOff>
    </xdr:to>
    <xdr:sp macro="" textlink="">
      <xdr:nvSpPr>
        <xdr:cNvPr id="277" name="Rectangle: Rounded Corners 276">
          <a:extLst>
            <a:ext uri="{FF2B5EF4-FFF2-40B4-BE49-F238E27FC236}">
              <a16:creationId xmlns:a16="http://schemas.microsoft.com/office/drawing/2014/main" id="{0E464353-54BA-4ED3-ACE2-8BF00D6D9542}"/>
            </a:ext>
          </a:extLst>
        </xdr:cNvPr>
        <xdr:cNvSpPr/>
      </xdr:nvSpPr>
      <xdr:spPr>
        <a:xfrm>
          <a:off x="10850336" y="8540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13608</xdr:colOff>
      <xdr:row>144</xdr:row>
      <xdr:rowOff>21771</xdr:rowOff>
    </xdr:from>
    <xdr:to>
      <xdr:col>16</xdr:col>
      <xdr:colOff>329293</xdr:colOff>
      <xdr:row>145</xdr:row>
      <xdr:rowOff>97970</xdr:rowOff>
    </xdr:to>
    <xdr:sp macro="" textlink="">
      <xdr:nvSpPr>
        <xdr:cNvPr id="278" name="Oval 277">
          <a:extLst>
            <a:ext uri="{FF2B5EF4-FFF2-40B4-BE49-F238E27FC236}">
              <a16:creationId xmlns:a16="http://schemas.microsoft.com/office/drawing/2014/main" id="{18F0D92C-3AFD-4EC9-A3BB-DD5B59CCCD3F}"/>
            </a:ext>
          </a:extLst>
        </xdr:cNvPr>
        <xdr:cNvSpPr/>
      </xdr:nvSpPr>
      <xdr:spPr>
        <a:xfrm>
          <a:off x="9767208" y="733697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224790</xdr:colOff>
      <xdr:row>144</xdr:row>
      <xdr:rowOff>151311</xdr:rowOff>
    </xdr:from>
    <xdr:to>
      <xdr:col>16</xdr:col>
      <xdr:colOff>13608</xdr:colOff>
      <xdr:row>144</xdr:row>
      <xdr:rowOff>151312</xdr:rowOff>
    </xdr:to>
    <xdr:cxnSp macro="">
      <xdr:nvCxnSpPr>
        <xdr:cNvPr id="279" name="Connector: Elbow 42">
          <a:extLst>
            <a:ext uri="{FF2B5EF4-FFF2-40B4-BE49-F238E27FC236}">
              <a16:creationId xmlns:a16="http://schemas.microsoft.com/office/drawing/2014/main" id="{4F63267A-4CD3-44E9-994A-62E3C41EFD25}"/>
            </a:ext>
          </a:extLst>
        </xdr:cNvPr>
        <xdr:cNvCxnSpPr>
          <a:cxnSpLocks/>
          <a:stCxn id="269" idx="3"/>
          <a:endCxn id="278" idx="2"/>
        </xdr:cNvCxnSpPr>
      </xdr:nvCxnSpPr>
      <xdr:spPr>
        <a:xfrm flipV="1">
          <a:off x="9368790" y="7466511"/>
          <a:ext cx="398418" cy="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171450</xdr:colOff>
      <xdr:row>127</xdr:row>
      <xdr:rowOff>127908</xdr:rowOff>
    </xdr:from>
    <xdr:to>
      <xdr:col>17</xdr:col>
      <xdr:colOff>141513</xdr:colOff>
      <xdr:row>144</xdr:row>
      <xdr:rowOff>21772</xdr:rowOff>
    </xdr:to>
    <xdr:cxnSp macro="">
      <xdr:nvCxnSpPr>
        <xdr:cNvPr id="280" name="Connector: Elbow 279">
          <a:extLst>
            <a:ext uri="{FF2B5EF4-FFF2-40B4-BE49-F238E27FC236}">
              <a16:creationId xmlns:a16="http://schemas.microsoft.com/office/drawing/2014/main" id="{E81FD449-3B87-47DE-A83C-85661FD4A6D9}"/>
            </a:ext>
          </a:extLst>
        </xdr:cNvPr>
        <xdr:cNvCxnSpPr>
          <a:stCxn id="278" idx="0"/>
          <a:endCxn id="275" idx="1"/>
        </xdr:cNvCxnSpPr>
      </xdr:nvCxnSpPr>
      <xdr:spPr>
        <a:xfrm rot="5400000" flipH="1" flipV="1">
          <a:off x="8713470" y="5545728"/>
          <a:ext cx="3002824" cy="57966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329293</xdr:colOff>
      <xdr:row>143</xdr:row>
      <xdr:rowOff>28514</xdr:rowOff>
    </xdr:from>
    <xdr:to>
      <xdr:col>17</xdr:col>
      <xdr:colOff>547042</xdr:colOff>
      <xdr:row>144</xdr:row>
      <xdr:rowOff>151311</xdr:rowOff>
    </xdr:to>
    <xdr:cxnSp macro="">
      <xdr:nvCxnSpPr>
        <xdr:cNvPr id="281" name="Connector: Elbow 280">
          <a:extLst>
            <a:ext uri="{FF2B5EF4-FFF2-40B4-BE49-F238E27FC236}">
              <a16:creationId xmlns:a16="http://schemas.microsoft.com/office/drawing/2014/main" id="{58B34860-6D89-4BEC-9FFB-CC6685350221}"/>
            </a:ext>
          </a:extLst>
        </xdr:cNvPr>
        <xdr:cNvCxnSpPr>
          <a:stCxn id="278" idx="6"/>
          <a:endCxn id="276" idx="1"/>
        </xdr:cNvCxnSpPr>
      </xdr:nvCxnSpPr>
      <xdr:spPr>
        <a:xfrm flipV="1">
          <a:off x="10082893" y="7160834"/>
          <a:ext cx="827349" cy="305677"/>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171451</xdr:colOff>
      <xdr:row>145</xdr:row>
      <xdr:rowOff>97969</xdr:rowOff>
    </xdr:from>
    <xdr:to>
      <xdr:col>17</xdr:col>
      <xdr:colOff>487136</xdr:colOff>
      <xdr:row>152</xdr:row>
      <xdr:rowOff>8164</xdr:rowOff>
    </xdr:to>
    <xdr:cxnSp macro="">
      <xdr:nvCxnSpPr>
        <xdr:cNvPr id="282" name="Connector: Elbow 281">
          <a:extLst>
            <a:ext uri="{FF2B5EF4-FFF2-40B4-BE49-F238E27FC236}">
              <a16:creationId xmlns:a16="http://schemas.microsoft.com/office/drawing/2014/main" id="{033FD79B-C8BB-423C-BB41-B0AD5FF15E37}"/>
            </a:ext>
          </a:extLst>
        </xdr:cNvPr>
        <xdr:cNvCxnSpPr>
          <a:stCxn id="278" idx="4"/>
          <a:endCxn id="277" idx="1"/>
        </xdr:cNvCxnSpPr>
      </xdr:nvCxnSpPr>
      <xdr:spPr>
        <a:xfrm rot="16200000" flipH="1">
          <a:off x="9792516" y="7728584"/>
          <a:ext cx="1190355" cy="92528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103415</xdr:colOff>
      <xdr:row>151</xdr:row>
      <xdr:rowOff>76206</xdr:rowOff>
    </xdr:from>
    <xdr:to>
      <xdr:col>20</xdr:col>
      <xdr:colOff>310244</xdr:colOff>
      <xdr:row>152</xdr:row>
      <xdr:rowOff>130634</xdr:rowOff>
    </xdr:to>
    <xdr:sp macro="" textlink="">
      <xdr:nvSpPr>
        <xdr:cNvPr id="283" name="Isosceles Triangle 282">
          <a:extLst>
            <a:ext uri="{FF2B5EF4-FFF2-40B4-BE49-F238E27FC236}">
              <a16:creationId xmlns:a16="http://schemas.microsoft.com/office/drawing/2014/main" id="{15BE2090-EF7E-4703-9DBF-DA9A5517F3EA}"/>
            </a:ext>
          </a:extLst>
        </xdr:cNvPr>
        <xdr:cNvSpPr/>
      </xdr:nvSpPr>
      <xdr:spPr>
        <a:xfrm rot="5400000">
          <a:off x="12280176" y="8686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117022</xdr:colOff>
      <xdr:row>152</xdr:row>
      <xdr:rowOff>8165</xdr:rowOff>
    </xdr:from>
    <xdr:to>
      <xdr:col>20</xdr:col>
      <xdr:colOff>103416</xdr:colOff>
      <xdr:row>152</xdr:row>
      <xdr:rowOff>8170</xdr:rowOff>
    </xdr:to>
    <xdr:cxnSp macro="">
      <xdr:nvCxnSpPr>
        <xdr:cNvPr id="284" name="Connector: Elbow 351">
          <a:extLst>
            <a:ext uri="{FF2B5EF4-FFF2-40B4-BE49-F238E27FC236}">
              <a16:creationId xmlns:a16="http://schemas.microsoft.com/office/drawing/2014/main" id="{DF615AAF-9138-4FD4-9906-F96CA8D8D60E}"/>
            </a:ext>
          </a:extLst>
        </xdr:cNvPr>
        <xdr:cNvCxnSpPr>
          <a:stCxn id="277" idx="3"/>
          <a:endCxn id="283" idx="3"/>
        </xdr:cNvCxnSpPr>
      </xdr:nvCxnSpPr>
      <xdr:spPr>
        <a:xfrm>
          <a:off x="11699422" y="8786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293546</xdr:colOff>
      <xdr:row>142</xdr:row>
      <xdr:rowOff>74114</xdr:rowOff>
    </xdr:from>
    <xdr:to>
      <xdr:col>20</xdr:col>
      <xdr:colOff>500375</xdr:colOff>
      <xdr:row>143</xdr:row>
      <xdr:rowOff>134687</xdr:rowOff>
    </xdr:to>
    <xdr:sp macro="" textlink="">
      <xdr:nvSpPr>
        <xdr:cNvPr id="285" name="Isosceles Triangle 284">
          <a:extLst>
            <a:ext uri="{FF2B5EF4-FFF2-40B4-BE49-F238E27FC236}">
              <a16:creationId xmlns:a16="http://schemas.microsoft.com/office/drawing/2014/main" id="{1E93AFFF-7535-4FC3-A5F4-44A5173105FE}"/>
            </a:ext>
          </a:extLst>
        </xdr:cNvPr>
        <xdr:cNvSpPr/>
      </xdr:nvSpPr>
      <xdr:spPr>
        <a:xfrm rot="5400000">
          <a:off x="12467234" y="7041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176928</xdr:colOff>
      <xdr:row>143</xdr:row>
      <xdr:rowOff>12961</xdr:rowOff>
    </xdr:from>
    <xdr:to>
      <xdr:col>20</xdr:col>
      <xdr:colOff>293546</xdr:colOff>
      <xdr:row>143</xdr:row>
      <xdr:rowOff>28514</xdr:rowOff>
    </xdr:to>
    <xdr:cxnSp macro="">
      <xdr:nvCxnSpPr>
        <xdr:cNvPr id="286" name="Connector: Elbow 351">
          <a:extLst>
            <a:ext uri="{FF2B5EF4-FFF2-40B4-BE49-F238E27FC236}">
              <a16:creationId xmlns:a16="http://schemas.microsoft.com/office/drawing/2014/main" id="{E7577F35-2B2B-4B2D-B9E2-8B8570BFD16C}"/>
            </a:ext>
          </a:extLst>
        </xdr:cNvPr>
        <xdr:cNvCxnSpPr>
          <a:stCxn id="276" idx="3"/>
          <a:endCxn id="285" idx="3"/>
        </xdr:cNvCxnSpPr>
      </xdr:nvCxnSpPr>
      <xdr:spPr>
        <a:xfrm flipV="1">
          <a:off x="11759328" y="7145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480604</xdr:colOff>
      <xdr:row>117</xdr:row>
      <xdr:rowOff>171450</xdr:rowOff>
    </xdr:from>
    <xdr:to>
      <xdr:col>23</xdr:col>
      <xdr:colOff>110490</xdr:colOff>
      <xdr:row>120</xdr:row>
      <xdr:rowOff>130084</xdr:rowOff>
    </xdr:to>
    <xdr:sp macro="" textlink="">
      <xdr:nvSpPr>
        <xdr:cNvPr id="287" name="Rectangle: Rounded Corners 286">
          <a:extLst>
            <a:ext uri="{FF2B5EF4-FFF2-40B4-BE49-F238E27FC236}">
              <a16:creationId xmlns:a16="http://schemas.microsoft.com/office/drawing/2014/main" id="{CEC4E015-E98B-43E0-9E6B-1AF7DC0B7DCA}"/>
            </a:ext>
          </a:extLst>
        </xdr:cNvPr>
        <xdr:cNvSpPr/>
      </xdr:nvSpPr>
      <xdr:spPr>
        <a:xfrm>
          <a:off x="13282204" y="2548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21</xdr:col>
      <xdr:colOff>519389</xdr:colOff>
      <xdr:row>128</xdr:row>
      <xdr:rowOff>102642</xdr:rowOff>
    </xdr:from>
    <xdr:to>
      <xdr:col>23</xdr:col>
      <xdr:colOff>149275</xdr:colOff>
      <xdr:row>131</xdr:row>
      <xdr:rowOff>59100</xdr:rowOff>
    </xdr:to>
    <xdr:sp macro="" textlink="">
      <xdr:nvSpPr>
        <xdr:cNvPr id="288" name="Rectangle: Rounded Corners 287">
          <a:extLst>
            <a:ext uri="{FF2B5EF4-FFF2-40B4-BE49-F238E27FC236}">
              <a16:creationId xmlns:a16="http://schemas.microsoft.com/office/drawing/2014/main" id="{8B9BA10A-753E-49E8-A7B1-13BFA4EF0E51}"/>
            </a:ext>
          </a:extLst>
        </xdr:cNvPr>
        <xdr:cNvSpPr/>
      </xdr:nvSpPr>
      <xdr:spPr>
        <a:xfrm>
          <a:off x="13320989" y="44917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19</xdr:col>
      <xdr:colOff>601436</xdr:colOff>
      <xdr:row>127</xdr:row>
      <xdr:rowOff>-1</xdr:rowOff>
    </xdr:from>
    <xdr:to>
      <xdr:col>20</xdr:col>
      <xdr:colOff>307521</xdr:colOff>
      <xdr:row>128</xdr:row>
      <xdr:rowOff>76199</xdr:rowOff>
    </xdr:to>
    <xdr:sp macro="" textlink="">
      <xdr:nvSpPr>
        <xdr:cNvPr id="289" name="Oval 288">
          <a:extLst>
            <a:ext uri="{FF2B5EF4-FFF2-40B4-BE49-F238E27FC236}">
              <a16:creationId xmlns:a16="http://schemas.microsoft.com/office/drawing/2014/main" id="{7EABAC23-39D0-488B-8A11-DD35B5F75C07}"/>
            </a:ext>
          </a:extLst>
        </xdr:cNvPr>
        <xdr:cNvSpPr/>
      </xdr:nvSpPr>
      <xdr:spPr>
        <a:xfrm>
          <a:off x="12183836" y="4206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381000</xdr:colOff>
      <xdr:row>127</xdr:row>
      <xdr:rowOff>127907</xdr:rowOff>
    </xdr:from>
    <xdr:to>
      <xdr:col>19</xdr:col>
      <xdr:colOff>601436</xdr:colOff>
      <xdr:row>127</xdr:row>
      <xdr:rowOff>133349</xdr:rowOff>
    </xdr:to>
    <xdr:cxnSp macro="">
      <xdr:nvCxnSpPr>
        <xdr:cNvPr id="290" name="Connector: Elbow 42">
          <a:extLst>
            <a:ext uri="{FF2B5EF4-FFF2-40B4-BE49-F238E27FC236}">
              <a16:creationId xmlns:a16="http://schemas.microsoft.com/office/drawing/2014/main" id="{69684D20-BC8C-4B8B-B528-4A9A3966B7FE}"/>
            </a:ext>
          </a:extLst>
        </xdr:cNvPr>
        <xdr:cNvCxnSpPr>
          <a:cxnSpLocks/>
          <a:stCxn id="275" idx="3"/>
          <a:endCxn id="289" idx="2"/>
        </xdr:cNvCxnSpPr>
      </xdr:nvCxnSpPr>
      <xdr:spPr>
        <a:xfrm>
          <a:off x="11353800" y="4334147"/>
          <a:ext cx="830036" cy="5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149678</xdr:colOff>
      <xdr:row>119</xdr:row>
      <xdr:rowOff>59328</xdr:rowOff>
    </xdr:from>
    <xdr:to>
      <xdr:col>21</xdr:col>
      <xdr:colOff>480603</xdr:colOff>
      <xdr:row>127</xdr:row>
      <xdr:rowOff>0</xdr:rowOff>
    </xdr:to>
    <xdr:cxnSp macro="">
      <xdr:nvCxnSpPr>
        <xdr:cNvPr id="291" name="Connector: Elbow 290">
          <a:extLst>
            <a:ext uri="{FF2B5EF4-FFF2-40B4-BE49-F238E27FC236}">
              <a16:creationId xmlns:a16="http://schemas.microsoft.com/office/drawing/2014/main" id="{C02A3141-9946-4043-8D2E-393AAE3CE100}"/>
            </a:ext>
          </a:extLst>
        </xdr:cNvPr>
        <xdr:cNvCxnSpPr>
          <a:stCxn id="289" idx="0"/>
          <a:endCxn id="287" idx="1"/>
        </xdr:cNvCxnSpPr>
      </xdr:nvCxnSpPr>
      <xdr:spPr>
        <a:xfrm rot="5400000" flipH="1" flipV="1">
          <a:off x="12110085" y="3034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149679</xdr:colOff>
      <xdr:row>128</xdr:row>
      <xdr:rowOff>76199</xdr:rowOff>
    </xdr:from>
    <xdr:to>
      <xdr:col>21</xdr:col>
      <xdr:colOff>519389</xdr:colOff>
      <xdr:row>129</xdr:row>
      <xdr:rowOff>172311</xdr:rowOff>
    </xdr:to>
    <xdr:cxnSp macro="">
      <xdr:nvCxnSpPr>
        <xdr:cNvPr id="292" name="Connector: Elbow 291">
          <a:extLst>
            <a:ext uri="{FF2B5EF4-FFF2-40B4-BE49-F238E27FC236}">
              <a16:creationId xmlns:a16="http://schemas.microsoft.com/office/drawing/2014/main" id="{BC789388-DDAE-44EC-8457-3F7A0133E3DB}"/>
            </a:ext>
          </a:extLst>
        </xdr:cNvPr>
        <xdr:cNvCxnSpPr>
          <a:stCxn id="289" idx="4"/>
          <a:endCxn id="288" idx="1"/>
        </xdr:cNvCxnSpPr>
      </xdr:nvCxnSpPr>
      <xdr:spPr>
        <a:xfrm rot="16200000" flipH="1">
          <a:off x="12691838" y="4115160"/>
          <a:ext cx="278992" cy="97931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507275</xdr:colOff>
      <xdr:row>129</xdr:row>
      <xdr:rowOff>29256</xdr:rowOff>
    </xdr:from>
    <xdr:to>
      <xdr:col>25</xdr:col>
      <xdr:colOff>104504</xdr:colOff>
      <xdr:row>130</xdr:row>
      <xdr:rowOff>83684</xdr:rowOff>
    </xdr:to>
    <xdr:sp macro="" textlink="">
      <xdr:nvSpPr>
        <xdr:cNvPr id="293" name="Isosceles Triangle 292">
          <a:extLst>
            <a:ext uri="{FF2B5EF4-FFF2-40B4-BE49-F238E27FC236}">
              <a16:creationId xmlns:a16="http://schemas.microsoft.com/office/drawing/2014/main" id="{0D4197BA-6023-49BB-968E-8E7A90761F79}"/>
            </a:ext>
          </a:extLst>
        </xdr:cNvPr>
        <xdr:cNvSpPr/>
      </xdr:nvSpPr>
      <xdr:spPr>
        <a:xfrm rot="5400000">
          <a:off x="15122436" y="461649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149275</xdr:colOff>
      <xdr:row>129</xdr:row>
      <xdr:rowOff>147910</xdr:rowOff>
    </xdr:from>
    <xdr:to>
      <xdr:col>24</xdr:col>
      <xdr:colOff>507276</xdr:colOff>
      <xdr:row>129</xdr:row>
      <xdr:rowOff>172311</xdr:rowOff>
    </xdr:to>
    <xdr:cxnSp macro="">
      <xdr:nvCxnSpPr>
        <xdr:cNvPr id="294" name="Connector: Elbow 351">
          <a:extLst>
            <a:ext uri="{FF2B5EF4-FFF2-40B4-BE49-F238E27FC236}">
              <a16:creationId xmlns:a16="http://schemas.microsoft.com/office/drawing/2014/main" id="{64C6AD27-B2E9-4B89-80A0-3952774431E4}"/>
            </a:ext>
          </a:extLst>
        </xdr:cNvPr>
        <xdr:cNvCxnSpPr>
          <a:stCxn id="288" idx="3"/>
          <a:endCxn id="293" idx="3"/>
        </xdr:cNvCxnSpPr>
      </xdr:nvCxnSpPr>
      <xdr:spPr>
        <a:xfrm flipV="1">
          <a:off x="14170075" y="4719910"/>
          <a:ext cx="967601" cy="2440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110490</xdr:colOff>
      <xdr:row>119</xdr:row>
      <xdr:rowOff>59327</xdr:rowOff>
    </xdr:from>
    <xdr:to>
      <xdr:col>24</xdr:col>
      <xdr:colOff>400948</xdr:colOff>
      <xdr:row>119</xdr:row>
      <xdr:rowOff>81824</xdr:rowOff>
    </xdr:to>
    <xdr:cxnSp macro="">
      <xdr:nvCxnSpPr>
        <xdr:cNvPr id="301" name="Connector: Elbow 42">
          <a:extLst>
            <a:ext uri="{FF2B5EF4-FFF2-40B4-BE49-F238E27FC236}">
              <a16:creationId xmlns:a16="http://schemas.microsoft.com/office/drawing/2014/main" id="{7A91370C-F455-4399-A1E9-28A80CD58D35}"/>
            </a:ext>
          </a:extLst>
        </xdr:cNvPr>
        <xdr:cNvCxnSpPr>
          <a:cxnSpLocks/>
          <a:stCxn id="287" idx="3"/>
          <a:endCxn id="312" idx="3"/>
        </xdr:cNvCxnSpPr>
      </xdr:nvCxnSpPr>
      <xdr:spPr>
        <a:xfrm>
          <a:off x="14131290" y="2802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549869</xdr:colOff>
      <xdr:row>135</xdr:row>
      <xdr:rowOff>26442</xdr:rowOff>
    </xdr:from>
    <xdr:to>
      <xdr:col>23</xdr:col>
      <xdr:colOff>179755</xdr:colOff>
      <xdr:row>137</xdr:row>
      <xdr:rowOff>165780</xdr:rowOff>
    </xdr:to>
    <xdr:sp macro="" textlink="">
      <xdr:nvSpPr>
        <xdr:cNvPr id="308" name="Rectangle: Rounded Corners 307">
          <a:extLst>
            <a:ext uri="{FF2B5EF4-FFF2-40B4-BE49-F238E27FC236}">
              <a16:creationId xmlns:a16="http://schemas.microsoft.com/office/drawing/2014/main" id="{33E9BC0E-7C37-46DD-BF23-DF0AEBC5D8DC}"/>
            </a:ext>
          </a:extLst>
        </xdr:cNvPr>
        <xdr:cNvSpPr/>
      </xdr:nvSpPr>
      <xdr:spPr>
        <a:xfrm>
          <a:off x="13351469" y="5695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20</xdr:col>
      <xdr:colOff>149679</xdr:colOff>
      <xdr:row>128</xdr:row>
      <xdr:rowOff>76199</xdr:rowOff>
    </xdr:from>
    <xdr:to>
      <xdr:col>21</xdr:col>
      <xdr:colOff>549869</xdr:colOff>
      <xdr:row>136</xdr:row>
      <xdr:rowOff>96111</xdr:rowOff>
    </xdr:to>
    <xdr:cxnSp macro="">
      <xdr:nvCxnSpPr>
        <xdr:cNvPr id="309" name="Connector: Elbow 308">
          <a:extLst>
            <a:ext uri="{FF2B5EF4-FFF2-40B4-BE49-F238E27FC236}">
              <a16:creationId xmlns:a16="http://schemas.microsoft.com/office/drawing/2014/main" id="{D4099DF7-AC74-430E-962C-8435228117AF}"/>
            </a:ext>
          </a:extLst>
        </xdr:cNvPr>
        <xdr:cNvCxnSpPr>
          <a:stCxn id="289" idx="4"/>
          <a:endCxn id="308" idx="1"/>
        </xdr:cNvCxnSpPr>
      </xdr:nvCxnSpPr>
      <xdr:spPr>
        <a:xfrm rot="16200000" flipH="1">
          <a:off x="12105098" y="4701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34835</xdr:colOff>
      <xdr:row>135</xdr:row>
      <xdr:rowOff>181655</xdr:rowOff>
    </xdr:from>
    <xdr:to>
      <xdr:col>25</xdr:col>
      <xdr:colOff>241664</xdr:colOff>
      <xdr:row>137</xdr:row>
      <xdr:rowOff>53203</xdr:rowOff>
    </xdr:to>
    <xdr:sp macro="" textlink="">
      <xdr:nvSpPr>
        <xdr:cNvPr id="310" name="Isosceles Triangle 309">
          <a:extLst>
            <a:ext uri="{FF2B5EF4-FFF2-40B4-BE49-F238E27FC236}">
              <a16:creationId xmlns:a16="http://schemas.microsoft.com/office/drawing/2014/main" id="{766F1438-1049-4B40-B2D3-5F47E9B2BE2D}"/>
            </a:ext>
          </a:extLst>
        </xdr:cNvPr>
        <xdr:cNvSpPr/>
      </xdr:nvSpPr>
      <xdr:spPr>
        <a:xfrm rot="5400000">
          <a:off x="15259596" y="5866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179755</xdr:colOff>
      <xdr:row>136</xdr:row>
      <xdr:rowOff>96111</xdr:rowOff>
    </xdr:from>
    <xdr:to>
      <xdr:col>25</xdr:col>
      <xdr:colOff>34836</xdr:colOff>
      <xdr:row>136</xdr:row>
      <xdr:rowOff>117429</xdr:rowOff>
    </xdr:to>
    <xdr:cxnSp macro="">
      <xdr:nvCxnSpPr>
        <xdr:cNvPr id="311" name="Connector: Elbow 351">
          <a:extLst>
            <a:ext uri="{FF2B5EF4-FFF2-40B4-BE49-F238E27FC236}">
              <a16:creationId xmlns:a16="http://schemas.microsoft.com/office/drawing/2014/main" id="{E983FC6B-8374-47B3-A5CF-F420BB0EFFEC}"/>
            </a:ext>
          </a:extLst>
        </xdr:cNvPr>
        <xdr:cNvCxnSpPr>
          <a:stCxn id="308" idx="3"/>
          <a:endCxn id="310" idx="3"/>
        </xdr:cNvCxnSpPr>
      </xdr:nvCxnSpPr>
      <xdr:spPr>
        <a:xfrm>
          <a:off x="14200555" y="5948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400947</xdr:colOff>
      <xdr:row>118</xdr:row>
      <xdr:rowOff>149860</xdr:rowOff>
    </xdr:from>
    <xdr:to>
      <xdr:col>24</xdr:col>
      <xdr:colOff>607776</xdr:colOff>
      <xdr:row>120</xdr:row>
      <xdr:rowOff>13788</xdr:rowOff>
    </xdr:to>
    <xdr:sp macro="" textlink="">
      <xdr:nvSpPr>
        <xdr:cNvPr id="312" name="Isosceles Triangle 311">
          <a:extLst>
            <a:ext uri="{FF2B5EF4-FFF2-40B4-BE49-F238E27FC236}">
              <a16:creationId xmlns:a16="http://schemas.microsoft.com/office/drawing/2014/main" id="{3A3447B7-E353-4150-BA61-186117D5678B}"/>
            </a:ext>
          </a:extLst>
        </xdr:cNvPr>
        <xdr:cNvSpPr/>
      </xdr:nvSpPr>
      <xdr:spPr>
        <a:xfrm rot="5400000">
          <a:off x="15019918" y="2721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385354</xdr:colOff>
      <xdr:row>176</xdr:row>
      <xdr:rowOff>26670</xdr:rowOff>
    </xdr:from>
    <xdr:to>
      <xdr:col>21</xdr:col>
      <xdr:colOff>15240</xdr:colOff>
      <xdr:row>178</xdr:row>
      <xdr:rowOff>160564</xdr:rowOff>
    </xdr:to>
    <xdr:sp macro="" textlink="">
      <xdr:nvSpPr>
        <xdr:cNvPr id="313" name="Rectangle: Rounded Corners 312">
          <a:extLst>
            <a:ext uri="{FF2B5EF4-FFF2-40B4-BE49-F238E27FC236}">
              <a16:creationId xmlns:a16="http://schemas.microsoft.com/office/drawing/2014/main" id="{3B2B2891-2ED7-46FD-A9BD-A4956A7731B9}"/>
            </a:ext>
          </a:extLst>
        </xdr:cNvPr>
        <xdr:cNvSpPr/>
      </xdr:nvSpPr>
      <xdr:spPr>
        <a:xfrm>
          <a:off x="11967754" y="13194030"/>
          <a:ext cx="849086" cy="49965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SGA</a:t>
          </a:r>
        </a:p>
      </xdr:txBody>
    </xdr:sp>
    <xdr:clientData/>
  </xdr:twoCellAnchor>
  <xdr:twoCellAnchor>
    <xdr:from>
      <xdr:col>19</xdr:col>
      <xdr:colOff>547042</xdr:colOff>
      <xdr:row>191</xdr:row>
      <xdr:rowOff>144797</xdr:rowOff>
    </xdr:from>
    <xdr:to>
      <xdr:col>21</xdr:col>
      <xdr:colOff>176928</xdr:colOff>
      <xdr:row>194</xdr:row>
      <xdr:rowOff>95110</xdr:rowOff>
    </xdr:to>
    <xdr:sp macro="" textlink="">
      <xdr:nvSpPr>
        <xdr:cNvPr id="314" name="Rectangle: Rounded Corners 313">
          <a:extLst>
            <a:ext uri="{FF2B5EF4-FFF2-40B4-BE49-F238E27FC236}">
              <a16:creationId xmlns:a16="http://schemas.microsoft.com/office/drawing/2014/main" id="{CBEB8CB1-26F4-4266-86F4-8EB32A87D617}"/>
            </a:ext>
          </a:extLst>
        </xdr:cNvPr>
        <xdr:cNvSpPr/>
      </xdr:nvSpPr>
      <xdr:spPr>
        <a:xfrm>
          <a:off x="12129442" y="16055357"/>
          <a:ext cx="849086" cy="49895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Norrmal</a:t>
          </a:r>
          <a:r>
            <a:rPr lang="en-ZA" sz="1100" baseline="0">
              <a:solidFill>
                <a:sysClr val="windowText" lastClr="000000"/>
              </a:solidFill>
            </a:rPr>
            <a:t> weight</a:t>
          </a:r>
          <a:endParaRPr lang="en-ZA" sz="1100">
            <a:solidFill>
              <a:sysClr val="windowText" lastClr="000000"/>
            </a:solidFill>
          </a:endParaRPr>
        </a:p>
      </xdr:txBody>
    </xdr:sp>
    <xdr:clientData/>
  </xdr:twoCellAnchor>
  <xdr:twoCellAnchor>
    <xdr:from>
      <xdr:col>19</xdr:col>
      <xdr:colOff>487136</xdr:colOff>
      <xdr:row>200</xdr:row>
      <xdr:rowOff>127907</xdr:rowOff>
    </xdr:from>
    <xdr:to>
      <xdr:col>21</xdr:col>
      <xdr:colOff>117022</xdr:colOff>
      <xdr:row>203</xdr:row>
      <xdr:rowOff>78922</xdr:rowOff>
    </xdr:to>
    <xdr:sp macro="" textlink="">
      <xdr:nvSpPr>
        <xdr:cNvPr id="315" name="Rectangle: Rounded Corners 314">
          <a:extLst>
            <a:ext uri="{FF2B5EF4-FFF2-40B4-BE49-F238E27FC236}">
              <a16:creationId xmlns:a16="http://schemas.microsoft.com/office/drawing/2014/main" id="{29686110-3CFA-45DA-B98F-B28521C615D5}"/>
            </a:ext>
          </a:extLst>
        </xdr:cNvPr>
        <xdr:cNvSpPr/>
      </xdr:nvSpPr>
      <xdr:spPr>
        <a:xfrm>
          <a:off x="12069536" y="17684387"/>
          <a:ext cx="849086" cy="49965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17</xdr:col>
      <xdr:colOff>516528</xdr:colOff>
      <xdr:row>183</xdr:row>
      <xdr:rowOff>37011</xdr:rowOff>
    </xdr:from>
    <xdr:to>
      <xdr:col>18</xdr:col>
      <xdr:colOff>222613</xdr:colOff>
      <xdr:row>184</xdr:row>
      <xdr:rowOff>113210</xdr:rowOff>
    </xdr:to>
    <xdr:sp macro="" textlink="">
      <xdr:nvSpPr>
        <xdr:cNvPr id="316" name="Oval 315">
          <a:extLst>
            <a:ext uri="{FF2B5EF4-FFF2-40B4-BE49-F238E27FC236}">
              <a16:creationId xmlns:a16="http://schemas.microsoft.com/office/drawing/2014/main" id="{4C125354-51EC-43A9-8035-DAE6BEF9D643}"/>
            </a:ext>
          </a:extLst>
        </xdr:cNvPr>
        <xdr:cNvSpPr/>
      </xdr:nvSpPr>
      <xdr:spPr>
        <a:xfrm>
          <a:off x="10879728" y="14484531"/>
          <a:ext cx="315685" cy="2590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64770</xdr:colOff>
      <xdr:row>177</xdr:row>
      <xdr:rowOff>93618</xdr:rowOff>
    </xdr:from>
    <xdr:to>
      <xdr:col>19</xdr:col>
      <xdr:colOff>385353</xdr:colOff>
      <xdr:row>183</xdr:row>
      <xdr:rowOff>37012</xdr:rowOff>
    </xdr:to>
    <xdr:cxnSp macro="">
      <xdr:nvCxnSpPr>
        <xdr:cNvPr id="317" name="Connector: Elbow 316">
          <a:extLst>
            <a:ext uri="{FF2B5EF4-FFF2-40B4-BE49-F238E27FC236}">
              <a16:creationId xmlns:a16="http://schemas.microsoft.com/office/drawing/2014/main" id="{3CA2D50E-59B6-43F1-AE28-C48B6B76F242}"/>
            </a:ext>
          </a:extLst>
        </xdr:cNvPr>
        <xdr:cNvCxnSpPr>
          <a:cxnSpLocks/>
          <a:stCxn id="316" idx="0"/>
          <a:endCxn id="313" idx="1"/>
        </xdr:cNvCxnSpPr>
      </xdr:nvCxnSpPr>
      <xdr:spPr>
        <a:xfrm rot="5400000" flipH="1" flipV="1">
          <a:off x="10982325" y="13499103"/>
          <a:ext cx="1040674" cy="93018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222613</xdr:colOff>
      <xdr:row>183</xdr:row>
      <xdr:rowOff>166551</xdr:rowOff>
    </xdr:from>
    <xdr:to>
      <xdr:col>19</xdr:col>
      <xdr:colOff>547042</xdr:colOff>
      <xdr:row>193</xdr:row>
      <xdr:rowOff>28514</xdr:rowOff>
    </xdr:to>
    <xdr:cxnSp macro="">
      <xdr:nvCxnSpPr>
        <xdr:cNvPr id="318" name="Connector: Elbow 317">
          <a:extLst>
            <a:ext uri="{FF2B5EF4-FFF2-40B4-BE49-F238E27FC236}">
              <a16:creationId xmlns:a16="http://schemas.microsoft.com/office/drawing/2014/main" id="{55E8AECA-1529-4834-8C3C-CC0B228F1009}"/>
            </a:ext>
          </a:extLst>
        </xdr:cNvPr>
        <xdr:cNvCxnSpPr>
          <a:stCxn id="316" idx="6"/>
          <a:endCxn id="314" idx="1"/>
        </xdr:cNvCxnSpPr>
      </xdr:nvCxnSpPr>
      <xdr:spPr>
        <a:xfrm>
          <a:off x="11195413" y="14614071"/>
          <a:ext cx="934029" cy="169076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64771</xdr:colOff>
      <xdr:row>184</xdr:row>
      <xdr:rowOff>113209</xdr:rowOff>
    </xdr:from>
    <xdr:to>
      <xdr:col>19</xdr:col>
      <xdr:colOff>487136</xdr:colOff>
      <xdr:row>202</xdr:row>
      <xdr:rowOff>11974</xdr:rowOff>
    </xdr:to>
    <xdr:cxnSp macro="">
      <xdr:nvCxnSpPr>
        <xdr:cNvPr id="319" name="Connector: Elbow 318">
          <a:extLst>
            <a:ext uri="{FF2B5EF4-FFF2-40B4-BE49-F238E27FC236}">
              <a16:creationId xmlns:a16="http://schemas.microsoft.com/office/drawing/2014/main" id="{77F5DEEA-EF80-4F89-8BC5-A04E5BFEB2EB}"/>
            </a:ext>
          </a:extLst>
        </xdr:cNvPr>
        <xdr:cNvCxnSpPr>
          <a:stCxn id="316" idx="4"/>
          <a:endCxn id="315" idx="1"/>
        </xdr:cNvCxnSpPr>
      </xdr:nvCxnSpPr>
      <xdr:spPr>
        <a:xfrm rot="16200000" flipH="1">
          <a:off x="9958251" y="15822929"/>
          <a:ext cx="3190605" cy="10319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103415</xdr:colOff>
      <xdr:row>201</xdr:row>
      <xdr:rowOff>76206</xdr:rowOff>
    </xdr:from>
    <xdr:to>
      <xdr:col>22</xdr:col>
      <xdr:colOff>310244</xdr:colOff>
      <xdr:row>202</xdr:row>
      <xdr:rowOff>130634</xdr:rowOff>
    </xdr:to>
    <xdr:sp macro="" textlink="">
      <xdr:nvSpPr>
        <xdr:cNvPr id="320" name="Isosceles Triangle 319">
          <a:extLst>
            <a:ext uri="{FF2B5EF4-FFF2-40B4-BE49-F238E27FC236}">
              <a16:creationId xmlns:a16="http://schemas.microsoft.com/office/drawing/2014/main" id="{17AACD90-AA1B-4F4F-BE91-CCDFE107AA5C}"/>
            </a:ext>
          </a:extLst>
        </xdr:cNvPr>
        <xdr:cNvSpPr/>
      </xdr:nvSpPr>
      <xdr:spPr>
        <a:xfrm rot="5400000">
          <a:off x="13499376" y="17830805"/>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117022</xdr:colOff>
      <xdr:row>202</xdr:row>
      <xdr:rowOff>8165</xdr:rowOff>
    </xdr:from>
    <xdr:to>
      <xdr:col>22</xdr:col>
      <xdr:colOff>103416</xdr:colOff>
      <xdr:row>202</xdr:row>
      <xdr:rowOff>8170</xdr:rowOff>
    </xdr:to>
    <xdr:cxnSp macro="">
      <xdr:nvCxnSpPr>
        <xdr:cNvPr id="321" name="Connector: Elbow 351">
          <a:extLst>
            <a:ext uri="{FF2B5EF4-FFF2-40B4-BE49-F238E27FC236}">
              <a16:creationId xmlns:a16="http://schemas.microsoft.com/office/drawing/2014/main" id="{147DE68F-50BA-4A5F-B106-057D28307A82}"/>
            </a:ext>
          </a:extLst>
        </xdr:cNvPr>
        <xdr:cNvCxnSpPr>
          <a:stCxn id="315" idx="3"/>
          <a:endCxn id="320" idx="3"/>
        </xdr:cNvCxnSpPr>
      </xdr:nvCxnSpPr>
      <xdr:spPr>
        <a:xfrm>
          <a:off x="12918622" y="17930405"/>
          <a:ext cx="595994" cy="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293546</xdr:colOff>
      <xdr:row>192</xdr:row>
      <xdr:rowOff>74114</xdr:rowOff>
    </xdr:from>
    <xdr:to>
      <xdr:col>22</xdr:col>
      <xdr:colOff>500375</xdr:colOff>
      <xdr:row>193</xdr:row>
      <xdr:rowOff>134687</xdr:rowOff>
    </xdr:to>
    <xdr:sp macro="" textlink="">
      <xdr:nvSpPr>
        <xdr:cNvPr id="322" name="Isosceles Triangle 321">
          <a:extLst>
            <a:ext uri="{FF2B5EF4-FFF2-40B4-BE49-F238E27FC236}">
              <a16:creationId xmlns:a16="http://schemas.microsoft.com/office/drawing/2014/main" id="{F38B30E5-B953-44CA-B9A7-F8FC4BD81BD2}"/>
            </a:ext>
          </a:extLst>
        </xdr:cNvPr>
        <xdr:cNvSpPr/>
      </xdr:nvSpPr>
      <xdr:spPr>
        <a:xfrm rot="5400000">
          <a:off x="13686434" y="16185866"/>
          <a:ext cx="24345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176928</xdr:colOff>
      <xdr:row>193</xdr:row>
      <xdr:rowOff>12961</xdr:rowOff>
    </xdr:from>
    <xdr:to>
      <xdr:col>22</xdr:col>
      <xdr:colOff>293546</xdr:colOff>
      <xdr:row>193</xdr:row>
      <xdr:rowOff>28514</xdr:rowOff>
    </xdr:to>
    <xdr:cxnSp macro="">
      <xdr:nvCxnSpPr>
        <xdr:cNvPr id="323" name="Connector: Elbow 351">
          <a:extLst>
            <a:ext uri="{FF2B5EF4-FFF2-40B4-BE49-F238E27FC236}">
              <a16:creationId xmlns:a16="http://schemas.microsoft.com/office/drawing/2014/main" id="{AB58138C-7DA9-4465-AC34-8A4216014D54}"/>
            </a:ext>
          </a:extLst>
        </xdr:cNvPr>
        <xdr:cNvCxnSpPr>
          <a:stCxn id="314" idx="3"/>
          <a:endCxn id="322" idx="3"/>
        </xdr:cNvCxnSpPr>
      </xdr:nvCxnSpPr>
      <xdr:spPr>
        <a:xfrm flipV="1">
          <a:off x="12978528" y="16289281"/>
          <a:ext cx="726218" cy="1555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480604</xdr:colOff>
      <xdr:row>167</xdr:row>
      <xdr:rowOff>171450</xdr:rowOff>
    </xdr:from>
    <xdr:to>
      <xdr:col>25</xdr:col>
      <xdr:colOff>110490</xdr:colOff>
      <xdr:row>170</xdr:row>
      <xdr:rowOff>130084</xdr:rowOff>
    </xdr:to>
    <xdr:sp macro="" textlink="">
      <xdr:nvSpPr>
        <xdr:cNvPr id="324" name="Rectangle: Rounded Corners 323">
          <a:extLst>
            <a:ext uri="{FF2B5EF4-FFF2-40B4-BE49-F238E27FC236}">
              <a16:creationId xmlns:a16="http://schemas.microsoft.com/office/drawing/2014/main" id="{2783B50D-25D1-49CA-AEB9-4B3E37F614DC}"/>
            </a:ext>
          </a:extLst>
        </xdr:cNvPr>
        <xdr:cNvSpPr/>
      </xdr:nvSpPr>
      <xdr:spPr>
        <a:xfrm>
          <a:off x="14501404" y="11692890"/>
          <a:ext cx="849086" cy="50727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Hypoglycaemia</a:t>
          </a:r>
        </a:p>
      </xdr:txBody>
    </xdr:sp>
    <xdr:clientData/>
  </xdr:twoCellAnchor>
  <xdr:twoCellAnchor>
    <xdr:from>
      <xdr:col>23</xdr:col>
      <xdr:colOff>595589</xdr:colOff>
      <xdr:row>175</xdr:row>
      <xdr:rowOff>72162</xdr:rowOff>
    </xdr:from>
    <xdr:to>
      <xdr:col>25</xdr:col>
      <xdr:colOff>225475</xdr:colOff>
      <xdr:row>178</xdr:row>
      <xdr:rowOff>28620</xdr:rowOff>
    </xdr:to>
    <xdr:sp macro="" textlink="">
      <xdr:nvSpPr>
        <xdr:cNvPr id="325" name="Rectangle: Rounded Corners 324">
          <a:extLst>
            <a:ext uri="{FF2B5EF4-FFF2-40B4-BE49-F238E27FC236}">
              <a16:creationId xmlns:a16="http://schemas.microsoft.com/office/drawing/2014/main" id="{0C73364D-5186-4290-A133-79077F4D96F6}"/>
            </a:ext>
          </a:extLst>
        </xdr:cNvPr>
        <xdr:cNvSpPr/>
      </xdr:nvSpPr>
      <xdr:spPr>
        <a:xfrm>
          <a:off x="14616389" y="3207616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complications</a:t>
          </a:r>
        </a:p>
      </xdr:txBody>
    </xdr:sp>
    <xdr:clientData/>
  </xdr:twoCellAnchor>
  <xdr:twoCellAnchor>
    <xdr:from>
      <xdr:col>21</xdr:col>
      <xdr:colOff>601436</xdr:colOff>
      <xdr:row>177</xdr:row>
      <xdr:rowOff>-1</xdr:rowOff>
    </xdr:from>
    <xdr:to>
      <xdr:col>22</xdr:col>
      <xdr:colOff>307521</xdr:colOff>
      <xdr:row>178</xdr:row>
      <xdr:rowOff>76199</xdr:rowOff>
    </xdr:to>
    <xdr:sp macro="" textlink="">
      <xdr:nvSpPr>
        <xdr:cNvPr id="330" name="Oval 329">
          <a:extLst>
            <a:ext uri="{FF2B5EF4-FFF2-40B4-BE49-F238E27FC236}">
              <a16:creationId xmlns:a16="http://schemas.microsoft.com/office/drawing/2014/main" id="{6C184317-F0CC-4A7F-8448-96F0C2028D53}"/>
            </a:ext>
          </a:extLst>
        </xdr:cNvPr>
        <xdr:cNvSpPr/>
      </xdr:nvSpPr>
      <xdr:spPr>
        <a:xfrm>
          <a:off x="13403036" y="13350239"/>
          <a:ext cx="315685" cy="2590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21</xdr:col>
      <xdr:colOff>15240</xdr:colOff>
      <xdr:row>177</xdr:row>
      <xdr:rowOff>93617</xdr:rowOff>
    </xdr:from>
    <xdr:to>
      <xdr:col>21</xdr:col>
      <xdr:colOff>601436</xdr:colOff>
      <xdr:row>177</xdr:row>
      <xdr:rowOff>129539</xdr:rowOff>
    </xdr:to>
    <xdr:cxnSp macro="">
      <xdr:nvCxnSpPr>
        <xdr:cNvPr id="331" name="Connector: Elbow 42">
          <a:extLst>
            <a:ext uri="{FF2B5EF4-FFF2-40B4-BE49-F238E27FC236}">
              <a16:creationId xmlns:a16="http://schemas.microsoft.com/office/drawing/2014/main" id="{44CD9F87-9210-4D91-93CD-B2F53B43CE00}"/>
            </a:ext>
          </a:extLst>
        </xdr:cNvPr>
        <xdr:cNvCxnSpPr>
          <a:cxnSpLocks/>
          <a:stCxn id="313" idx="3"/>
          <a:endCxn id="330" idx="2"/>
        </xdr:cNvCxnSpPr>
      </xdr:nvCxnSpPr>
      <xdr:spPr>
        <a:xfrm>
          <a:off x="12816840" y="13443857"/>
          <a:ext cx="586196" cy="359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149678</xdr:colOff>
      <xdr:row>169</xdr:row>
      <xdr:rowOff>59328</xdr:rowOff>
    </xdr:from>
    <xdr:to>
      <xdr:col>23</xdr:col>
      <xdr:colOff>480603</xdr:colOff>
      <xdr:row>177</xdr:row>
      <xdr:rowOff>0</xdr:rowOff>
    </xdr:to>
    <xdr:cxnSp macro="">
      <xdr:nvCxnSpPr>
        <xdr:cNvPr id="332" name="Connector: Elbow 331">
          <a:extLst>
            <a:ext uri="{FF2B5EF4-FFF2-40B4-BE49-F238E27FC236}">
              <a16:creationId xmlns:a16="http://schemas.microsoft.com/office/drawing/2014/main" id="{64B65980-F42C-4C8B-B3F1-88AC1F6F0614}"/>
            </a:ext>
          </a:extLst>
        </xdr:cNvPr>
        <xdr:cNvCxnSpPr>
          <a:cxnSpLocks/>
          <a:stCxn id="330" idx="0"/>
          <a:endCxn id="324" idx="1"/>
        </xdr:cNvCxnSpPr>
      </xdr:nvCxnSpPr>
      <xdr:spPr>
        <a:xfrm rot="5400000" flipH="1" flipV="1">
          <a:off x="13329285" y="12178121"/>
          <a:ext cx="1403712" cy="94052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149679</xdr:colOff>
      <xdr:row>176</xdr:row>
      <xdr:rowOff>141831</xdr:rowOff>
    </xdr:from>
    <xdr:to>
      <xdr:col>23</xdr:col>
      <xdr:colOff>595589</xdr:colOff>
      <xdr:row>178</xdr:row>
      <xdr:rowOff>76199</xdr:rowOff>
    </xdr:to>
    <xdr:cxnSp macro="">
      <xdr:nvCxnSpPr>
        <xdr:cNvPr id="333" name="Connector: Elbow 332">
          <a:extLst>
            <a:ext uri="{FF2B5EF4-FFF2-40B4-BE49-F238E27FC236}">
              <a16:creationId xmlns:a16="http://schemas.microsoft.com/office/drawing/2014/main" id="{DF215FCB-B466-456F-9E25-2694227B8A4A}"/>
            </a:ext>
          </a:extLst>
        </xdr:cNvPr>
        <xdr:cNvCxnSpPr>
          <a:stCxn id="330" idx="4"/>
          <a:endCxn id="325" idx="1"/>
        </xdr:cNvCxnSpPr>
      </xdr:nvCxnSpPr>
      <xdr:spPr>
        <a:xfrm rot="5400000" flipH="1" flipV="1">
          <a:off x="13938570" y="31951020"/>
          <a:ext cx="300128" cy="1055510"/>
        </a:xfrm>
        <a:prstGeom prst="bentConnector4">
          <a:avLst>
            <a:gd name="adj1" fmla="val -76168"/>
            <a:gd name="adj2" fmla="val 57477"/>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537755</xdr:colOff>
      <xdr:row>175</xdr:row>
      <xdr:rowOff>181657</xdr:rowOff>
    </xdr:from>
    <xdr:to>
      <xdr:col>27</xdr:col>
      <xdr:colOff>134984</xdr:colOff>
      <xdr:row>177</xdr:row>
      <xdr:rowOff>53205</xdr:rowOff>
    </xdr:to>
    <xdr:sp macro="" textlink="">
      <xdr:nvSpPr>
        <xdr:cNvPr id="334" name="Isosceles Triangle 333">
          <a:extLst>
            <a:ext uri="{FF2B5EF4-FFF2-40B4-BE49-F238E27FC236}">
              <a16:creationId xmlns:a16="http://schemas.microsoft.com/office/drawing/2014/main" id="{FEA5BDCA-C7C3-4682-BBD0-0892C9BC0A00}"/>
            </a:ext>
          </a:extLst>
        </xdr:cNvPr>
        <xdr:cNvSpPr/>
      </xdr:nvSpPr>
      <xdr:spPr>
        <a:xfrm rot="5400000">
          <a:off x="16372116" y="32200896"/>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225475</xdr:colOff>
      <xdr:row>176</xdr:row>
      <xdr:rowOff>117431</xdr:rowOff>
    </xdr:from>
    <xdr:to>
      <xdr:col>26</xdr:col>
      <xdr:colOff>537756</xdr:colOff>
      <xdr:row>176</xdr:row>
      <xdr:rowOff>141831</xdr:rowOff>
    </xdr:to>
    <xdr:cxnSp macro="">
      <xdr:nvCxnSpPr>
        <xdr:cNvPr id="335" name="Connector: Elbow 351">
          <a:extLst>
            <a:ext uri="{FF2B5EF4-FFF2-40B4-BE49-F238E27FC236}">
              <a16:creationId xmlns:a16="http://schemas.microsoft.com/office/drawing/2014/main" id="{9788CB35-1ACB-4AA5-AA0B-DC5EEC2C10ED}"/>
            </a:ext>
          </a:extLst>
        </xdr:cNvPr>
        <xdr:cNvCxnSpPr>
          <a:stCxn id="325" idx="3"/>
          <a:endCxn id="334" idx="3"/>
        </xdr:cNvCxnSpPr>
      </xdr:nvCxnSpPr>
      <xdr:spPr>
        <a:xfrm flipV="1">
          <a:off x="15465475" y="32304311"/>
          <a:ext cx="921881" cy="2440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110490</xdr:colOff>
      <xdr:row>169</xdr:row>
      <xdr:rowOff>59327</xdr:rowOff>
    </xdr:from>
    <xdr:to>
      <xdr:col>26</xdr:col>
      <xdr:colOff>400948</xdr:colOff>
      <xdr:row>169</xdr:row>
      <xdr:rowOff>81824</xdr:rowOff>
    </xdr:to>
    <xdr:cxnSp macro="">
      <xdr:nvCxnSpPr>
        <xdr:cNvPr id="342" name="Connector: Elbow 42">
          <a:extLst>
            <a:ext uri="{FF2B5EF4-FFF2-40B4-BE49-F238E27FC236}">
              <a16:creationId xmlns:a16="http://schemas.microsoft.com/office/drawing/2014/main" id="{72B1F3A4-1086-4217-A644-8F2824082280}"/>
            </a:ext>
          </a:extLst>
        </xdr:cNvPr>
        <xdr:cNvCxnSpPr>
          <a:cxnSpLocks/>
          <a:stCxn id="324" idx="3"/>
          <a:endCxn id="349" idx="3"/>
        </xdr:cNvCxnSpPr>
      </xdr:nvCxnSpPr>
      <xdr:spPr>
        <a:xfrm>
          <a:off x="15350490" y="11946527"/>
          <a:ext cx="900058" cy="2249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549869</xdr:colOff>
      <xdr:row>185</xdr:row>
      <xdr:rowOff>26442</xdr:rowOff>
    </xdr:from>
    <xdr:to>
      <xdr:col>25</xdr:col>
      <xdr:colOff>179755</xdr:colOff>
      <xdr:row>187</xdr:row>
      <xdr:rowOff>165780</xdr:rowOff>
    </xdr:to>
    <xdr:sp macro="" textlink="">
      <xdr:nvSpPr>
        <xdr:cNvPr id="345" name="Rectangle: Rounded Corners 344">
          <a:extLst>
            <a:ext uri="{FF2B5EF4-FFF2-40B4-BE49-F238E27FC236}">
              <a16:creationId xmlns:a16="http://schemas.microsoft.com/office/drawing/2014/main" id="{D79C69B6-DA61-4DEA-828A-D70DA990CBA8}"/>
            </a:ext>
          </a:extLst>
        </xdr:cNvPr>
        <xdr:cNvSpPr/>
      </xdr:nvSpPr>
      <xdr:spPr>
        <a:xfrm>
          <a:off x="14570669" y="14839722"/>
          <a:ext cx="849086" cy="50509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Death</a:t>
          </a:r>
        </a:p>
      </xdr:txBody>
    </xdr:sp>
    <xdr:clientData/>
  </xdr:twoCellAnchor>
  <xdr:twoCellAnchor>
    <xdr:from>
      <xdr:col>22</xdr:col>
      <xdr:colOff>149679</xdr:colOff>
      <xdr:row>178</xdr:row>
      <xdr:rowOff>76199</xdr:rowOff>
    </xdr:from>
    <xdr:to>
      <xdr:col>23</xdr:col>
      <xdr:colOff>549869</xdr:colOff>
      <xdr:row>186</xdr:row>
      <xdr:rowOff>96111</xdr:rowOff>
    </xdr:to>
    <xdr:cxnSp macro="">
      <xdr:nvCxnSpPr>
        <xdr:cNvPr id="346" name="Connector: Elbow 345">
          <a:extLst>
            <a:ext uri="{FF2B5EF4-FFF2-40B4-BE49-F238E27FC236}">
              <a16:creationId xmlns:a16="http://schemas.microsoft.com/office/drawing/2014/main" id="{491D933A-9E63-4084-9108-B15AD9BC214E}"/>
            </a:ext>
          </a:extLst>
        </xdr:cNvPr>
        <xdr:cNvCxnSpPr>
          <a:stCxn id="330" idx="4"/>
          <a:endCxn id="345" idx="1"/>
        </xdr:cNvCxnSpPr>
      </xdr:nvCxnSpPr>
      <xdr:spPr>
        <a:xfrm rot="16200000" flipH="1">
          <a:off x="13324298" y="13845900"/>
          <a:ext cx="1482952" cy="10097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34835</xdr:colOff>
      <xdr:row>185</xdr:row>
      <xdr:rowOff>181655</xdr:rowOff>
    </xdr:from>
    <xdr:to>
      <xdr:col>27</xdr:col>
      <xdr:colOff>241664</xdr:colOff>
      <xdr:row>187</xdr:row>
      <xdr:rowOff>53203</xdr:rowOff>
    </xdr:to>
    <xdr:sp macro="" textlink="">
      <xdr:nvSpPr>
        <xdr:cNvPr id="347" name="Isosceles Triangle 346">
          <a:extLst>
            <a:ext uri="{FF2B5EF4-FFF2-40B4-BE49-F238E27FC236}">
              <a16:creationId xmlns:a16="http://schemas.microsoft.com/office/drawing/2014/main" id="{A9F6DD57-8FD3-43D2-B756-4C9DE1DA7DB6}"/>
            </a:ext>
          </a:extLst>
        </xdr:cNvPr>
        <xdr:cNvSpPr/>
      </xdr:nvSpPr>
      <xdr:spPr>
        <a:xfrm rot="5400000">
          <a:off x="16478796" y="15010174"/>
          <a:ext cx="23730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179755</xdr:colOff>
      <xdr:row>186</xdr:row>
      <xdr:rowOff>96111</xdr:rowOff>
    </xdr:from>
    <xdr:to>
      <xdr:col>27</xdr:col>
      <xdr:colOff>34836</xdr:colOff>
      <xdr:row>186</xdr:row>
      <xdr:rowOff>117429</xdr:rowOff>
    </xdr:to>
    <xdr:cxnSp macro="">
      <xdr:nvCxnSpPr>
        <xdr:cNvPr id="348" name="Connector: Elbow 351">
          <a:extLst>
            <a:ext uri="{FF2B5EF4-FFF2-40B4-BE49-F238E27FC236}">
              <a16:creationId xmlns:a16="http://schemas.microsoft.com/office/drawing/2014/main" id="{A001E53E-CBC6-4C40-BDEC-36E477EF7439}"/>
            </a:ext>
          </a:extLst>
        </xdr:cNvPr>
        <xdr:cNvCxnSpPr>
          <a:stCxn id="345" idx="3"/>
          <a:endCxn id="347" idx="3"/>
        </xdr:cNvCxnSpPr>
      </xdr:nvCxnSpPr>
      <xdr:spPr>
        <a:xfrm>
          <a:off x="15419755" y="15092271"/>
          <a:ext cx="1074281" cy="2131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400947</xdr:colOff>
      <xdr:row>168</xdr:row>
      <xdr:rowOff>149860</xdr:rowOff>
    </xdr:from>
    <xdr:to>
      <xdr:col>26</xdr:col>
      <xdr:colOff>607776</xdr:colOff>
      <xdr:row>170</xdr:row>
      <xdr:rowOff>13788</xdr:rowOff>
    </xdr:to>
    <xdr:sp macro="" textlink="">
      <xdr:nvSpPr>
        <xdr:cNvPr id="349" name="Isosceles Triangle 348">
          <a:extLst>
            <a:ext uri="{FF2B5EF4-FFF2-40B4-BE49-F238E27FC236}">
              <a16:creationId xmlns:a16="http://schemas.microsoft.com/office/drawing/2014/main" id="{27939417-6435-4B61-9F2B-E726E5CB3B86}"/>
            </a:ext>
          </a:extLst>
        </xdr:cNvPr>
        <xdr:cNvSpPr/>
      </xdr:nvSpPr>
      <xdr:spPr>
        <a:xfrm rot="5400000">
          <a:off x="16239118" y="11865609"/>
          <a:ext cx="22968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14</xdr:row>
      <xdr:rowOff>190499</xdr:rowOff>
    </xdr:from>
    <xdr:to>
      <xdr:col>3</xdr:col>
      <xdr:colOff>598714</xdr:colOff>
      <xdr:row>15</xdr:row>
      <xdr:rowOff>0</xdr:rowOff>
    </xdr:to>
    <xdr:cxnSp macro="">
      <xdr:nvCxnSpPr>
        <xdr:cNvPr id="2" name="Straight Connector 1">
          <a:extLst>
            <a:ext uri="{FF2B5EF4-FFF2-40B4-BE49-F238E27FC236}">
              <a16:creationId xmlns:a16="http://schemas.microsoft.com/office/drawing/2014/main" id="{8B180CAE-0A15-4E76-BEFC-3303D1D9CFFE}"/>
            </a:ext>
          </a:extLst>
        </xdr:cNvPr>
        <xdr:cNvCxnSpPr>
          <a:endCxn id="3" idx="1"/>
        </xdr:cNvCxnSpPr>
      </xdr:nvCxnSpPr>
      <xdr:spPr>
        <a:xfrm flipV="1">
          <a:off x="1219200" y="2743199"/>
          <a:ext cx="1208314"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598714</xdr:colOff>
      <xdr:row>14</xdr:row>
      <xdr:rowOff>126999</xdr:rowOff>
    </xdr:from>
    <xdr:to>
      <xdr:col>4</xdr:col>
      <xdr:colOff>60960</xdr:colOff>
      <xdr:row>15</xdr:row>
      <xdr:rowOff>63499</xdr:rowOff>
    </xdr:to>
    <xdr:sp macro="" textlink="">
      <xdr:nvSpPr>
        <xdr:cNvPr id="3" name="Rectangle 2">
          <a:extLst>
            <a:ext uri="{FF2B5EF4-FFF2-40B4-BE49-F238E27FC236}">
              <a16:creationId xmlns:a16="http://schemas.microsoft.com/office/drawing/2014/main" id="{416C0364-4265-4A29-92B0-28E498E0FCAC}"/>
            </a:ext>
          </a:extLst>
        </xdr:cNvPr>
        <xdr:cNvSpPr/>
      </xdr:nvSpPr>
      <xdr:spPr>
        <a:xfrm>
          <a:off x="2427514" y="2687319"/>
          <a:ext cx="71846" cy="119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3</xdr:col>
      <xdr:colOff>601980</xdr:colOff>
      <xdr:row>10</xdr:row>
      <xdr:rowOff>10026</xdr:rowOff>
    </xdr:from>
    <xdr:to>
      <xdr:col>4</xdr:col>
      <xdr:colOff>5014</xdr:colOff>
      <xdr:row>21</xdr:row>
      <xdr:rowOff>15240</xdr:rowOff>
    </xdr:to>
    <xdr:cxnSp macro="">
      <xdr:nvCxnSpPr>
        <xdr:cNvPr id="4" name="Straight Connector 3">
          <a:extLst>
            <a:ext uri="{FF2B5EF4-FFF2-40B4-BE49-F238E27FC236}">
              <a16:creationId xmlns:a16="http://schemas.microsoft.com/office/drawing/2014/main" id="{252853F9-2E06-4844-953A-813FC5F3C06F}"/>
            </a:ext>
          </a:extLst>
        </xdr:cNvPr>
        <xdr:cNvCxnSpPr/>
      </xdr:nvCxnSpPr>
      <xdr:spPr>
        <a:xfrm flipH="1">
          <a:off x="2430780" y="1838826"/>
          <a:ext cx="12634" cy="20168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20</xdr:row>
      <xdr:rowOff>179071</xdr:rowOff>
    </xdr:from>
    <xdr:to>
      <xdr:col>12</xdr:col>
      <xdr:colOff>524466</xdr:colOff>
      <xdr:row>21</xdr:row>
      <xdr:rowOff>0</xdr:rowOff>
    </xdr:to>
    <xdr:cxnSp macro="">
      <xdr:nvCxnSpPr>
        <xdr:cNvPr id="5" name="Straight Connector 4">
          <a:extLst>
            <a:ext uri="{FF2B5EF4-FFF2-40B4-BE49-F238E27FC236}">
              <a16:creationId xmlns:a16="http://schemas.microsoft.com/office/drawing/2014/main" id="{86452AE3-3092-4880-990E-EFA7E9A97B08}"/>
            </a:ext>
          </a:extLst>
        </xdr:cNvPr>
        <xdr:cNvCxnSpPr>
          <a:endCxn id="7" idx="2"/>
        </xdr:cNvCxnSpPr>
      </xdr:nvCxnSpPr>
      <xdr:spPr>
        <a:xfrm flipV="1">
          <a:off x="2446020" y="3836671"/>
          <a:ext cx="5393646" cy="38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548640</xdr:colOff>
      <xdr:row>9</xdr:row>
      <xdr:rowOff>121920</xdr:rowOff>
    </xdr:from>
    <xdr:to>
      <xdr:col>10</xdr:col>
      <xdr:colOff>68580</xdr:colOff>
      <xdr:row>10</xdr:row>
      <xdr:rowOff>68580</xdr:rowOff>
    </xdr:to>
    <xdr:sp macro="" textlink="">
      <xdr:nvSpPr>
        <xdr:cNvPr id="6" name="Flowchart: Connector 5">
          <a:extLst>
            <a:ext uri="{FF2B5EF4-FFF2-40B4-BE49-F238E27FC236}">
              <a16:creationId xmlns:a16="http://schemas.microsoft.com/office/drawing/2014/main" id="{9FC6C104-12B3-4550-8378-0BDF5BA73A06}"/>
            </a:ext>
          </a:extLst>
        </xdr:cNvPr>
        <xdr:cNvSpPr/>
      </xdr:nvSpPr>
      <xdr:spPr>
        <a:xfrm>
          <a:off x="6035040" y="1767840"/>
          <a:ext cx="129540" cy="12954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524466</xdr:colOff>
      <xdr:row>20</xdr:row>
      <xdr:rowOff>114301</xdr:rowOff>
    </xdr:from>
    <xdr:to>
      <xdr:col>13</xdr:col>
      <xdr:colOff>44406</xdr:colOff>
      <xdr:row>21</xdr:row>
      <xdr:rowOff>60960</xdr:rowOff>
    </xdr:to>
    <xdr:sp macro="" textlink="">
      <xdr:nvSpPr>
        <xdr:cNvPr id="7" name="Flowchart: Connector 6">
          <a:extLst>
            <a:ext uri="{FF2B5EF4-FFF2-40B4-BE49-F238E27FC236}">
              <a16:creationId xmlns:a16="http://schemas.microsoft.com/office/drawing/2014/main" id="{B9566D09-111C-411A-AAC4-625EA5A19622}"/>
            </a:ext>
          </a:extLst>
        </xdr:cNvPr>
        <xdr:cNvSpPr/>
      </xdr:nvSpPr>
      <xdr:spPr>
        <a:xfrm>
          <a:off x="7839666" y="377190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xdr:col>
      <xdr:colOff>9236</xdr:colOff>
      <xdr:row>9</xdr:row>
      <xdr:rowOff>179070</xdr:rowOff>
    </xdr:from>
    <xdr:to>
      <xdr:col>9</xdr:col>
      <xdr:colOff>556260</xdr:colOff>
      <xdr:row>10</xdr:row>
      <xdr:rowOff>4619</xdr:rowOff>
    </xdr:to>
    <xdr:cxnSp macro="">
      <xdr:nvCxnSpPr>
        <xdr:cNvPr id="8" name="Straight Connector 7">
          <a:extLst>
            <a:ext uri="{FF2B5EF4-FFF2-40B4-BE49-F238E27FC236}">
              <a16:creationId xmlns:a16="http://schemas.microsoft.com/office/drawing/2014/main" id="{DC96C180-AA34-4095-8D48-5650FA36E970}"/>
            </a:ext>
          </a:extLst>
        </xdr:cNvPr>
        <xdr:cNvCxnSpPr/>
      </xdr:nvCxnSpPr>
      <xdr:spPr>
        <a:xfrm flipV="1">
          <a:off x="2447636" y="1824990"/>
          <a:ext cx="3595024" cy="84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5255</xdr:colOff>
      <xdr:row>7</xdr:row>
      <xdr:rowOff>3629</xdr:rowOff>
    </xdr:from>
    <xdr:to>
      <xdr:col>10</xdr:col>
      <xdr:colOff>7257</xdr:colOff>
      <xdr:row>13</xdr:row>
      <xdr:rowOff>2503</xdr:rowOff>
    </xdr:to>
    <xdr:cxnSp macro="">
      <xdr:nvCxnSpPr>
        <xdr:cNvPr id="9" name="Straight Connector 8">
          <a:extLst>
            <a:ext uri="{FF2B5EF4-FFF2-40B4-BE49-F238E27FC236}">
              <a16:creationId xmlns:a16="http://schemas.microsoft.com/office/drawing/2014/main" id="{1A1165CC-B39C-4CE7-A3BE-F2F64CE66FAA}"/>
            </a:ext>
          </a:extLst>
        </xdr:cNvPr>
        <xdr:cNvCxnSpPr/>
      </xdr:nvCxnSpPr>
      <xdr:spPr>
        <a:xfrm flipH="1">
          <a:off x="6101255" y="1283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601980</xdr:colOff>
      <xdr:row>18</xdr:row>
      <xdr:rowOff>21021</xdr:rowOff>
    </xdr:from>
    <xdr:to>
      <xdr:col>12</xdr:col>
      <xdr:colOff>601980</xdr:colOff>
      <xdr:row>24</xdr:row>
      <xdr:rowOff>36883</xdr:rowOff>
    </xdr:to>
    <xdr:cxnSp macro="">
      <xdr:nvCxnSpPr>
        <xdr:cNvPr id="10" name="Straight Connector 9">
          <a:extLst>
            <a:ext uri="{FF2B5EF4-FFF2-40B4-BE49-F238E27FC236}">
              <a16:creationId xmlns:a16="http://schemas.microsoft.com/office/drawing/2014/main" id="{ACD7606A-9E0E-4858-8730-5B3177074FFE}"/>
            </a:ext>
          </a:extLst>
        </xdr:cNvPr>
        <xdr:cNvCxnSpPr/>
      </xdr:nvCxnSpPr>
      <xdr:spPr>
        <a:xfrm>
          <a:off x="7917180" y="3312861"/>
          <a:ext cx="0" cy="11131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11814</xdr:colOff>
      <xdr:row>7</xdr:row>
      <xdr:rowOff>0</xdr:rowOff>
    </xdr:from>
    <xdr:to>
      <xdr:col>13</xdr:col>
      <xdr:colOff>30480</xdr:colOff>
      <xdr:row>7</xdr:row>
      <xdr:rowOff>5907</xdr:rowOff>
    </xdr:to>
    <xdr:cxnSp macro="">
      <xdr:nvCxnSpPr>
        <xdr:cNvPr id="11" name="Straight Connector 10">
          <a:extLst>
            <a:ext uri="{FF2B5EF4-FFF2-40B4-BE49-F238E27FC236}">
              <a16:creationId xmlns:a16="http://schemas.microsoft.com/office/drawing/2014/main" id="{935269BD-925C-4C0D-A24D-B2712F69470F}"/>
            </a:ext>
          </a:extLst>
        </xdr:cNvPr>
        <xdr:cNvCxnSpPr/>
      </xdr:nvCxnSpPr>
      <xdr:spPr>
        <a:xfrm flipV="1">
          <a:off x="6107814" y="1280160"/>
          <a:ext cx="1847466" cy="5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5255</xdr:colOff>
      <xdr:row>12</xdr:row>
      <xdr:rowOff>175260</xdr:rowOff>
    </xdr:from>
    <xdr:to>
      <xdr:col>12</xdr:col>
      <xdr:colOff>601980</xdr:colOff>
      <xdr:row>12</xdr:row>
      <xdr:rowOff>178676</xdr:rowOff>
    </xdr:to>
    <xdr:cxnSp macro="">
      <xdr:nvCxnSpPr>
        <xdr:cNvPr id="12" name="Straight Connector 11">
          <a:extLst>
            <a:ext uri="{FF2B5EF4-FFF2-40B4-BE49-F238E27FC236}">
              <a16:creationId xmlns:a16="http://schemas.microsoft.com/office/drawing/2014/main" id="{F8F5160A-2B57-426A-B5F1-C091021D8507}"/>
            </a:ext>
          </a:extLst>
        </xdr:cNvPr>
        <xdr:cNvCxnSpPr/>
      </xdr:nvCxnSpPr>
      <xdr:spPr>
        <a:xfrm flipV="1">
          <a:off x="6101255" y="2369820"/>
          <a:ext cx="1815925" cy="3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601980</xdr:colOff>
      <xdr:row>17</xdr:row>
      <xdr:rowOff>171674</xdr:rowOff>
    </xdr:from>
    <xdr:to>
      <xdr:col>14</xdr:col>
      <xdr:colOff>608383</xdr:colOff>
      <xdr:row>17</xdr:row>
      <xdr:rowOff>175260</xdr:rowOff>
    </xdr:to>
    <xdr:cxnSp macro="">
      <xdr:nvCxnSpPr>
        <xdr:cNvPr id="14" name="Straight Connector 13">
          <a:extLst>
            <a:ext uri="{FF2B5EF4-FFF2-40B4-BE49-F238E27FC236}">
              <a16:creationId xmlns:a16="http://schemas.microsoft.com/office/drawing/2014/main" id="{6A9EA9D5-1D6B-4D56-A798-35A121A659C8}"/>
            </a:ext>
          </a:extLst>
        </xdr:cNvPr>
        <xdr:cNvCxnSpPr/>
      </xdr:nvCxnSpPr>
      <xdr:spPr>
        <a:xfrm flipV="1">
          <a:off x="7917180" y="328063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15176</xdr:colOff>
      <xdr:row>24</xdr:row>
      <xdr:rowOff>11654</xdr:rowOff>
    </xdr:from>
    <xdr:to>
      <xdr:col>15</xdr:col>
      <xdr:colOff>8772</xdr:colOff>
      <xdr:row>24</xdr:row>
      <xdr:rowOff>11654</xdr:rowOff>
    </xdr:to>
    <xdr:cxnSp macro="">
      <xdr:nvCxnSpPr>
        <xdr:cNvPr id="16" name="Straight Connector 15">
          <a:extLst>
            <a:ext uri="{FF2B5EF4-FFF2-40B4-BE49-F238E27FC236}">
              <a16:creationId xmlns:a16="http://schemas.microsoft.com/office/drawing/2014/main" id="{5958F8E9-2735-4EB6-AF7A-EEF8E2A48EC3}"/>
            </a:ext>
          </a:extLst>
        </xdr:cNvPr>
        <xdr:cNvCxnSpPr/>
      </xdr:nvCxnSpPr>
      <xdr:spPr>
        <a:xfrm>
          <a:off x="7939976" y="4400774"/>
          <a:ext cx="121279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5255</xdr:colOff>
      <xdr:row>2</xdr:row>
      <xdr:rowOff>171269</xdr:rowOff>
    </xdr:from>
    <xdr:to>
      <xdr:col>13</xdr:col>
      <xdr:colOff>7257</xdr:colOff>
      <xdr:row>8</xdr:row>
      <xdr:rowOff>170143</xdr:rowOff>
    </xdr:to>
    <xdr:cxnSp macro="">
      <xdr:nvCxnSpPr>
        <xdr:cNvPr id="18" name="Straight Connector 17">
          <a:extLst>
            <a:ext uri="{FF2B5EF4-FFF2-40B4-BE49-F238E27FC236}">
              <a16:creationId xmlns:a16="http://schemas.microsoft.com/office/drawing/2014/main" id="{0D17D7EF-6985-4D5D-A5E8-0C2637FCB4BB}"/>
            </a:ext>
          </a:extLst>
        </xdr:cNvPr>
        <xdr:cNvCxnSpPr/>
      </xdr:nvCxnSpPr>
      <xdr:spPr>
        <a:xfrm flipH="1">
          <a:off x="7930055" y="53702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5255</xdr:colOff>
      <xdr:row>10</xdr:row>
      <xdr:rowOff>18869</xdr:rowOff>
    </xdr:from>
    <xdr:to>
      <xdr:col>13</xdr:col>
      <xdr:colOff>7257</xdr:colOff>
      <xdr:row>16</xdr:row>
      <xdr:rowOff>17743</xdr:rowOff>
    </xdr:to>
    <xdr:cxnSp macro="">
      <xdr:nvCxnSpPr>
        <xdr:cNvPr id="19" name="Straight Connector 18">
          <a:extLst>
            <a:ext uri="{FF2B5EF4-FFF2-40B4-BE49-F238E27FC236}">
              <a16:creationId xmlns:a16="http://schemas.microsoft.com/office/drawing/2014/main" id="{4A238FD0-A456-4623-B06F-FCE673B3467C}"/>
            </a:ext>
          </a:extLst>
        </xdr:cNvPr>
        <xdr:cNvCxnSpPr/>
      </xdr:nvCxnSpPr>
      <xdr:spPr>
        <a:xfrm flipH="1">
          <a:off x="7930055" y="184766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554946</xdr:colOff>
      <xdr:row>12</xdr:row>
      <xdr:rowOff>129541</xdr:rowOff>
    </xdr:from>
    <xdr:to>
      <xdr:col>13</xdr:col>
      <xdr:colOff>74886</xdr:colOff>
      <xdr:row>13</xdr:row>
      <xdr:rowOff>76200</xdr:rowOff>
    </xdr:to>
    <xdr:sp macro="" textlink="">
      <xdr:nvSpPr>
        <xdr:cNvPr id="23" name="Flowchart: Connector 22">
          <a:extLst>
            <a:ext uri="{FF2B5EF4-FFF2-40B4-BE49-F238E27FC236}">
              <a16:creationId xmlns:a16="http://schemas.microsoft.com/office/drawing/2014/main" id="{7E4AF98D-6AB4-45FD-9E76-1D9F8BCFB98F}"/>
            </a:ext>
          </a:extLst>
        </xdr:cNvPr>
        <xdr:cNvSpPr/>
      </xdr:nvSpPr>
      <xdr:spPr>
        <a:xfrm>
          <a:off x="7870146" y="232410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532086</xdr:colOff>
      <xdr:row>6</xdr:row>
      <xdr:rowOff>99061</xdr:rowOff>
    </xdr:from>
    <xdr:to>
      <xdr:col>13</xdr:col>
      <xdr:colOff>52026</xdr:colOff>
      <xdr:row>7</xdr:row>
      <xdr:rowOff>45720</xdr:rowOff>
    </xdr:to>
    <xdr:sp macro="" textlink="">
      <xdr:nvSpPr>
        <xdr:cNvPr id="24" name="Flowchart: Connector 23">
          <a:extLst>
            <a:ext uri="{FF2B5EF4-FFF2-40B4-BE49-F238E27FC236}">
              <a16:creationId xmlns:a16="http://schemas.microsoft.com/office/drawing/2014/main" id="{F7B3A5B9-8ADB-4876-B060-942061594499}"/>
            </a:ext>
          </a:extLst>
        </xdr:cNvPr>
        <xdr:cNvSpPr/>
      </xdr:nvSpPr>
      <xdr:spPr>
        <a:xfrm>
          <a:off x="7847286" y="119634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601980</xdr:colOff>
      <xdr:row>9</xdr:row>
      <xdr:rowOff>179294</xdr:rowOff>
    </xdr:from>
    <xdr:to>
      <xdr:col>14</xdr:col>
      <xdr:colOff>608383</xdr:colOff>
      <xdr:row>10</xdr:row>
      <xdr:rowOff>0</xdr:rowOff>
    </xdr:to>
    <xdr:cxnSp macro="">
      <xdr:nvCxnSpPr>
        <xdr:cNvPr id="27" name="Straight Connector 26">
          <a:extLst>
            <a:ext uri="{FF2B5EF4-FFF2-40B4-BE49-F238E27FC236}">
              <a16:creationId xmlns:a16="http://schemas.microsoft.com/office/drawing/2014/main" id="{0D16819F-B489-4583-BC2D-B3DA8361A70A}"/>
            </a:ext>
          </a:extLst>
        </xdr:cNvPr>
        <xdr:cNvCxnSpPr/>
      </xdr:nvCxnSpPr>
      <xdr:spPr>
        <a:xfrm flipV="1">
          <a:off x="7917180" y="18252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15</xdr:row>
      <xdr:rowOff>179294</xdr:rowOff>
    </xdr:from>
    <xdr:to>
      <xdr:col>15</xdr:col>
      <xdr:colOff>6403</xdr:colOff>
      <xdr:row>16</xdr:row>
      <xdr:rowOff>0</xdr:rowOff>
    </xdr:to>
    <xdr:cxnSp macro="">
      <xdr:nvCxnSpPr>
        <xdr:cNvPr id="28" name="Straight Connector 27">
          <a:extLst>
            <a:ext uri="{FF2B5EF4-FFF2-40B4-BE49-F238E27FC236}">
              <a16:creationId xmlns:a16="http://schemas.microsoft.com/office/drawing/2014/main" id="{0EB7A85D-695F-4F9B-8714-567AED02D995}"/>
            </a:ext>
          </a:extLst>
        </xdr:cNvPr>
        <xdr:cNvCxnSpPr/>
      </xdr:nvCxnSpPr>
      <xdr:spPr>
        <a:xfrm flipV="1">
          <a:off x="7924800" y="292249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xdr:row>
      <xdr:rowOff>171674</xdr:rowOff>
    </xdr:from>
    <xdr:to>
      <xdr:col>15</xdr:col>
      <xdr:colOff>6403</xdr:colOff>
      <xdr:row>8</xdr:row>
      <xdr:rowOff>175260</xdr:rowOff>
    </xdr:to>
    <xdr:cxnSp macro="">
      <xdr:nvCxnSpPr>
        <xdr:cNvPr id="29" name="Straight Connector 28">
          <a:extLst>
            <a:ext uri="{FF2B5EF4-FFF2-40B4-BE49-F238E27FC236}">
              <a16:creationId xmlns:a16="http://schemas.microsoft.com/office/drawing/2014/main" id="{CB7B1BFB-428B-4E8D-AED0-71030B14A7B4}"/>
            </a:ext>
          </a:extLst>
        </xdr:cNvPr>
        <xdr:cNvCxnSpPr/>
      </xdr:nvCxnSpPr>
      <xdr:spPr>
        <a:xfrm flipV="1">
          <a:off x="7924800" y="16347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xdr:colOff>
      <xdr:row>3</xdr:row>
      <xdr:rowOff>4034</xdr:rowOff>
    </xdr:from>
    <xdr:to>
      <xdr:col>15</xdr:col>
      <xdr:colOff>21643</xdr:colOff>
      <xdr:row>3</xdr:row>
      <xdr:rowOff>7620</xdr:rowOff>
    </xdr:to>
    <xdr:cxnSp macro="">
      <xdr:nvCxnSpPr>
        <xdr:cNvPr id="30" name="Straight Connector 29">
          <a:extLst>
            <a:ext uri="{FF2B5EF4-FFF2-40B4-BE49-F238E27FC236}">
              <a16:creationId xmlns:a16="http://schemas.microsoft.com/office/drawing/2014/main" id="{003C88F0-83BE-488A-8B02-4E321231B2E7}"/>
            </a:ext>
          </a:extLst>
        </xdr:cNvPr>
        <xdr:cNvCxnSpPr/>
      </xdr:nvCxnSpPr>
      <xdr:spPr>
        <a:xfrm flipV="1">
          <a:off x="7940040" y="55267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10</xdr:row>
      <xdr:rowOff>190499</xdr:rowOff>
    </xdr:from>
    <xdr:to>
      <xdr:col>2</xdr:col>
      <xdr:colOff>598714</xdr:colOff>
      <xdr:row>11</xdr:row>
      <xdr:rowOff>0</xdr:rowOff>
    </xdr:to>
    <xdr:cxnSp macro="">
      <xdr:nvCxnSpPr>
        <xdr:cNvPr id="36" name="Straight Connector 35">
          <a:extLst>
            <a:ext uri="{FF2B5EF4-FFF2-40B4-BE49-F238E27FC236}">
              <a16:creationId xmlns:a16="http://schemas.microsoft.com/office/drawing/2014/main" id="{72DDFAFA-8757-4BF1-A810-8DC5B5FBBDCA}"/>
            </a:ext>
          </a:extLst>
        </xdr:cNvPr>
        <xdr:cNvCxnSpPr>
          <a:cxnSpLocks/>
        </xdr:cNvCxnSpPr>
      </xdr:nvCxnSpPr>
      <xdr:spPr>
        <a:xfrm flipV="1">
          <a:off x="0" y="2750819"/>
          <a:ext cx="1208314"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524466</xdr:colOff>
      <xdr:row>22</xdr:row>
      <xdr:rowOff>114301</xdr:rowOff>
    </xdr:from>
    <xdr:to>
      <xdr:col>1</xdr:col>
      <xdr:colOff>44406</xdr:colOff>
      <xdr:row>23</xdr:row>
      <xdr:rowOff>60960</xdr:rowOff>
    </xdr:to>
    <xdr:sp macro="" textlink="">
      <xdr:nvSpPr>
        <xdr:cNvPr id="19" name="Flowchart: Connector 18">
          <a:extLst>
            <a:ext uri="{FF2B5EF4-FFF2-40B4-BE49-F238E27FC236}">
              <a16:creationId xmlns:a16="http://schemas.microsoft.com/office/drawing/2014/main" id="{94EA13F9-E222-4283-990D-D94D06C21508}"/>
            </a:ext>
          </a:extLst>
        </xdr:cNvPr>
        <xdr:cNvSpPr/>
      </xdr:nvSpPr>
      <xdr:spPr>
        <a:xfrm>
          <a:off x="7839666" y="377190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601980</xdr:colOff>
      <xdr:row>19</xdr:row>
      <xdr:rowOff>171674</xdr:rowOff>
    </xdr:from>
    <xdr:to>
      <xdr:col>2</xdr:col>
      <xdr:colOff>608383</xdr:colOff>
      <xdr:row>19</xdr:row>
      <xdr:rowOff>175260</xdr:rowOff>
    </xdr:to>
    <xdr:cxnSp macro="">
      <xdr:nvCxnSpPr>
        <xdr:cNvPr id="20" name="Straight Connector 19">
          <a:extLst>
            <a:ext uri="{FF2B5EF4-FFF2-40B4-BE49-F238E27FC236}">
              <a16:creationId xmlns:a16="http://schemas.microsoft.com/office/drawing/2014/main" id="{F4889E18-019B-4B69-8765-560FD247096C}"/>
            </a:ext>
          </a:extLst>
        </xdr:cNvPr>
        <xdr:cNvCxnSpPr/>
      </xdr:nvCxnSpPr>
      <xdr:spPr>
        <a:xfrm flipV="1">
          <a:off x="7917180" y="328063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15176</xdr:colOff>
      <xdr:row>26</xdr:row>
      <xdr:rowOff>11654</xdr:rowOff>
    </xdr:from>
    <xdr:to>
      <xdr:col>3</xdr:col>
      <xdr:colOff>8772</xdr:colOff>
      <xdr:row>26</xdr:row>
      <xdr:rowOff>11654</xdr:rowOff>
    </xdr:to>
    <xdr:cxnSp macro="">
      <xdr:nvCxnSpPr>
        <xdr:cNvPr id="21" name="Straight Connector 20">
          <a:extLst>
            <a:ext uri="{FF2B5EF4-FFF2-40B4-BE49-F238E27FC236}">
              <a16:creationId xmlns:a16="http://schemas.microsoft.com/office/drawing/2014/main" id="{2A2D15CD-A968-4CA4-A0AD-6AE6B7F4BCFB}"/>
            </a:ext>
          </a:extLst>
        </xdr:cNvPr>
        <xdr:cNvCxnSpPr/>
      </xdr:nvCxnSpPr>
      <xdr:spPr>
        <a:xfrm>
          <a:off x="7939976" y="4400774"/>
          <a:ext cx="121279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5255</xdr:colOff>
      <xdr:row>4</xdr:row>
      <xdr:rowOff>171269</xdr:rowOff>
    </xdr:from>
    <xdr:to>
      <xdr:col>1</xdr:col>
      <xdr:colOff>7257</xdr:colOff>
      <xdr:row>10</xdr:row>
      <xdr:rowOff>170143</xdr:rowOff>
    </xdr:to>
    <xdr:cxnSp macro="">
      <xdr:nvCxnSpPr>
        <xdr:cNvPr id="22" name="Straight Connector 21">
          <a:extLst>
            <a:ext uri="{FF2B5EF4-FFF2-40B4-BE49-F238E27FC236}">
              <a16:creationId xmlns:a16="http://schemas.microsoft.com/office/drawing/2014/main" id="{18839AAC-E093-4B05-AA98-278C45A89657}"/>
            </a:ext>
          </a:extLst>
        </xdr:cNvPr>
        <xdr:cNvCxnSpPr/>
      </xdr:nvCxnSpPr>
      <xdr:spPr>
        <a:xfrm flipH="1">
          <a:off x="7930055" y="53702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5255</xdr:colOff>
      <xdr:row>12</xdr:row>
      <xdr:rowOff>18869</xdr:rowOff>
    </xdr:from>
    <xdr:to>
      <xdr:col>1</xdr:col>
      <xdr:colOff>7257</xdr:colOff>
      <xdr:row>18</xdr:row>
      <xdr:rowOff>17743</xdr:rowOff>
    </xdr:to>
    <xdr:cxnSp macro="">
      <xdr:nvCxnSpPr>
        <xdr:cNvPr id="23" name="Straight Connector 22">
          <a:extLst>
            <a:ext uri="{FF2B5EF4-FFF2-40B4-BE49-F238E27FC236}">
              <a16:creationId xmlns:a16="http://schemas.microsoft.com/office/drawing/2014/main" id="{2F9E47D7-55A8-43DF-B88F-4CEC44103CD8}"/>
            </a:ext>
          </a:extLst>
        </xdr:cNvPr>
        <xdr:cNvCxnSpPr/>
      </xdr:nvCxnSpPr>
      <xdr:spPr>
        <a:xfrm flipH="1">
          <a:off x="7930055" y="184766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554946</xdr:colOff>
      <xdr:row>14</xdr:row>
      <xdr:rowOff>129541</xdr:rowOff>
    </xdr:from>
    <xdr:to>
      <xdr:col>1</xdr:col>
      <xdr:colOff>74886</xdr:colOff>
      <xdr:row>15</xdr:row>
      <xdr:rowOff>76200</xdr:rowOff>
    </xdr:to>
    <xdr:sp macro="" textlink="">
      <xdr:nvSpPr>
        <xdr:cNvPr id="24" name="Flowchart: Connector 23">
          <a:extLst>
            <a:ext uri="{FF2B5EF4-FFF2-40B4-BE49-F238E27FC236}">
              <a16:creationId xmlns:a16="http://schemas.microsoft.com/office/drawing/2014/main" id="{5211DBBE-70E5-4166-8A8A-228002811E37}"/>
            </a:ext>
          </a:extLst>
        </xdr:cNvPr>
        <xdr:cNvSpPr/>
      </xdr:nvSpPr>
      <xdr:spPr>
        <a:xfrm>
          <a:off x="7870146" y="232410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532086</xdr:colOff>
      <xdr:row>8</xdr:row>
      <xdr:rowOff>99061</xdr:rowOff>
    </xdr:from>
    <xdr:to>
      <xdr:col>1</xdr:col>
      <xdr:colOff>52026</xdr:colOff>
      <xdr:row>9</xdr:row>
      <xdr:rowOff>45720</xdr:rowOff>
    </xdr:to>
    <xdr:sp macro="" textlink="">
      <xdr:nvSpPr>
        <xdr:cNvPr id="25" name="Flowchart: Connector 24">
          <a:extLst>
            <a:ext uri="{FF2B5EF4-FFF2-40B4-BE49-F238E27FC236}">
              <a16:creationId xmlns:a16="http://schemas.microsoft.com/office/drawing/2014/main" id="{6A9B5D3C-EAFD-43AF-B1F8-E773F174B674}"/>
            </a:ext>
          </a:extLst>
        </xdr:cNvPr>
        <xdr:cNvSpPr/>
      </xdr:nvSpPr>
      <xdr:spPr>
        <a:xfrm>
          <a:off x="7847286" y="119634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601980</xdr:colOff>
      <xdr:row>11</xdr:row>
      <xdr:rowOff>179294</xdr:rowOff>
    </xdr:from>
    <xdr:to>
      <xdr:col>2</xdr:col>
      <xdr:colOff>608383</xdr:colOff>
      <xdr:row>12</xdr:row>
      <xdr:rowOff>0</xdr:rowOff>
    </xdr:to>
    <xdr:cxnSp macro="">
      <xdr:nvCxnSpPr>
        <xdr:cNvPr id="26" name="Straight Connector 25">
          <a:extLst>
            <a:ext uri="{FF2B5EF4-FFF2-40B4-BE49-F238E27FC236}">
              <a16:creationId xmlns:a16="http://schemas.microsoft.com/office/drawing/2014/main" id="{717EBF21-C042-422A-AC62-1BA118A28131}"/>
            </a:ext>
          </a:extLst>
        </xdr:cNvPr>
        <xdr:cNvCxnSpPr/>
      </xdr:nvCxnSpPr>
      <xdr:spPr>
        <a:xfrm flipV="1">
          <a:off x="7917180" y="18252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17</xdr:row>
      <xdr:rowOff>179294</xdr:rowOff>
    </xdr:from>
    <xdr:to>
      <xdr:col>3</xdr:col>
      <xdr:colOff>6403</xdr:colOff>
      <xdr:row>18</xdr:row>
      <xdr:rowOff>0</xdr:rowOff>
    </xdr:to>
    <xdr:cxnSp macro="">
      <xdr:nvCxnSpPr>
        <xdr:cNvPr id="27" name="Straight Connector 26">
          <a:extLst>
            <a:ext uri="{FF2B5EF4-FFF2-40B4-BE49-F238E27FC236}">
              <a16:creationId xmlns:a16="http://schemas.microsoft.com/office/drawing/2014/main" id="{ED21DE4B-D136-4468-A207-5627699344A3}"/>
            </a:ext>
          </a:extLst>
        </xdr:cNvPr>
        <xdr:cNvCxnSpPr/>
      </xdr:nvCxnSpPr>
      <xdr:spPr>
        <a:xfrm flipV="1">
          <a:off x="7924800" y="292249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10</xdr:row>
      <xdr:rowOff>171674</xdr:rowOff>
    </xdr:from>
    <xdr:to>
      <xdr:col>3</xdr:col>
      <xdr:colOff>6403</xdr:colOff>
      <xdr:row>10</xdr:row>
      <xdr:rowOff>175260</xdr:rowOff>
    </xdr:to>
    <xdr:cxnSp macro="">
      <xdr:nvCxnSpPr>
        <xdr:cNvPr id="28" name="Straight Connector 27">
          <a:extLst>
            <a:ext uri="{FF2B5EF4-FFF2-40B4-BE49-F238E27FC236}">
              <a16:creationId xmlns:a16="http://schemas.microsoft.com/office/drawing/2014/main" id="{9405452F-547F-46EE-A4E3-34718035C155}"/>
            </a:ext>
          </a:extLst>
        </xdr:cNvPr>
        <xdr:cNvCxnSpPr/>
      </xdr:nvCxnSpPr>
      <xdr:spPr>
        <a:xfrm flipV="1">
          <a:off x="7924800" y="16347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xdr:colOff>
      <xdr:row>5</xdr:row>
      <xdr:rowOff>4034</xdr:rowOff>
    </xdr:from>
    <xdr:to>
      <xdr:col>3</xdr:col>
      <xdr:colOff>21643</xdr:colOff>
      <xdr:row>5</xdr:row>
      <xdr:rowOff>7620</xdr:rowOff>
    </xdr:to>
    <xdr:cxnSp macro="">
      <xdr:nvCxnSpPr>
        <xdr:cNvPr id="29" name="Straight Connector 28">
          <a:extLst>
            <a:ext uri="{FF2B5EF4-FFF2-40B4-BE49-F238E27FC236}">
              <a16:creationId xmlns:a16="http://schemas.microsoft.com/office/drawing/2014/main" id="{0CA837A1-01AE-42CF-9EF4-5FA2431BF095}"/>
            </a:ext>
          </a:extLst>
        </xdr:cNvPr>
        <xdr:cNvCxnSpPr/>
      </xdr:nvCxnSpPr>
      <xdr:spPr>
        <a:xfrm flipV="1">
          <a:off x="7940040" y="55267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599615</xdr:colOff>
      <xdr:row>19</xdr:row>
      <xdr:rowOff>171269</xdr:rowOff>
    </xdr:from>
    <xdr:to>
      <xdr:col>0</xdr:col>
      <xdr:colOff>601617</xdr:colOff>
      <xdr:row>25</xdr:row>
      <xdr:rowOff>170143</xdr:rowOff>
    </xdr:to>
    <xdr:cxnSp macro="">
      <xdr:nvCxnSpPr>
        <xdr:cNvPr id="30" name="Straight Connector 29">
          <a:extLst>
            <a:ext uri="{FF2B5EF4-FFF2-40B4-BE49-F238E27FC236}">
              <a16:creationId xmlns:a16="http://schemas.microsoft.com/office/drawing/2014/main" id="{4C192D76-9CA4-44E1-A940-44E3E63EB414}"/>
            </a:ext>
          </a:extLst>
        </xdr:cNvPr>
        <xdr:cNvCxnSpPr/>
      </xdr:nvCxnSpPr>
      <xdr:spPr>
        <a:xfrm flipH="1">
          <a:off x="1209215" y="437750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190499</xdr:rowOff>
    </xdr:from>
    <xdr:to>
      <xdr:col>6</xdr:col>
      <xdr:colOff>598714</xdr:colOff>
      <xdr:row>11</xdr:row>
      <xdr:rowOff>0</xdr:rowOff>
    </xdr:to>
    <xdr:cxnSp macro="">
      <xdr:nvCxnSpPr>
        <xdr:cNvPr id="31" name="Straight Connector 30">
          <a:extLst>
            <a:ext uri="{FF2B5EF4-FFF2-40B4-BE49-F238E27FC236}">
              <a16:creationId xmlns:a16="http://schemas.microsoft.com/office/drawing/2014/main" id="{4F1AD627-A64F-4DE4-87A6-5F8447E33C27}"/>
            </a:ext>
          </a:extLst>
        </xdr:cNvPr>
        <xdr:cNvCxnSpPr>
          <a:cxnSpLocks/>
        </xdr:cNvCxnSpPr>
      </xdr:nvCxnSpPr>
      <xdr:spPr>
        <a:xfrm flipV="1">
          <a:off x="1219200" y="2743199"/>
          <a:ext cx="1208314"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5255</xdr:colOff>
      <xdr:row>4</xdr:row>
      <xdr:rowOff>171269</xdr:rowOff>
    </xdr:from>
    <xdr:to>
      <xdr:col>5</xdr:col>
      <xdr:colOff>7257</xdr:colOff>
      <xdr:row>10</xdr:row>
      <xdr:rowOff>170143</xdr:rowOff>
    </xdr:to>
    <xdr:cxnSp macro="">
      <xdr:nvCxnSpPr>
        <xdr:cNvPr id="32" name="Straight Connector 31">
          <a:extLst>
            <a:ext uri="{FF2B5EF4-FFF2-40B4-BE49-F238E27FC236}">
              <a16:creationId xmlns:a16="http://schemas.microsoft.com/office/drawing/2014/main" id="{A761EDB9-F7C3-4A6D-8EEA-75752DC1F2D8}"/>
            </a:ext>
          </a:extLst>
        </xdr:cNvPr>
        <xdr:cNvCxnSpPr/>
      </xdr:nvCxnSpPr>
      <xdr:spPr>
        <a:xfrm flipH="1">
          <a:off x="1224455" y="163430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532086</xdr:colOff>
      <xdr:row>7</xdr:row>
      <xdr:rowOff>129541</xdr:rowOff>
    </xdr:from>
    <xdr:to>
      <xdr:col>5</xdr:col>
      <xdr:colOff>52026</xdr:colOff>
      <xdr:row>8</xdr:row>
      <xdr:rowOff>76200</xdr:rowOff>
    </xdr:to>
    <xdr:sp macro="" textlink="">
      <xdr:nvSpPr>
        <xdr:cNvPr id="33" name="Flowchart: Connector 32">
          <a:extLst>
            <a:ext uri="{FF2B5EF4-FFF2-40B4-BE49-F238E27FC236}">
              <a16:creationId xmlns:a16="http://schemas.microsoft.com/office/drawing/2014/main" id="{D9029C02-B916-4A35-A921-74C32F1B5337}"/>
            </a:ext>
          </a:extLst>
        </xdr:cNvPr>
        <xdr:cNvSpPr/>
      </xdr:nvSpPr>
      <xdr:spPr>
        <a:xfrm>
          <a:off x="4189686" y="214122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10</xdr:row>
      <xdr:rowOff>171674</xdr:rowOff>
    </xdr:from>
    <xdr:to>
      <xdr:col>7</xdr:col>
      <xdr:colOff>6403</xdr:colOff>
      <xdr:row>10</xdr:row>
      <xdr:rowOff>175260</xdr:rowOff>
    </xdr:to>
    <xdr:cxnSp macro="">
      <xdr:nvCxnSpPr>
        <xdr:cNvPr id="35" name="Straight Connector 34">
          <a:extLst>
            <a:ext uri="{FF2B5EF4-FFF2-40B4-BE49-F238E27FC236}">
              <a16:creationId xmlns:a16="http://schemas.microsoft.com/office/drawing/2014/main" id="{262F1E67-94E9-49D8-A4C7-335B1FD91E24}"/>
            </a:ext>
          </a:extLst>
        </xdr:cNvPr>
        <xdr:cNvCxnSpPr/>
      </xdr:nvCxnSpPr>
      <xdr:spPr>
        <a:xfrm flipV="1">
          <a:off x="1219200" y="273199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xdr:colOff>
      <xdr:row>5</xdr:row>
      <xdr:rowOff>4034</xdr:rowOff>
    </xdr:from>
    <xdr:to>
      <xdr:col>7</xdr:col>
      <xdr:colOff>21643</xdr:colOff>
      <xdr:row>5</xdr:row>
      <xdr:rowOff>7620</xdr:rowOff>
    </xdr:to>
    <xdr:cxnSp macro="">
      <xdr:nvCxnSpPr>
        <xdr:cNvPr id="53" name="Straight Connector 52">
          <a:extLst>
            <a:ext uri="{FF2B5EF4-FFF2-40B4-BE49-F238E27FC236}">
              <a16:creationId xmlns:a16="http://schemas.microsoft.com/office/drawing/2014/main" id="{3DB20406-3F9C-48CA-A148-53D30E60DEEE}"/>
            </a:ext>
          </a:extLst>
        </xdr:cNvPr>
        <xdr:cNvCxnSpPr/>
      </xdr:nvCxnSpPr>
      <xdr:spPr>
        <a:xfrm flipV="1">
          <a:off x="1234440" y="164995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7621</xdr:colOff>
      <xdr:row>10</xdr:row>
      <xdr:rowOff>114300</xdr:rowOff>
    </xdr:from>
    <xdr:to>
      <xdr:col>7</xdr:col>
      <xdr:colOff>89683</xdr:colOff>
      <xdr:row>11</xdr:row>
      <xdr:rowOff>55685</xdr:rowOff>
    </xdr:to>
    <xdr:sp macro="" textlink="">
      <xdr:nvSpPr>
        <xdr:cNvPr id="58" name="Isosceles Triangle 57">
          <a:extLst>
            <a:ext uri="{FF2B5EF4-FFF2-40B4-BE49-F238E27FC236}">
              <a16:creationId xmlns:a16="http://schemas.microsoft.com/office/drawing/2014/main" id="{19217608-D74A-45F2-8309-040C21F034F9}"/>
            </a:ext>
          </a:extLst>
        </xdr:cNvPr>
        <xdr:cNvSpPr/>
      </xdr:nvSpPr>
      <xdr:spPr>
        <a:xfrm rot="16200000">
          <a:off x="5472919" y="269572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548640</xdr:colOff>
      <xdr:row>10</xdr:row>
      <xdr:rowOff>121920</xdr:rowOff>
    </xdr:from>
    <xdr:to>
      <xdr:col>5</xdr:col>
      <xdr:colOff>68580</xdr:colOff>
      <xdr:row>11</xdr:row>
      <xdr:rowOff>68580</xdr:rowOff>
    </xdr:to>
    <xdr:sp macro="" textlink="">
      <xdr:nvSpPr>
        <xdr:cNvPr id="2" name="Flowchart: Connector 1">
          <a:extLst>
            <a:ext uri="{FF2B5EF4-FFF2-40B4-BE49-F238E27FC236}">
              <a16:creationId xmlns:a16="http://schemas.microsoft.com/office/drawing/2014/main" id="{1A8D3040-9EA9-43E9-91D5-58D34942F9CD}"/>
            </a:ext>
          </a:extLst>
        </xdr:cNvPr>
        <xdr:cNvSpPr/>
      </xdr:nvSpPr>
      <xdr:spPr>
        <a:xfrm>
          <a:off x="6035040" y="1767840"/>
          <a:ext cx="129540" cy="12954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5</xdr:col>
      <xdr:colOff>5255</xdr:colOff>
      <xdr:row>8</xdr:row>
      <xdr:rowOff>3629</xdr:rowOff>
    </xdr:from>
    <xdr:to>
      <xdr:col>5</xdr:col>
      <xdr:colOff>7257</xdr:colOff>
      <xdr:row>14</xdr:row>
      <xdr:rowOff>2503</xdr:rowOff>
    </xdr:to>
    <xdr:cxnSp macro="">
      <xdr:nvCxnSpPr>
        <xdr:cNvPr id="4" name="Straight Connector 3">
          <a:extLst>
            <a:ext uri="{FF2B5EF4-FFF2-40B4-BE49-F238E27FC236}">
              <a16:creationId xmlns:a16="http://schemas.microsoft.com/office/drawing/2014/main" id="{EE3C4F4B-1266-48D5-A2E8-859EAE47D96C}"/>
            </a:ext>
          </a:extLst>
        </xdr:cNvPr>
        <xdr:cNvCxnSpPr/>
      </xdr:nvCxnSpPr>
      <xdr:spPr>
        <a:xfrm flipH="1">
          <a:off x="6101255" y="1283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11814</xdr:colOff>
      <xdr:row>8</xdr:row>
      <xdr:rowOff>0</xdr:rowOff>
    </xdr:from>
    <xdr:to>
      <xdr:col>7</xdr:col>
      <xdr:colOff>601980</xdr:colOff>
      <xdr:row>8</xdr:row>
      <xdr:rowOff>5907</xdr:rowOff>
    </xdr:to>
    <xdr:cxnSp macro="">
      <xdr:nvCxnSpPr>
        <xdr:cNvPr id="6" name="Straight Connector 5">
          <a:extLst>
            <a:ext uri="{FF2B5EF4-FFF2-40B4-BE49-F238E27FC236}">
              <a16:creationId xmlns:a16="http://schemas.microsoft.com/office/drawing/2014/main" id="{3F20CA6B-D006-4716-9953-02EA67D62C6A}"/>
            </a:ext>
          </a:extLst>
        </xdr:cNvPr>
        <xdr:cNvCxnSpPr/>
      </xdr:nvCxnSpPr>
      <xdr:spPr>
        <a:xfrm flipV="1">
          <a:off x="4279014" y="1828800"/>
          <a:ext cx="1809366" cy="5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5255</xdr:colOff>
      <xdr:row>13</xdr:row>
      <xdr:rowOff>178676</xdr:rowOff>
    </xdr:from>
    <xdr:to>
      <xdr:col>7</xdr:col>
      <xdr:colOff>5255</xdr:colOff>
      <xdr:row>13</xdr:row>
      <xdr:rowOff>178676</xdr:rowOff>
    </xdr:to>
    <xdr:cxnSp macro="">
      <xdr:nvCxnSpPr>
        <xdr:cNvPr id="7" name="Straight Connector 6">
          <a:extLst>
            <a:ext uri="{FF2B5EF4-FFF2-40B4-BE49-F238E27FC236}">
              <a16:creationId xmlns:a16="http://schemas.microsoft.com/office/drawing/2014/main" id="{A8DD82AC-CF02-44DE-8B77-EF206775FEFD}"/>
            </a:ext>
          </a:extLst>
        </xdr:cNvPr>
        <xdr:cNvCxnSpPr/>
      </xdr:nvCxnSpPr>
      <xdr:spPr>
        <a:xfrm>
          <a:off x="6101255" y="2373236"/>
          <a:ext cx="12192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11</xdr:row>
      <xdr:rowOff>4210</xdr:rowOff>
    </xdr:from>
    <xdr:to>
      <xdr:col>6</xdr:col>
      <xdr:colOff>602022</xdr:colOff>
      <xdr:row>11</xdr:row>
      <xdr:rowOff>4736</xdr:rowOff>
    </xdr:to>
    <xdr:cxnSp macro="">
      <xdr:nvCxnSpPr>
        <xdr:cNvPr id="8" name="Straight Connector 7">
          <a:extLst>
            <a:ext uri="{FF2B5EF4-FFF2-40B4-BE49-F238E27FC236}">
              <a16:creationId xmlns:a16="http://schemas.microsoft.com/office/drawing/2014/main" id="{60C93CE6-8085-4E04-A3E6-7748C06F65E3}"/>
            </a:ext>
          </a:extLst>
        </xdr:cNvPr>
        <xdr:cNvCxnSpPr>
          <a:stCxn id="2" idx="6"/>
        </xdr:cNvCxnSpPr>
      </xdr:nvCxnSpPr>
      <xdr:spPr>
        <a:xfrm flipV="1">
          <a:off x="6164580" y="183301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17983</xdr:colOff>
      <xdr:row>13</xdr:row>
      <xdr:rowOff>122703</xdr:rowOff>
    </xdr:from>
    <xdr:to>
      <xdr:col>7</xdr:col>
      <xdr:colOff>100045</xdr:colOff>
      <xdr:row>14</xdr:row>
      <xdr:rowOff>64088</xdr:rowOff>
    </xdr:to>
    <xdr:sp macro="" textlink="">
      <xdr:nvSpPr>
        <xdr:cNvPr id="13" name="Isosceles Triangle 12">
          <a:extLst>
            <a:ext uri="{FF2B5EF4-FFF2-40B4-BE49-F238E27FC236}">
              <a16:creationId xmlns:a16="http://schemas.microsoft.com/office/drawing/2014/main" id="{2B0C53B8-0678-4C67-830E-3B933390ABD7}"/>
            </a:ext>
          </a:extLst>
        </xdr:cNvPr>
        <xdr:cNvSpPr/>
      </xdr:nvSpPr>
      <xdr:spPr>
        <a:xfrm rot="16200000">
          <a:off x="5483281" y="2887005"/>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25603</xdr:colOff>
      <xdr:row>10</xdr:row>
      <xdr:rowOff>115083</xdr:rowOff>
    </xdr:from>
    <xdr:to>
      <xdr:col>7</xdr:col>
      <xdr:colOff>107665</xdr:colOff>
      <xdr:row>11</xdr:row>
      <xdr:rowOff>56468</xdr:rowOff>
    </xdr:to>
    <xdr:sp macro="" textlink="">
      <xdr:nvSpPr>
        <xdr:cNvPr id="15" name="Isosceles Triangle 14">
          <a:extLst>
            <a:ext uri="{FF2B5EF4-FFF2-40B4-BE49-F238E27FC236}">
              <a16:creationId xmlns:a16="http://schemas.microsoft.com/office/drawing/2014/main" id="{391CA79A-2389-4AC7-825D-CB9C35805A5D}"/>
            </a:ext>
          </a:extLst>
        </xdr:cNvPr>
        <xdr:cNvSpPr/>
      </xdr:nvSpPr>
      <xdr:spPr>
        <a:xfrm rot="16200000">
          <a:off x="5490901" y="2330745"/>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548640</xdr:colOff>
      <xdr:row>7</xdr:row>
      <xdr:rowOff>121920</xdr:rowOff>
    </xdr:from>
    <xdr:to>
      <xdr:col>8</xdr:col>
      <xdr:colOff>68580</xdr:colOff>
      <xdr:row>8</xdr:row>
      <xdr:rowOff>68580</xdr:rowOff>
    </xdr:to>
    <xdr:sp macro="" textlink="">
      <xdr:nvSpPr>
        <xdr:cNvPr id="17" name="Flowchart: Connector 16">
          <a:extLst>
            <a:ext uri="{FF2B5EF4-FFF2-40B4-BE49-F238E27FC236}">
              <a16:creationId xmlns:a16="http://schemas.microsoft.com/office/drawing/2014/main" id="{2165B893-58CE-4B0D-BC2B-B2CE842ECA11}"/>
            </a:ext>
          </a:extLst>
        </xdr:cNvPr>
        <xdr:cNvSpPr/>
      </xdr:nvSpPr>
      <xdr:spPr>
        <a:xfrm>
          <a:off x="6035040" y="1767840"/>
          <a:ext cx="129540" cy="12954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8</xdr:col>
      <xdr:colOff>5255</xdr:colOff>
      <xdr:row>5</xdr:row>
      <xdr:rowOff>3629</xdr:rowOff>
    </xdr:from>
    <xdr:to>
      <xdr:col>8</xdr:col>
      <xdr:colOff>7257</xdr:colOff>
      <xdr:row>11</xdr:row>
      <xdr:rowOff>2503</xdr:rowOff>
    </xdr:to>
    <xdr:cxnSp macro="">
      <xdr:nvCxnSpPr>
        <xdr:cNvPr id="18" name="Straight Connector 17">
          <a:extLst>
            <a:ext uri="{FF2B5EF4-FFF2-40B4-BE49-F238E27FC236}">
              <a16:creationId xmlns:a16="http://schemas.microsoft.com/office/drawing/2014/main" id="{6E2998C8-F3B5-40A1-97E9-4F0D71AA5B16}"/>
            </a:ext>
          </a:extLst>
        </xdr:cNvPr>
        <xdr:cNvCxnSpPr/>
      </xdr:nvCxnSpPr>
      <xdr:spPr>
        <a:xfrm flipH="1">
          <a:off x="6101255" y="1283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68580</xdr:colOff>
      <xdr:row>8</xdr:row>
      <xdr:rowOff>4210</xdr:rowOff>
    </xdr:from>
    <xdr:to>
      <xdr:col>9</xdr:col>
      <xdr:colOff>602022</xdr:colOff>
      <xdr:row>8</xdr:row>
      <xdr:rowOff>4736</xdr:rowOff>
    </xdr:to>
    <xdr:cxnSp macro="">
      <xdr:nvCxnSpPr>
        <xdr:cNvPr id="19" name="Straight Connector 18">
          <a:extLst>
            <a:ext uri="{FF2B5EF4-FFF2-40B4-BE49-F238E27FC236}">
              <a16:creationId xmlns:a16="http://schemas.microsoft.com/office/drawing/2014/main" id="{EA946BEF-2AB3-4703-A3E0-A8D96A2C7176}"/>
            </a:ext>
          </a:extLst>
        </xdr:cNvPr>
        <xdr:cNvCxnSpPr/>
      </xdr:nvCxnSpPr>
      <xdr:spPr>
        <a:xfrm flipV="1">
          <a:off x="6164580" y="183301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179470</xdr:rowOff>
    </xdr:from>
    <xdr:to>
      <xdr:col>9</xdr:col>
      <xdr:colOff>533442</xdr:colOff>
      <xdr:row>10</xdr:row>
      <xdr:rowOff>179996</xdr:rowOff>
    </xdr:to>
    <xdr:cxnSp macro="">
      <xdr:nvCxnSpPr>
        <xdr:cNvPr id="20" name="Straight Connector 19">
          <a:extLst>
            <a:ext uri="{FF2B5EF4-FFF2-40B4-BE49-F238E27FC236}">
              <a16:creationId xmlns:a16="http://schemas.microsoft.com/office/drawing/2014/main" id="{1CA4D5A0-DEDA-4F48-AC32-C716E2E95434}"/>
            </a:ext>
          </a:extLst>
        </xdr:cNvPr>
        <xdr:cNvCxnSpPr/>
      </xdr:nvCxnSpPr>
      <xdr:spPr>
        <a:xfrm flipV="1">
          <a:off x="6096000" y="237403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4</xdr:row>
      <xdr:rowOff>179470</xdr:rowOff>
    </xdr:from>
    <xdr:to>
      <xdr:col>9</xdr:col>
      <xdr:colOff>541062</xdr:colOff>
      <xdr:row>4</xdr:row>
      <xdr:rowOff>179996</xdr:rowOff>
    </xdr:to>
    <xdr:cxnSp macro="">
      <xdr:nvCxnSpPr>
        <xdr:cNvPr id="21" name="Straight Connector 20">
          <a:extLst>
            <a:ext uri="{FF2B5EF4-FFF2-40B4-BE49-F238E27FC236}">
              <a16:creationId xmlns:a16="http://schemas.microsoft.com/office/drawing/2014/main" id="{06733432-CBB8-4E96-82DF-8CE05BA5234A}"/>
            </a:ext>
          </a:extLst>
        </xdr:cNvPr>
        <xdr:cNvCxnSpPr/>
      </xdr:nvCxnSpPr>
      <xdr:spPr>
        <a:xfrm flipV="1">
          <a:off x="6103620" y="127675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16</xdr:row>
      <xdr:rowOff>190499</xdr:rowOff>
    </xdr:from>
    <xdr:to>
      <xdr:col>2</xdr:col>
      <xdr:colOff>598714</xdr:colOff>
      <xdr:row>17</xdr:row>
      <xdr:rowOff>0</xdr:rowOff>
    </xdr:to>
    <xdr:cxnSp macro="">
      <xdr:nvCxnSpPr>
        <xdr:cNvPr id="45" name="Straight Connector 44">
          <a:extLst>
            <a:ext uri="{FF2B5EF4-FFF2-40B4-BE49-F238E27FC236}">
              <a16:creationId xmlns:a16="http://schemas.microsoft.com/office/drawing/2014/main" id="{A4535089-D3BA-46A6-8341-8F18360D0EBE}"/>
            </a:ext>
          </a:extLst>
        </xdr:cNvPr>
        <xdr:cNvCxnSpPr>
          <a:cxnSpLocks/>
        </xdr:cNvCxnSpPr>
      </xdr:nvCxnSpPr>
      <xdr:spPr>
        <a:xfrm flipV="1">
          <a:off x="4267200" y="2743199"/>
          <a:ext cx="1208314"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5255</xdr:colOff>
      <xdr:row>10</xdr:row>
      <xdr:rowOff>171269</xdr:rowOff>
    </xdr:from>
    <xdr:to>
      <xdr:col>1</xdr:col>
      <xdr:colOff>7257</xdr:colOff>
      <xdr:row>16</xdr:row>
      <xdr:rowOff>170143</xdr:rowOff>
    </xdr:to>
    <xdr:cxnSp macro="">
      <xdr:nvCxnSpPr>
        <xdr:cNvPr id="46" name="Straight Connector 45">
          <a:extLst>
            <a:ext uri="{FF2B5EF4-FFF2-40B4-BE49-F238E27FC236}">
              <a16:creationId xmlns:a16="http://schemas.microsoft.com/office/drawing/2014/main" id="{8822C240-2916-47F5-B462-96F03DEE748D}"/>
            </a:ext>
          </a:extLst>
        </xdr:cNvPr>
        <xdr:cNvCxnSpPr/>
      </xdr:nvCxnSpPr>
      <xdr:spPr>
        <a:xfrm flipH="1">
          <a:off x="4272455" y="163430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532086</xdr:colOff>
      <xdr:row>13</xdr:row>
      <xdr:rowOff>129541</xdr:rowOff>
    </xdr:from>
    <xdr:to>
      <xdr:col>1</xdr:col>
      <xdr:colOff>52026</xdr:colOff>
      <xdr:row>14</xdr:row>
      <xdr:rowOff>76200</xdr:rowOff>
    </xdr:to>
    <xdr:sp macro="" textlink="">
      <xdr:nvSpPr>
        <xdr:cNvPr id="47" name="Flowchart: Connector 46">
          <a:extLst>
            <a:ext uri="{FF2B5EF4-FFF2-40B4-BE49-F238E27FC236}">
              <a16:creationId xmlns:a16="http://schemas.microsoft.com/office/drawing/2014/main" id="{88E7EDA0-DFBC-4BBE-9019-C9AF103E3654}"/>
            </a:ext>
          </a:extLst>
        </xdr:cNvPr>
        <xdr:cNvSpPr/>
      </xdr:nvSpPr>
      <xdr:spPr>
        <a:xfrm>
          <a:off x="4189686" y="214122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0</xdr:colOff>
      <xdr:row>16</xdr:row>
      <xdr:rowOff>171674</xdr:rowOff>
    </xdr:from>
    <xdr:to>
      <xdr:col>3</xdr:col>
      <xdr:colOff>6403</xdr:colOff>
      <xdr:row>16</xdr:row>
      <xdr:rowOff>175260</xdr:rowOff>
    </xdr:to>
    <xdr:cxnSp macro="">
      <xdr:nvCxnSpPr>
        <xdr:cNvPr id="48" name="Straight Connector 47">
          <a:extLst>
            <a:ext uri="{FF2B5EF4-FFF2-40B4-BE49-F238E27FC236}">
              <a16:creationId xmlns:a16="http://schemas.microsoft.com/office/drawing/2014/main" id="{F46311F0-AE75-4D6C-A0C5-7F12CF0E003D}"/>
            </a:ext>
          </a:extLst>
        </xdr:cNvPr>
        <xdr:cNvCxnSpPr/>
      </xdr:nvCxnSpPr>
      <xdr:spPr>
        <a:xfrm flipV="1">
          <a:off x="4267200" y="273199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xdr:colOff>
      <xdr:row>11</xdr:row>
      <xdr:rowOff>4034</xdr:rowOff>
    </xdr:from>
    <xdr:to>
      <xdr:col>3</xdr:col>
      <xdr:colOff>21643</xdr:colOff>
      <xdr:row>11</xdr:row>
      <xdr:rowOff>7620</xdr:rowOff>
    </xdr:to>
    <xdr:cxnSp macro="">
      <xdr:nvCxnSpPr>
        <xdr:cNvPr id="49" name="Straight Connector 48">
          <a:extLst>
            <a:ext uri="{FF2B5EF4-FFF2-40B4-BE49-F238E27FC236}">
              <a16:creationId xmlns:a16="http://schemas.microsoft.com/office/drawing/2014/main" id="{12DCAE20-AE22-45F1-8A17-F1C468C36E0B}"/>
            </a:ext>
          </a:extLst>
        </xdr:cNvPr>
        <xdr:cNvCxnSpPr/>
      </xdr:nvCxnSpPr>
      <xdr:spPr>
        <a:xfrm flipV="1">
          <a:off x="4282440" y="164995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7621</xdr:colOff>
      <xdr:row>16</xdr:row>
      <xdr:rowOff>114300</xdr:rowOff>
    </xdr:from>
    <xdr:to>
      <xdr:col>3</xdr:col>
      <xdr:colOff>89683</xdr:colOff>
      <xdr:row>17</xdr:row>
      <xdr:rowOff>55685</xdr:rowOff>
    </xdr:to>
    <xdr:sp macro="" textlink="">
      <xdr:nvSpPr>
        <xdr:cNvPr id="50" name="Isosceles Triangle 49">
          <a:extLst>
            <a:ext uri="{FF2B5EF4-FFF2-40B4-BE49-F238E27FC236}">
              <a16:creationId xmlns:a16="http://schemas.microsoft.com/office/drawing/2014/main" id="{30314809-D8C6-4376-A1DC-E636981BF712}"/>
            </a:ext>
          </a:extLst>
        </xdr:cNvPr>
        <xdr:cNvSpPr/>
      </xdr:nvSpPr>
      <xdr:spPr>
        <a:xfrm rot="16200000">
          <a:off x="5472919" y="269572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548640</xdr:colOff>
      <xdr:row>11</xdr:row>
      <xdr:rowOff>121920</xdr:rowOff>
    </xdr:from>
    <xdr:to>
      <xdr:col>1</xdr:col>
      <xdr:colOff>68580</xdr:colOff>
      <xdr:row>12</xdr:row>
      <xdr:rowOff>68580</xdr:rowOff>
    </xdr:to>
    <xdr:sp macro="" textlink="">
      <xdr:nvSpPr>
        <xdr:cNvPr id="2" name="Flowchart: Connector 1">
          <a:extLst>
            <a:ext uri="{FF2B5EF4-FFF2-40B4-BE49-F238E27FC236}">
              <a16:creationId xmlns:a16="http://schemas.microsoft.com/office/drawing/2014/main" id="{3E90E21E-6F31-4B5A-BF9B-6E4A19C922A9}"/>
            </a:ext>
          </a:extLst>
        </xdr:cNvPr>
        <xdr:cNvSpPr/>
      </xdr:nvSpPr>
      <xdr:spPr>
        <a:xfrm>
          <a:off x="6035040" y="1767840"/>
          <a:ext cx="129540" cy="12954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5255</xdr:colOff>
      <xdr:row>9</xdr:row>
      <xdr:rowOff>3629</xdr:rowOff>
    </xdr:from>
    <xdr:to>
      <xdr:col>1</xdr:col>
      <xdr:colOff>7257</xdr:colOff>
      <xdr:row>15</xdr:row>
      <xdr:rowOff>2503</xdr:rowOff>
    </xdr:to>
    <xdr:cxnSp macro="">
      <xdr:nvCxnSpPr>
        <xdr:cNvPr id="3" name="Straight Connector 2">
          <a:extLst>
            <a:ext uri="{FF2B5EF4-FFF2-40B4-BE49-F238E27FC236}">
              <a16:creationId xmlns:a16="http://schemas.microsoft.com/office/drawing/2014/main" id="{C7B69F1A-656C-494A-B065-3503DB3ED74B}"/>
            </a:ext>
          </a:extLst>
        </xdr:cNvPr>
        <xdr:cNvCxnSpPr/>
      </xdr:nvCxnSpPr>
      <xdr:spPr>
        <a:xfrm flipH="1">
          <a:off x="6101255" y="1283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68580</xdr:colOff>
      <xdr:row>12</xdr:row>
      <xdr:rowOff>4210</xdr:rowOff>
    </xdr:from>
    <xdr:to>
      <xdr:col>2</xdr:col>
      <xdr:colOff>602022</xdr:colOff>
      <xdr:row>12</xdr:row>
      <xdr:rowOff>4736</xdr:rowOff>
    </xdr:to>
    <xdr:cxnSp macro="">
      <xdr:nvCxnSpPr>
        <xdr:cNvPr id="4" name="Straight Connector 3">
          <a:extLst>
            <a:ext uri="{FF2B5EF4-FFF2-40B4-BE49-F238E27FC236}">
              <a16:creationId xmlns:a16="http://schemas.microsoft.com/office/drawing/2014/main" id="{91EAA1E8-9354-465E-A80B-6155C9472E41}"/>
            </a:ext>
          </a:extLst>
        </xdr:cNvPr>
        <xdr:cNvCxnSpPr/>
      </xdr:nvCxnSpPr>
      <xdr:spPr>
        <a:xfrm flipV="1">
          <a:off x="6164580" y="183301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14</xdr:row>
      <xdr:rowOff>179470</xdr:rowOff>
    </xdr:from>
    <xdr:to>
      <xdr:col>2</xdr:col>
      <xdr:colOff>533442</xdr:colOff>
      <xdr:row>14</xdr:row>
      <xdr:rowOff>179996</xdr:rowOff>
    </xdr:to>
    <xdr:cxnSp macro="">
      <xdr:nvCxnSpPr>
        <xdr:cNvPr id="5" name="Straight Connector 4">
          <a:extLst>
            <a:ext uri="{FF2B5EF4-FFF2-40B4-BE49-F238E27FC236}">
              <a16:creationId xmlns:a16="http://schemas.microsoft.com/office/drawing/2014/main" id="{88C99E9D-F334-4075-90DA-64CA361F1557}"/>
            </a:ext>
          </a:extLst>
        </xdr:cNvPr>
        <xdr:cNvCxnSpPr/>
      </xdr:nvCxnSpPr>
      <xdr:spPr>
        <a:xfrm flipV="1">
          <a:off x="6096000" y="237403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8</xdr:row>
      <xdr:rowOff>179470</xdr:rowOff>
    </xdr:from>
    <xdr:to>
      <xdr:col>2</xdr:col>
      <xdr:colOff>541062</xdr:colOff>
      <xdr:row>8</xdr:row>
      <xdr:rowOff>179996</xdr:rowOff>
    </xdr:to>
    <xdr:cxnSp macro="">
      <xdr:nvCxnSpPr>
        <xdr:cNvPr id="6" name="Straight Connector 5">
          <a:extLst>
            <a:ext uri="{FF2B5EF4-FFF2-40B4-BE49-F238E27FC236}">
              <a16:creationId xmlns:a16="http://schemas.microsoft.com/office/drawing/2014/main" id="{9354E3E1-5C0F-48A3-AA0C-6F4E85DA8A10}"/>
            </a:ext>
          </a:extLst>
        </xdr:cNvPr>
        <xdr:cNvCxnSpPr/>
      </xdr:nvCxnSpPr>
      <xdr:spPr>
        <a:xfrm flipV="1">
          <a:off x="6103620" y="1276750"/>
          <a:ext cx="1143042" cy="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601980</xdr:colOff>
      <xdr:row>7</xdr:row>
      <xdr:rowOff>152400</xdr:rowOff>
    </xdr:from>
    <xdr:to>
      <xdr:col>5</xdr:col>
      <xdr:colOff>7622</xdr:colOff>
      <xdr:row>26</xdr:row>
      <xdr:rowOff>30480</xdr:rowOff>
    </xdr:to>
    <xdr:cxnSp macro="">
      <xdr:nvCxnSpPr>
        <xdr:cNvPr id="12" name="Straight Connector 11">
          <a:extLst>
            <a:ext uri="{FF2B5EF4-FFF2-40B4-BE49-F238E27FC236}">
              <a16:creationId xmlns:a16="http://schemas.microsoft.com/office/drawing/2014/main" id="{EC45CDA1-0008-44D2-9685-BDDEFA9813FD}"/>
            </a:ext>
          </a:extLst>
        </xdr:cNvPr>
        <xdr:cNvCxnSpPr/>
      </xdr:nvCxnSpPr>
      <xdr:spPr>
        <a:xfrm flipH="1">
          <a:off x="4259580" y="1432560"/>
          <a:ext cx="15242" cy="3352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554946</xdr:colOff>
      <xdr:row>15</xdr:row>
      <xdr:rowOff>30481</xdr:rowOff>
    </xdr:from>
    <xdr:to>
      <xdr:col>5</xdr:col>
      <xdr:colOff>74886</xdr:colOff>
      <xdr:row>15</xdr:row>
      <xdr:rowOff>160020</xdr:rowOff>
    </xdr:to>
    <xdr:sp macro="" textlink="">
      <xdr:nvSpPr>
        <xdr:cNvPr id="13" name="Flowchart: Connector 12">
          <a:extLst>
            <a:ext uri="{FF2B5EF4-FFF2-40B4-BE49-F238E27FC236}">
              <a16:creationId xmlns:a16="http://schemas.microsoft.com/office/drawing/2014/main" id="{AAF1DE38-EAFF-4C2F-A597-D2B5E483AAEE}"/>
            </a:ext>
          </a:extLst>
        </xdr:cNvPr>
        <xdr:cNvSpPr/>
      </xdr:nvSpPr>
      <xdr:spPr>
        <a:xfrm>
          <a:off x="2993346" y="277368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13</xdr:row>
      <xdr:rowOff>171674</xdr:rowOff>
    </xdr:from>
    <xdr:to>
      <xdr:col>7</xdr:col>
      <xdr:colOff>6403</xdr:colOff>
      <xdr:row>13</xdr:row>
      <xdr:rowOff>175260</xdr:rowOff>
    </xdr:to>
    <xdr:cxnSp macro="">
      <xdr:nvCxnSpPr>
        <xdr:cNvPr id="15" name="Straight Connector 14">
          <a:extLst>
            <a:ext uri="{FF2B5EF4-FFF2-40B4-BE49-F238E27FC236}">
              <a16:creationId xmlns:a16="http://schemas.microsoft.com/office/drawing/2014/main" id="{3AE1D42E-60CD-4EAD-89A0-1DD81569E773}"/>
            </a:ext>
          </a:extLst>
        </xdr:cNvPr>
        <xdr:cNvCxnSpPr/>
      </xdr:nvCxnSpPr>
      <xdr:spPr>
        <a:xfrm flipV="1">
          <a:off x="7924800" y="16347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xdr:colOff>
      <xdr:row>8</xdr:row>
      <xdr:rowOff>4034</xdr:rowOff>
    </xdr:from>
    <xdr:to>
      <xdr:col>7</xdr:col>
      <xdr:colOff>21643</xdr:colOff>
      <xdr:row>8</xdr:row>
      <xdr:rowOff>7620</xdr:rowOff>
    </xdr:to>
    <xdr:cxnSp macro="">
      <xdr:nvCxnSpPr>
        <xdr:cNvPr id="16" name="Straight Connector 15">
          <a:extLst>
            <a:ext uri="{FF2B5EF4-FFF2-40B4-BE49-F238E27FC236}">
              <a16:creationId xmlns:a16="http://schemas.microsoft.com/office/drawing/2014/main" id="{A7E7FB82-8493-468E-B859-7B22650FE125}"/>
            </a:ext>
          </a:extLst>
        </xdr:cNvPr>
        <xdr:cNvCxnSpPr/>
      </xdr:nvCxnSpPr>
      <xdr:spPr>
        <a:xfrm flipV="1">
          <a:off x="7940040" y="55267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5255</xdr:colOff>
      <xdr:row>4</xdr:row>
      <xdr:rowOff>171269</xdr:rowOff>
    </xdr:from>
    <xdr:to>
      <xdr:col>7</xdr:col>
      <xdr:colOff>7257</xdr:colOff>
      <xdr:row>10</xdr:row>
      <xdr:rowOff>170143</xdr:rowOff>
    </xdr:to>
    <xdr:cxnSp macro="">
      <xdr:nvCxnSpPr>
        <xdr:cNvPr id="21" name="Straight Connector 20">
          <a:extLst>
            <a:ext uri="{FF2B5EF4-FFF2-40B4-BE49-F238E27FC236}">
              <a16:creationId xmlns:a16="http://schemas.microsoft.com/office/drawing/2014/main" id="{756ADB47-22BF-48AE-9346-9B36DDA48CAC}"/>
            </a:ext>
          </a:extLst>
        </xdr:cNvPr>
        <xdr:cNvCxnSpPr/>
      </xdr:nvCxnSpPr>
      <xdr:spPr>
        <a:xfrm flipH="1">
          <a:off x="4272455" y="145142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554946</xdr:colOff>
      <xdr:row>7</xdr:row>
      <xdr:rowOff>121921</xdr:rowOff>
    </xdr:from>
    <xdr:to>
      <xdr:col>7</xdr:col>
      <xdr:colOff>74886</xdr:colOff>
      <xdr:row>8</xdr:row>
      <xdr:rowOff>68580</xdr:rowOff>
    </xdr:to>
    <xdr:sp macro="" textlink="">
      <xdr:nvSpPr>
        <xdr:cNvPr id="22" name="Flowchart: Connector 21">
          <a:extLst>
            <a:ext uri="{FF2B5EF4-FFF2-40B4-BE49-F238E27FC236}">
              <a16:creationId xmlns:a16="http://schemas.microsoft.com/office/drawing/2014/main" id="{940CFCAA-D0D0-45C5-AEB1-E4EFFA2B8AEA}"/>
            </a:ext>
          </a:extLst>
        </xdr:cNvPr>
        <xdr:cNvSpPr/>
      </xdr:nvSpPr>
      <xdr:spPr>
        <a:xfrm>
          <a:off x="4212546" y="195072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0</xdr:colOff>
      <xdr:row>10</xdr:row>
      <xdr:rowOff>171674</xdr:rowOff>
    </xdr:from>
    <xdr:to>
      <xdr:col>9</xdr:col>
      <xdr:colOff>6403</xdr:colOff>
      <xdr:row>10</xdr:row>
      <xdr:rowOff>175260</xdr:rowOff>
    </xdr:to>
    <xdr:cxnSp macro="">
      <xdr:nvCxnSpPr>
        <xdr:cNvPr id="23" name="Straight Connector 22">
          <a:extLst>
            <a:ext uri="{FF2B5EF4-FFF2-40B4-BE49-F238E27FC236}">
              <a16:creationId xmlns:a16="http://schemas.microsoft.com/office/drawing/2014/main" id="{1EBB3C8F-3E42-43F3-BC6C-0468495BD691}"/>
            </a:ext>
          </a:extLst>
        </xdr:cNvPr>
        <xdr:cNvCxnSpPr/>
      </xdr:nvCxnSpPr>
      <xdr:spPr>
        <a:xfrm flipV="1">
          <a:off x="4267200" y="254911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601980</xdr:colOff>
      <xdr:row>5</xdr:row>
      <xdr:rowOff>4034</xdr:rowOff>
    </xdr:from>
    <xdr:to>
      <xdr:col>8</xdr:col>
      <xdr:colOff>608383</xdr:colOff>
      <xdr:row>5</xdr:row>
      <xdr:rowOff>7620</xdr:rowOff>
    </xdr:to>
    <xdr:cxnSp macro="">
      <xdr:nvCxnSpPr>
        <xdr:cNvPr id="24" name="Straight Connector 23">
          <a:extLst>
            <a:ext uri="{FF2B5EF4-FFF2-40B4-BE49-F238E27FC236}">
              <a16:creationId xmlns:a16="http://schemas.microsoft.com/office/drawing/2014/main" id="{08479986-AFE9-4CA0-B4D8-1F70F76469F3}"/>
            </a:ext>
          </a:extLst>
        </xdr:cNvPr>
        <xdr:cNvCxnSpPr/>
      </xdr:nvCxnSpPr>
      <xdr:spPr>
        <a:xfrm flipV="1">
          <a:off x="5478780" y="91843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22861</xdr:colOff>
      <xdr:row>4</xdr:row>
      <xdr:rowOff>144780</xdr:rowOff>
    </xdr:from>
    <xdr:to>
      <xdr:col>9</xdr:col>
      <xdr:colOff>104923</xdr:colOff>
      <xdr:row>5</xdr:row>
      <xdr:rowOff>86165</xdr:rowOff>
    </xdr:to>
    <xdr:sp macro="" textlink="">
      <xdr:nvSpPr>
        <xdr:cNvPr id="25" name="Isosceles Triangle 24">
          <a:extLst>
            <a:ext uri="{FF2B5EF4-FFF2-40B4-BE49-F238E27FC236}">
              <a16:creationId xmlns:a16="http://schemas.microsoft.com/office/drawing/2014/main" id="{6CEE4824-1E9D-4A08-9D0A-58206D7358EE}"/>
            </a:ext>
          </a:extLst>
        </xdr:cNvPr>
        <xdr:cNvSpPr/>
      </xdr:nvSpPr>
      <xdr:spPr>
        <a:xfrm rot="16200000">
          <a:off x="6707359" y="89740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22861</xdr:colOff>
      <xdr:row>10</xdr:row>
      <xdr:rowOff>99060</xdr:rowOff>
    </xdr:from>
    <xdr:to>
      <xdr:col>9</xdr:col>
      <xdr:colOff>104923</xdr:colOff>
      <xdr:row>11</xdr:row>
      <xdr:rowOff>40445</xdr:rowOff>
    </xdr:to>
    <xdr:sp macro="" textlink="">
      <xdr:nvSpPr>
        <xdr:cNvPr id="26" name="Isosceles Triangle 25">
          <a:extLst>
            <a:ext uri="{FF2B5EF4-FFF2-40B4-BE49-F238E27FC236}">
              <a16:creationId xmlns:a16="http://schemas.microsoft.com/office/drawing/2014/main" id="{86C6606F-D88B-4DBF-85FE-111A83C13B88}"/>
            </a:ext>
          </a:extLst>
        </xdr:cNvPr>
        <xdr:cNvSpPr/>
      </xdr:nvSpPr>
      <xdr:spPr>
        <a:xfrm rot="16200000">
          <a:off x="6707359" y="194896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22860</xdr:colOff>
      <xdr:row>13</xdr:row>
      <xdr:rowOff>114300</xdr:rowOff>
    </xdr:from>
    <xdr:to>
      <xdr:col>7</xdr:col>
      <xdr:colOff>104922</xdr:colOff>
      <xdr:row>14</xdr:row>
      <xdr:rowOff>55685</xdr:rowOff>
    </xdr:to>
    <xdr:sp macro="" textlink="">
      <xdr:nvSpPr>
        <xdr:cNvPr id="27" name="Isosceles Triangle 26">
          <a:extLst>
            <a:ext uri="{FF2B5EF4-FFF2-40B4-BE49-F238E27FC236}">
              <a16:creationId xmlns:a16="http://schemas.microsoft.com/office/drawing/2014/main" id="{08F4DEF7-4E59-4287-80F2-6FBA63F8BC21}"/>
            </a:ext>
          </a:extLst>
        </xdr:cNvPr>
        <xdr:cNvSpPr/>
      </xdr:nvSpPr>
      <xdr:spPr>
        <a:xfrm rot="16200000">
          <a:off x="5488158" y="251284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xdr:col>
      <xdr:colOff>601980</xdr:colOff>
      <xdr:row>19</xdr:row>
      <xdr:rowOff>4210</xdr:rowOff>
    </xdr:from>
    <xdr:to>
      <xdr:col>6</xdr:col>
      <xdr:colOff>579162</xdr:colOff>
      <xdr:row>19</xdr:row>
      <xdr:rowOff>7620</xdr:rowOff>
    </xdr:to>
    <xdr:cxnSp macro="">
      <xdr:nvCxnSpPr>
        <xdr:cNvPr id="32" name="Straight Connector 31">
          <a:extLst>
            <a:ext uri="{FF2B5EF4-FFF2-40B4-BE49-F238E27FC236}">
              <a16:creationId xmlns:a16="http://schemas.microsoft.com/office/drawing/2014/main" id="{645A88E1-E445-4D7A-A4B7-24A3F55F37C9}"/>
            </a:ext>
          </a:extLst>
        </xdr:cNvPr>
        <xdr:cNvCxnSpPr/>
      </xdr:nvCxnSpPr>
      <xdr:spPr>
        <a:xfrm flipV="1">
          <a:off x="4259580" y="3478930"/>
          <a:ext cx="1196382" cy="34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5255</xdr:colOff>
      <xdr:row>15</xdr:row>
      <xdr:rowOff>171269</xdr:rowOff>
    </xdr:from>
    <xdr:to>
      <xdr:col>7</xdr:col>
      <xdr:colOff>7257</xdr:colOff>
      <xdr:row>21</xdr:row>
      <xdr:rowOff>170143</xdr:rowOff>
    </xdr:to>
    <xdr:cxnSp macro="">
      <xdr:nvCxnSpPr>
        <xdr:cNvPr id="33" name="Straight Connector 32">
          <a:extLst>
            <a:ext uri="{FF2B5EF4-FFF2-40B4-BE49-F238E27FC236}">
              <a16:creationId xmlns:a16="http://schemas.microsoft.com/office/drawing/2014/main" id="{3C2A5DA6-C03B-45C7-90DF-B5B9B2760510}"/>
            </a:ext>
          </a:extLst>
        </xdr:cNvPr>
        <xdr:cNvCxnSpPr/>
      </xdr:nvCxnSpPr>
      <xdr:spPr>
        <a:xfrm flipH="1">
          <a:off x="5491655" y="902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554946</xdr:colOff>
      <xdr:row>18</xdr:row>
      <xdr:rowOff>121921</xdr:rowOff>
    </xdr:from>
    <xdr:to>
      <xdr:col>7</xdr:col>
      <xdr:colOff>74886</xdr:colOff>
      <xdr:row>19</xdr:row>
      <xdr:rowOff>68580</xdr:rowOff>
    </xdr:to>
    <xdr:sp macro="" textlink="">
      <xdr:nvSpPr>
        <xdr:cNvPr id="34" name="Flowchart: Connector 33">
          <a:extLst>
            <a:ext uri="{FF2B5EF4-FFF2-40B4-BE49-F238E27FC236}">
              <a16:creationId xmlns:a16="http://schemas.microsoft.com/office/drawing/2014/main" id="{D81F93D3-FB46-4830-BBD7-677F1BF64503}"/>
            </a:ext>
          </a:extLst>
        </xdr:cNvPr>
        <xdr:cNvSpPr/>
      </xdr:nvSpPr>
      <xdr:spPr>
        <a:xfrm>
          <a:off x="5431746" y="140208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0</xdr:colOff>
      <xdr:row>21</xdr:row>
      <xdr:rowOff>171674</xdr:rowOff>
    </xdr:from>
    <xdr:to>
      <xdr:col>9</xdr:col>
      <xdr:colOff>6403</xdr:colOff>
      <xdr:row>21</xdr:row>
      <xdr:rowOff>175260</xdr:rowOff>
    </xdr:to>
    <xdr:cxnSp macro="">
      <xdr:nvCxnSpPr>
        <xdr:cNvPr id="35" name="Straight Connector 34">
          <a:extLst>
            <a:ext uri="{FF2B5EF4-FFF2-40B4-BE49-F238E27FC236}">
              <a16:creationId xmlns:a16="http://schemas.microsoft.com/office/drawing/2014/main" id="{B3F32150-F955-4281-AE28-BC2CA9FAFE29}"/>
            </a:ext>
          </a:extLst>
        </xdr:cNvPr>
        <xdr:cNvCxnSpPr/>
      </xdr:nvCxnSpPr>
      <xdr:spPr>
        <a:xfrm flipV="1">
          <a:off x="5486400" y="200047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601980</xdr:colOff>
      <xdr:row>16</xdr:row>
      <xdr:rowOff>4034</xdr:rowOff>
    </xdr:from>
    <xdr:to>
      <xdr:col>8</xdr:col>
      <xdr:colOff>608383</xdr:colOff>
      <xdr:row>16</xdr:row>
      <xdr:rowOff>7620</xdr:rowOff>
    </xdr:to>
    <xdr:cxnSp macro="">
      <xdr:nvCxnSpPr>
        <xdr:cNvPr id="36" name="Straight Connector 35">
          <a:extLst>
            <a:ext uri="{FF2B5EF4-FFF2-40B4-BE49-F238E27FC236}">
              <a16:creationId xmlns:a16="http://schemas.microsoft.com/office/drawing/2014/main" id="{3A757837-12AF-4534-B216-11F6802E55DE}"/>
            </a:ext>
          </a:extLst>
        </xdr:cNvPr>
        <xdr:cNvCxnSpPr/>
      </xdr:nvCxnSpPr>
      <xdr:spPr>
        <a:xfrm flipV="1">
          <a:off x="5478780" y="91843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22861</xdr:colOff>
      <xdr:row>15</xdr:row>
      <xdr:rowOff>144780</xdr:rowOff>
    </xdr:from>
    <xdr:to>
      <xdr:col>9</xdr:col>
      <xdr:colOff>104923</xdr:colOff>
      <xdr:row>16</xdr:row>
      <xdr:rowOff>86165</xdr:rowOff>
    </xdr:to>
    <xdr:sp macro="" textlink="">
      <xdr:nvSpPr>
        <xdr:cNvPr id="37" name="Isosceles Triangle 36">
          <a:extLst>
            <a:ext uri="{FF2B5EF4-FFF2-40B4-BE49-F238E27FC236}">
              <a16:creationId xmlns:a16="http://schemas.microsoft.com/office/drawing/2014/main" id="{6741871B-AA0A-47C0-809F-7EE70AFBC160}"/>
            </a:ext>
          </a:extLst>
        </xdr:cNvPr>
        <xdr:cNvSpPr/>
      </xdr:nvSpPr>
      <xdr:spPr>
        <a:xfrm rot="16200000">
          <a:off x="6707359" y="89740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22861</xdr:colOff>
      <xdr:row>21</xdr:row>
      <xdr:rowOff>99060</xdr:rowOff>
    </xdr:from>
    <xdr:to>
      <xdr:col>9</xdr:col>
      <xdr:colOff>104923</xdr:colOff>
      <xdr:row>22</xdr:row>
      <xdr:rowOff>40445</xdr:rowOff>
    </xdr:to>
    <xdr:sp macro="" textlink="">
      <xdr:nvSpPr>
        <xdr:cNvPr id="38" name="Isosceles Triangle 37">
          <a:extLst>
            <a:ext uri="{FF2B5EF4-FFF2-40B4-BE49-F238E27FC236}">
              <a16:creationId xmlns:a16="http://schemas.microsoft.com/office/drawing/2014/main" id="{5B75DB66-85B0-4B72-A438-3C1A1BB99B04}"/>
            </a:ext>
          </a:extLst>
        </xdr:cNvPr>
        <xdr:cNvSpPr/>
      </xdr:nvSpPr>
      <xdr:spPr>
        <a:xfrm rot="16200000">
          <a:off x="6707359" y="194896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5255</xdr:colOff>
      <xdr:row>22</xdr:row>
      <xdr:rowOff>171269</xdr:rowOff>
    </xdr:from>
    <xdr:to>
      <xdr:col>7</xdr:col>
      <xdr:colOff>7257</xdr:colOff>
      <xdr:row>28</xdr:row>
      <xdr:rowOff>170143</xdr:rowOff>
    </xdr:to>
    <xdr:cxnSp macro="">
      <xdr:nvCxnSpPr>
        <xdr:cNvPr id="39" name="Straight Connector 38">
          <a:extLst>
            <a:ext uri="{FF2B5EF4-FFF2-40B4-BE49-F238E27FC236}">
              <a16:creationId xmlns:a16="http://schemas.microsoft.com/office/drawing/2014/main" id="{82BFA664-4817-4570-9B41-7DA70D411EF1}"/>
            </a:ext>
          </a:extLst>
        </xdr:cNvPr>
        <xdr:cNvCxnSpPr/>
      </xdr:nvCxnSpPr>
      <xdr:spPr>
        <a:xfrm flipH="1">
          <a:off x="5491655" y="902789"/>
          <a:ext cx="2002" cy="10961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554946</xdr:colOff>
      <xdr:row>25</xdr:row>
      <xdr:rowOff>121921</xdr:rowOff>
    </xdr:from>
    <xdr:to>
      <xdr:col>7</xdr:col>
      <xdr:colOff>74886</xdr:colOff>
      <xdr:row>26</xdr:row>
      <xdr:rowOff>68580</xdr:rowOff>
    </xdr:to>
    <xdr:sp macro="" textlink="">
      <xdr:nvSpPr>
        <xdr:cNvPr id="40" name="Flowchart: Connector 39">
          <a:extLst>
            <a:ext uri="{FF2B5EF4-FFF2-40B4-BE49-F238E27FC236}">
              <a16:creationId xmlns:a16="http://schemas.microsoft.com/office/drawing/2014/main" id="{5EE32C8F-3CD9-4927-BC09-E285E2CB64F9}"/>
            </a:ext>
          </a:extLst>
        </xdr:cNvPr>
        <xdr:cNvSpPr/>
      </xdr:nvSpPr>
      <xdr:spPr>
        <a:xfrm>
          <a:off x="5431746" y="1402081"/>
          <a:ext cx="129540" cy="129539"/>
        </a:xfrm>
        <a:prstGeom prst="flowChartConnector">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0</xdr:colOff>
      <xdr:row>28</xdr:row>
      <xdr:rowOff>171674</xdr:rowOff>
    </xdr:from>
    <xdr:to>
      <xdr:col>9</xdr:col>
      <xdr:colOff>6403</xdr:colOff>
      <xdr:row>28</xdr:row>
      <xdr:rowOff>175260</xdr:rowOff>
    </xdr:to>
    <xdr:cxnSp macro="">
      <xdr:nvCxnSpPr>
        <xdr:cNvPr id="41" name="Straight Connector 40">
          <a:extLst>
            <a:ext uri="{FF2B5EF4-FFF2-40B4-BE49-F238E27FC236}">
              <a16:creationId xmlns:a16="http://schemas.microsoft.com/office/drawing/2014/main" id="{2214F070-76B5-4900-A10E-943941336F47}"/>
            </a:ext>
          </a:extLst>
        </xdr:cNvPr>
        <xdr:cNvCxnSpPr/>
      </xdr:nvCxnSpPr>
      <xdr:spPr>
        <a:xfrm flipV="1">
          <a:off x="5486400" y="200047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601980</xdr:colOff>
      <xdr:row>23</xdr:row>
      <xdr:rowOff>4034</xdr:rowOff>
    </xdr:from>
    <xdr:to>
      <xdr:col>8</xdr:col>
      <xdr:colOff>608383</xdr:colOff>
      <xdr:row>23</xdr:row>
      <xdr:rowOff>7620</xdr:rowOff>
    </xdr:to>
    <xdr:cxnSp macro="">
      <xdr:nvCxnSpPr>
        <xdr:cNvPr id="42" name="Straight Connector 41">
          <a:extLst>
            <a:ext uri="{FF2B5EF4-FFF2-40B4-BE49-F238E27FC236}">
              <a16:creationId xmlns:a16="http://schemas.microsoft.com/office/drawing/2014/main" id="{2167D4CD-8AEA-4F1A-BD84-520294F7852F}"/>
            </a:ext>
          </a:extLst>
        </xdr:cNvPr>
        <xdr:cNvCxnSpPr/>
      </xdr:nvCxnSpPr>
      <xdr:spPr>
        <a:xfrm flipV="1">
          <a:off x="5478780" y="918434"/>
          <a:ext cx="1225603" cy="35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22861</xdr:colOff>
      <xdr:row>22</xdr:row>
      <xdr:rowOff>144780</xdr:rowOff>
    </xdr:from>
    <xdr:to>
      <xdr:col>9</xdr:col>
      <xdr:colOff>104923</xdr:colOff>
      <xdr:row>23</xdr:row>
      <xdr:rowOff>86165</xdr:rowOff>
    </xdr:to>
    <xdr:sp macro="" textlink="">
      <xdr:nvSpPr>
        <xdr:cNvPr id="43" name="Isosceles Triangle 42">
          <a:extLst>
            <a:ext uri="{FF2B5EF4-FFF2-40B4-BE49-F238E27FC236}">
              <a16:creationId xmlns:a16="http://schemas.microsoft.com/office/drawing/2014/main" id="{FF9C3B1B-78F4-46CA-9F5D-1A403050F19F}"/>
            </a:ext>
          </a:extLst>
        </xdr:cNvPr>
        <xdr:cNvSpPr/>
      </xdr:nvSpPr>
      <xdr:spPr>
        <a:xfrm rot="16200000">
          <a:off x="6707359" y="89740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22861</xdr:colOff>
      <xdr:row>28</xdr:row>
      <xdr:rowOff>99060</xdr:rowOff>
    </xdr:from>
    <xdr:to>
      <xdr:col>9</xdr:col>
      <xdr:colOff>104923</xdr:colOff>
      <xdr:row>29</xdr:row>
      <xdr:rowOff>40445</xdr:rowOff>
    </xdr:to>
    <xdr:sp macro="" textlink="">
      <xdr:nvSpPr>
        <xdr:cNvPr id="44" name="Isosceles Triangle 43">
          <a:extLst>
            <a:ext uri="{FF2B5EF4-FFF2-40B4-BE49-F238E27FC236}">
              <a16:creationId xmlns:a16="http://schemas.microsoft.com/office/drawing/2014/main" id="{7D84F1A2-54AE-4579-A7CF-94851C73DD1D}"/>
            </a:ext>
          </a:extLst>
        </xdr:cNvPr>
        <xdr:cNvSpPr/>
      </xdr:nvSpPr>
      <xdr:spPr>
        <a:xfrm rot="16200000">
          <a:off x="6707359" y="1948962"/>
          <a:ext cx="124265" cy="82062"/>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xdr:col>
      <xdr:colOff>601980</xdr:colOff>
      <xdr:row>25</xdr:row>
      <xdr:rowOff>179470</xdr:rowOff>
    </xdr:from>
    <xdr:to>
      <xdr:col>6</xdr:col>
      <xdr:colOff>579162</xdr:colOff>
      <xdr:row>26</xdr:row>
      <xdr:rowOff>0</xdr:rowOff>
    </xdr:to>
    <xdr:cxnSp macro="">
      <xdr:nvCxnSpPr>
        <xdr:cNvPr id="45" name="Straight Connector 44">
          <a:extLst>
            <a:ext uri="{FF2B5EF4-FFF2-40B4-BE49-F238E27FC236}">
              <a16:creationId xmlns:a16="http://schemas.microsoft.com/office/drawing/2014/main" id="{0C57434E-E243-4395-91A6-50B4B3CE4209}"/>
            </a:ext>
          </a:extLst>
        </xdr:cNvPr>
        <xdr:cNvCxnSpPr/>
      </xdr:nvCxnSpPr>
      <xdr:spPr>
        <a:xfrm flipV="1">
          <a:off x="4259580" y="4751470"/>
          <a:ext cx="1196382" cy="34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264885</xdr:colOff>
      <xdr:row>65</xdr:row>
      <xdr:rowOff>72571</xdr:rowOff>
    </xdr:from>
    <xdr:to>
      <xdr:col>2</xdr:col>
      <xdr:colOff>286656</xdr:colOff>
      <xdr:row>66</xdr:row>
      <xdr:rowOff>76200</xdr:rowOff>
    </xdr:to>
    <xdr:sp macro="" textlink="">
      <xdr:nvSpPr>
        <xdr:cNvPr id="2" name="Rectangle 1">
          <a:extLst>
            <a:ext uri="{FF2B5EF4-FFF2-40B4-BE49-F238E27FC236}">
              <a16:creationId xmlns:a16="http://schemas.microsoft.com/office/drawing/2014/main" id="{751C0949-80C7-428F-89E1-D8332BE87406}"/>
            </a:ext>
          </a:extLst>
        </xdr:cNvPr>
        <xdr:cNvSpPr/>
      </xdr:nvSpPr>
      <xdr:spPr>
        <a:xfrm>
          <a:off x="874485" y="10562771"/>
          <a:ext cx="631371" cy="181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7</xdr:col>
      <xdr:colOff>97971</xdr:colOff>
      <xdr:row>61</xdr:row>
      <xdr:rowOff>65313</xdr:rowOff>
    </xdr:from>
    <xdr:to>
      <xdr:col>8</xdr:col>
      <xdr:colOff>261257</xdr:colOff>
      <xdr:row>63</xdr:row>
      <xdr:rowOff>32656</xdr:rowOff>
    </xdr:to>
    <xdr:sp macro="" textlink="">
      <xdr:nvSpPr>
        <xdr:cNvPr id="3" name="Rectangle: Rounded Corners 2">
          <a:extLst>
            <a:ext uri="{FF2B5EF4-FFF2-40B4-BE49-F238E27FC236}">
              <a16:creationId xmlns:a16="http://schemas.microsoft.com/office/drawing/2014/main" id="{A4C0330D-9CC0-4831-8F5D-C7B80600EA17}"/>
            </a:ext>
          </a:extLst>
        </xdr:cNvPr>
        <xdr:cNvSpPr/>
      </xdr:nvSpPr>
      <xdr:spPr>
        <a:xfrm>
          <a:off x="4365171" y="8577942"/>
          <a:ext cx="772886" cy="3374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grant</a:t>
          </a:r>
        </a:p>
      </xdr:txBody>
    </xdr:sp>
    <xdr:clientData/>
  </xdr:twoCellAnchor>
  <xdr:twoCellAnchor>
    <xdr:from>
      <xdr:col>6</xdr:col>
      <xdr:colOff>326571</xdr:colOff>
      <xdr:row>34</xdr:row>
      <xdr:rowOff>43542</xdr:rowOff>
    </xdr:from>
    <xdr:to>
      <xdr:col>7</xdr:col>
      <xdr:colOff>566057</xdr:colOff>
      <xdr:row>37</xdr:row>
      <xdr:rowOff>0</xdr:rowOff>
    </xdr:to>
    <xdr:sp macro="" textlink="">
      <xdr:nvSpPr>
        <xdr:cNvPr id="4" name="Rectangle: Rounded Corners 3">
          <a:extLst>
            <a:ext uri="{FF2B5EF4-FFF2-40B4-BE49-F238E27FC236}">
              <a16:creationId xmlns:a16="http://schemas.microsoft.com/office/drawing/2014/main" id="{AE93BB7D-0282-46B1-B178-37BBE592E263}"/>
            </a:ext>
          </a:extLst>
        </xdr:cNvPr>
        <xdr:cNvSpPr/>
      </xdr:nvSpPr>
      <xdr:spPr>
        <a:xfrm>
          <a:off x="3984171" y="3559628"/>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Received grant</a:t>
          </a:r>
        </a:p>
      </xdr:txBody>
    </xdr:sp>
    <xdr:clientData/>
  </xdr:twoCellAnchor>
  <xdr:twoCellAnchor>
    <xdr:from>
      <xdr:col>4</xdr:col>
      <xdr:colOff>468086</xdr:colOff>
      <xdr:row>43</xdr:row>
      <xdr:rowOff>0</xdr:rowOff>
    </xdr:from>
    <xdr:to>
      <xdr:col>5</xdr:col>
      <xdr:colOff>174171</xdr:colOff>
      <xdr:row>44</xdr:row>
      <xdr:rowOff>76200</xdr:rowOff>
    </xdr:to>
    <xdr:sp macro="" textlink="">
      <xdr:nvSpPr>
        <xdr:cNvPr id="5" name="Oval 4">
          <a:extLst>
            <a:ext uri="{FF2B5EF4-FFF2-40B4-BE49-F238E27FC236}">
              <a16:creationId xmlns:a16="http://schemas.microsoft.com/office/drawing/2014/main" id="{2FEEA29C-5FD0-4178-9850-AB8FD7DF8362}"/>
            </a:ext>
          </a:extLst>
        </xdr:cNvPr>
        <xdr:cNvSpPr/>
      </xdr:nvSpPr>
      <xdr:spPr>
        <a:xfrm>
          <a:off x="2906486" y="5181600"/>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613461</xdr:colOff>
      <xdr:row>43</xdr:row>
      <xdr:rowOff>130279</xdr:rowOff>
    </xdr:from>
    <xdr:to>
      <xdr:col>4</xdr:col>
      <xdr:colOff>468085</xdr:colOff>
      <xdr:row>46</xdr:row>
      <xdr:rowOff>7726</xdr:rowOff>
    </xdr:to>
    <xdr:cxnSp macro="">
      <xdr:nvCxnSpPr>
        <xdr:cNvPr id="7" name="Connector: Elbow 6">
          <a:extLst>
            <a:ext uri="{FF2B5EF4-FFF2-40B4-BE49-F238E27FC236}">
              <a16:creationId xmlns:a16="http://schemas.microsoft.com/office/drawing/2014/main" id="{B76D52A7-A4E0-41FB-9602-887975D9F0D7}"/>
            </a:ext>
          </a:extLst>
        </xdr:cNvPr>
        <xdr:cNvCxnSpPr>
          <a:stCxn id="832" idx="0"/>
          <a:endCxn id="5" idx="2"/>
        </xdr:cNvCxnSpPr>
      </xdr:nvCxnSpPr>
      <xdr:spPr>
        <a:xfrm rot="5400000" flipH="1" flipV="1">
          <a:off x="1861808" y="7423706"/>
          <a:ext cx="430512" cy="169817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16330</xdr:colOff>
      <xdr:row>35</xdr:row>
      <xdr:rowOff>114300</xdr:rowOff>
    </xdr:from>
    <xdr:to>
      <xdr:col>6</xdr:col>
      <xdr:colOff>326572</xdr:colOff>
      <xdr:row>43</xdr:row>
      <xdr:rowOff>0</xdr:rowOff>
    </xdr:to>
    <xdr:cxnSp macro="">
      <xdr:nvCxnSpPr>
        <xdr:cNvPr id="9" name="Connector: Elbow 8">
          <a:extLst>
            <a:ext uri="{FF2B5EF4-FFF2-40B4-BE49-F238E27FC236}">
              <a16:creationId xmlns:a16="http://schemas.microsoft.com/office/drawing/2014/main" id="{F5B8C704-6039-4E8A-A522-6D984A42FD17}"/>
            </a:ext>
          </a:extLst>
        </xdr:cNvPr>
        <xdr:cNvCxnSpPr>
          <a:stCxn id="5" idx="0"/>
          <a:endCxn id="4" idx="1"/>
        </xdr:cNvCxnSpPr>
      </xdr:nvCxnSpPr>
      <xdr:spPr>
        <a:xfrm rot="5400000" flipH="1" flipV="1">
          <a:off x="2841172" y="4038601"/>
          <a:ext cx="1366157" cy="91984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16329</xdr:colOff>
      <xdr:row>44</xdr:row>
      <xdr:rowOff>76200</xdr:rowOff>
    </xdr:from>
    <xdr:to>
      <xdr:col>7</xdr:col>
      <xdr:colOff>97971</xdr:colOff>
      <xdr:row>62</xdr:row>
      <xdr:rowOff>48985</xdr:rowOff>
    </xdr:to>
    <xdr:cxnSp macro="">
      <xdr:nvCxnSpPr>
        <xdr:cNvPr id="11" name="Connector: Elbow 10">
          <a:extLst>
            <a:ext uri="{FF2B5EF4-FFF2-40B4-BE49-F238E27FC236}">
              <a16:creationId xmlns:a16="http://schemas.microsoft.com/office/drawing/2014/main" id="{12DB770F-FB15-4481-A35D-AC3EFD9D58D9}"/>
            </a:ext>
          </a:extLst>
        </xdr:cNvPr>
        <xdr:cNvCxnSpPr>
          <a:stCxn id="5" idx="4"/>
          <a:endCxn id="3" idx="1"/>
        </xdr:cNvCxnSpPr>
      </xdr:nvCxnSpPr>
      <xdr:spPr>
        <a:xfrm rot="16200000" flipH="1">
          <a:off x="2062843" y="6444343"/>
          <a:ext cx="3303814" cy="130084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21772</xdr:colOff>
      <xdr:row>42</xdr:row>
      <xdr:rowOff>130629</xdr:rowOff>
    </xdr:from>
    <xdr:to>
      <xdr:col>12</xdr:col>
      <xdr:colOff>261258</xdr:colOff>
      <xdr:row>44</xdr:row>
      <xdr:rowOff>152401</xdr:rowOff>
    </xdr:to>
    <xdr:sp macro="" textlink="">
      <xdr:nvSpPr>
        <xdr:cNvPr id="13" name="Rectangle: Rounded Corners 12">
          <a:extLst>
            <a:ext uri="{FF2B5EF4-FFF2-40B4-BE49-F238E27FC236}">
              <a16:creationId xmlns:a16="http://schemas.microsoft.com/office/drawing/2014/main" id="{1585DFC7-1402-4B47-909F-4925868DDA6B}"/>
            </a:ext>
          </a:extLst>
        </xdr:cNvPr>
        <xdr:cNvSpPr/>
      </xdr:nvSpPr>
      <xdr:spPr>
        <a:xfrm>
          <a:off x="6727372" y="5127172"/>
          <a:ext cx="849086" cy="391886"/>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10</xdr:col>
      <xdr:colOff>587827</xdr:colOff>
      <xdr:row>27</xdr:row>
      <xdr:rowOff>108857</xdr:rowOff>
    </xdr:from>
    <xdr:to>
      <xdr:col>12</xdr:col>
      <xdr:colOff>217713</xdr:colOff>
      <xdr:row>30</xdr:row>
      <xdr:rowOff>65315</xdr:rowOff>
    </xdr:to>
    <xdr:sp macro="" textlink="">
      <xdr:nvSpPr>
        <xdr:cNvPr id="14" name="Rectangle: Rounded Corners 13">
          <a:extLst>
            <a:ext uri="{FF2B5EF4-FFF2-40B4-BE49-F238E27FC236}">
              <a16:creationId xmlns:a16="http://schemas.microsoft.com/office/drawing/2014/main" id="{88C86C55-4379-4EA1-A87C-3227BBE98DE9}"/>
            </a:ext>
          </a:extLst>
        </xdr:cNvPr>
        <xdr:cNvSpPr/>
      </xdr:nvSpPr>
      <xdr:spPr>
        <a:xfrm>
          <a:off x="6683827" y="4109357"/>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10</xdr:col>
      <xdr:colOff>595995</xdr:colOff>
      <xdr:row>67</xdr:row>
      <xdr:rowOff>89809</xdr:rowOff>
    </xdr:from>
    <xdr:to>
      <xdr:col>12</xdr:col>
      <xdr:colOff>225881</xdr:colOff>
      <xdr:row>69</xdr:row>
      <xdr:rowOff>111580</xdr:rowOff>
    </xdr:to>
    <xdr:sp macro="" textlink="">
      <xdr:nvSpPr>
        <xdr:cNvPr id="15" name="Rectangle: Rounded Corners 14">
          <a:extLst>
            <a:ext uri="{FF2B5EF4-FFF2-40B4-BE49-F238E27FC236}">
              <a16:creationId xmlns:a16="http://schemas.microsoft.com/office/drawing/2014/main" id="{864B78CA-522E-48A2-8AE5-63B2DEB747D0}"/>
            </a:ext>
          </a:extLst>
        </xdr:cNvPr>
        <xdr:cNvSpPr/>
      </xdr:nvSpPr>
      <xdr:spPr>
        <a:xfrm>
          <a:off x="6691995" y="11710309"/>
          <a:ext cx="849086" cy="40277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11</xdr:col>
      <xdr:colOff>16328</xdr:colOff>
      <xdr:row>54</xdr:row>
      <xdr:rowOff>152399</xdr:rowOff>
    </xdr:from>
    <xdr:to>
      <xdr:col>12</xdr:col>
      <xdr:colOff>255814</xdr:colOff>
      <xdr:row>57</xdr:row>
      <xdr:rowOff>108857</xdr:rowOff>
    </xdr:to>
    <xdr:sp macro="" textlink="">
      <xdr:nvSpPr>
        <xdr:cNvPr id="16" name="Rectangle: Rounded Corners 15">
          <a:extLst>
            <a:ext uri="{FF2B5EF4-FFF2-40B4-BE49-F238E27FC236}">
              <a16:creationId xmlns:a16="http://schemas.microsoft.com/office/drawing/2014/main" id="{F0555905-E163-4463-A0B1-6D0835AE26D6}"/>
            </a:ext>
          </a:extLst>
        </xdr:cNvPr>
        <xdr:cNvSpPr/>
      </xdr:nvSpPr>
      <xdr:spPr>
        <a:xfrm>
          <a:off x="6721928" y="9296399"/>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10</xdr:col>
      <xdr:colOff>5444</xdr:colOff>
      <xdr:row>28</xdr:row>
      <xdr:rowOff>182336</xdr:rowOff>
    </xdr:from>
    <xdr:to>
      <xdr:col>10</xdr:col>
      <xdr:colOff>587828</xdr:colOff>
      <xdr:row>34</xdr:row>
      <xdr:rowOff>168727</xdr:rowOff>
    </xdr:to>
    <xdr:cxnSp macro="">
      <xdr:nvCxnSpPr>
        <xdr:cNvPr id="18" name="Connector: Elbow 17">
          <a:extLst>
            <a:ext uri="{FF2B5EF4-FFF2-40B4-BE49-F238E27FC236}">
              <a16:creationId xmlns:a16="http://schemas.microsoft.com/office/drawing/2014/main" id="{04843D1C-B5E2-4F61-9335-39CADD69A08B}"/>
            </a:ext>
          </a:extLst>
        </xdr:cNvPr>
        <xdr:cNvCxnSpPr>
          <a:stCxn id="30" idx="0"/>
          <a:endCxn id="14" idx="1"/>
        </xdr:cNvCxnSpPr>
      </xdr:nvCxnSpPr>
      <xdr:spPr>
        <a:xfrm rot="5400000" flipH="1" flipV="1">
          <a:off x="5827940" y="4646840"/>
          <a:ext cx="1129391" cy="58238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5443</xdr:colOff>
      <xdr:row>36</xdr:row>
      <xdr:rowOff>59869</xdr:rowOff>
    </xdr:from>
    <xdr:to>
      <xdr:col>11</xdr:col>
      <xdr:colOff>21772</xdr:colOff>
      <xdr:row>43</xdr:row>
      <xdr:rowOff>141514</xdr:rowOff>
    </xdr:to>
    <xdr:cxnSp macro="">
      <xdr:nvCxnSpPr>
        <xdr:cNvPr id="20" name="Connector: Elbow 19">
          <a:extLst>
            <a:ext uri="{FF2B5EF4-FFF2-40B4-BE49-F238E27FC236}">
              <a16:creationId xmlns:a16="http://schemas.microsoft.com/office/drawing/2014/main" id="{27444949-BBB0-4530-8F87-E62BDFEF7604}"/>
            </a:ext>
          </a:extLst>
        </xdr:cNvPr>
        <xdr:cNvCxnSpPr>
          <a:stCxn id="30" idx="4"/>
          <a:endCxn id="13" idx="1"/>
        </xdr:cNvCxnSpPr>
      </xdr:nvCxnSpPr>
      <xdr:spPr>
        <a:xfrm rot="16200000" flipH="1">
          <a:off x="5706835" y="6169477"/>
          <a:ext cx="1415145" cy="62592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62595</xdr:colOff>
      <xdr:row>56</xdr:row>
      <xdr:rowOff>35378</xdr:rowOff>
    </xdr:from>
    <xdr:to>
      <xdr:col>11</xdr:col>
      <xdr:colOff>16329</xdr:colOff>
      <xdr:row>61</xdr:row>
      <xdr:rowOff>92529</xdr:rowOff>
    </xdr:to>
    <xdr:cxnSp macro="">
      <xdr:nvCxnSpPr>
        <xdr:cNvPr id="24" name="Connector: Elbow 23">
          <a:extLst>
            <a:ext uri="{FF2B5EF4-FFF2-40B4-BE49-F238E27FC236}">
              <a16:creationId xmlns:a16="http://schemas.microsoft.com/office/drawing/2014/main" id="{ED546A66-5E0C-450B-B117-D2581A981B24}"/>
            </a:ext>
          </a:extLst>
        </xdr:cNvPr>
        <xdr:cNvCxnSpPr>
          <a:stCxn id="31" idx="0"/>
          <a:endCxn id="16" idx="1"/>
        </xdr:cNvCxnSpPr>
      </xdr:nvCxnSpPr>
      <xdr:spPr>
        <a:xfrm rot="5400000" flipH="1" flipV="1">
          <a:off x="5935436" y="9783537"/>
          <a:ext cx="1009651" cy="56333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62594</xdr:colOff>
      <xdr:row>62</xdr:row>
      <xdr:rowOff>174171</xdr:rowOff>
    </xdr:from>
    <xdr:to>
      <xdr:col>10</xdr:col>
      <xdr:colOff>595995</xdr:colOff>
      <xdr:row>68</xdr:row>
      <xdr:rowOff>100694</xdr:rowOff>
    </xdr:to>
    <xdr:cxnSp macro="">
      <xdr:nvCxnSpPr>
        <xdr:cNvPr id="26" name="Connector: Elbow 25">
          <a:extLst>
            <a:ext uri="{FF2B5EF4-FFF2-40B4-BE49-F238E27FC236}">
              <a16:creationId xmlns:a16="http://schemas.microsoft.com/office/drawing/2014/main" id="{173CB30B-A2C2-423A-89F0-161EF8CCD17D}"/>
            </a:ext>
          </a:extLst>
        </xdr:cNvPr>
        <xdr:cNvCxnSpPr>
          <a:stCxn id="31" idx="4"/>
          <a:endCxn id="15" idx="1"/>
        </xdr:cNvCxnSpPr>
      </xdr:nvCxnSpPr>
      <xdr:spPr>
        <a:xfrm rot="16200000" flipH="1">
          <a:off x="5890533" y="11110232"/>
          <a:ext cx="1069523" cy="53340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593798</xdr:colOff>
      <xdr:row>83</xdr:row>
      <xdr:rowOff>55130</xdr:rowOff>
    </xdr:from>
    <xdr:to>
      <xdr:col>9</xdr:col>
      <xdr:colOff>326573</xdr:colOff>
      <xdr:row>90</xdr:row>
      <xdr:rowOff>11236</xdr:rowOff>
    </xdr:to>
    <xdr:cxnSp macro="">
      <xdr:nvCxnSpPr>
        <xdr:cNvPr id="29" name="Connector: Elbow 28">
          <a:extLst>
            <a:ext uri="{FF2B5EF4-FFF2-40B4-BE49-F238E27FC236}">
              <a16:creationId xmlns:a16="http://schemas.microsoft.com/office/drawing/2014/main" id="{FC44B14F-52A0-46C6-A42C-22D0D277FB8A}"/>
            </a:ext>
          </a:extLst>
        </xdr:cNvPr>
        <xdr:cNvCxnSpPr>
          <a:cxnSpLocks/>
          <a:stCxn id="837" idx="2"/>
          <a:endCxn id="44" idx="2"/>
        </xdr:cNvCxnSpPr>
      </xdr:nvCxnSpPr>
      <xdr:spPr>
        <a:xfrm rot="16200000" flipH="1">
          <a:off x="2909471" y="13655425"/>
          <a:ext cx="1246589" cy="464890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34</xdr:row>
      <xdr:rowOff>168727</xdr:rowOff>
    </xdr:from>
    <xdr:to>
      <xdr:col>10</xdr:col>
      <xdr:colOff>163285</xdr:colOff>
      <xdr:row>36</xdr:row>
      <xdr:rowOff>59870</xdr:rowOff>
    </xdr:to>
    <xdr:sp macro="" textlink="">
      <xdr:nvSpPr>
        <xdr:cNvPr id="30" name="Oval 29">
          <a:extLst>
            <a:ext uri="{FF2B5EF4-FFF2-40B4-BE49-F238E27FC236}">
              <a16:creationId xmlns:a16="http://schemas.microsoft.com/office/drawing/2014/main" id="{339E9380-9690-4B20-B7AB-928CFEC790F5}"/>
            </a:ext>
          </a:extLst>
        </xdr:cNvPr>
        <xdr:cNvSpPr/>
      </xdr:nvSpPr>
      <xdr:spPr>
        <a:xfrm>
          <a:off x="5943600" y="5502727"/>
          <a:ext cx="315685" cy="2721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514351</xdr:colOff>
      <xdr:row>61</xdr:row>
      <xdr:rowOff>92529</xdr:rowOff>
    </xdr:from>
    <xdr:to>
      <xdr:col>10</xdr:col>
      <xdr:colOff>220436</xdr:colOff>
      <xdr:row>62</xdr:row>
      <xdr:rowOff>174172</xdr:rowOff>
    </xdr:to>
    <xdr:sp macro="" textlink="">
      <xdr:nvSpPr>
        <xdr:cNvPr id="31" name="Oval 30">
          <a:extLst>
            <a:ext uri="{FF2B5EF4-FFF2-40B4-BE49-F238E27FC236}">
              <a16:creationId xmlns:a16="http://schemas.microsoft.com/office/drawing/2014/main" id="{797FE5DA-44CD-4BF2-BDDC-318542FB3153}"/>
            </a:ext>
          </a:extLst>
        </xdr:cNvPr>
        <xdr:cNvSpPr/>
      </xdr:nvSpPr>
      <xdr:spPr>
        <a:xfrm>
          <a:off x="6000751" y="10570029"/>
          <a:ext cx="315685" cy="2721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160565</xdr:colOff>
      <xdr:row>102</xdr:row>
      <xdr:rowOff>125187</xdr:rowOff>
    </xdr:from>
    <xdr:to>
      <xdr:col>12</xdr:col>
      <xdr:colOff>400051</xdr:colOff>
      <xdr:row>104</xdr:row>
      <xdr:rowOff>146958</xdr:rowOff>
    </xdr:to>
    <xdr:sp macro="" textlink="">
      <xdr:nvSpPr>
        <xdr:cNvPr id="36" name="Rectangle: Rounded Corners 35">
          <a:extLst>
            <a:ext uri="{FF2B5EF4-FFF2-40B4-BE49-F238E27FC236}">
              <a16:creationId xmlns:a16="http://schemas.microsoft.com/office/drawing/2014/main" id="{70839D87-EB4E-4D55-A28D-D0ADA3F7D4DC}"/>
            </a:ext>
          </a:extLst>
        </xdr:cNvPr>
        <xdr:cNvSpPr/>
      </xdr:nvSpPr>
      <xdr:spPr>
        <a:xfrm>
          <a:off x="6866165" y="18413187"/>
          <a:ext cx="849086" cy="402771"/>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ANC</a:t>
          </a:r>
        </a:p>
      </xdr:txBody>
    </xdr:sp>
    <xdr:clientData/>
  </xdr:twoCellAnchor>
  <xdr:twoCellAnchor>
    <xdr:from>
      <xdr:col>11</xdr:col>
      <xdr:colOff>21771</xdr:colOff>
      <xdr:row>80</xdr:row>
      <xdr:rowOff>95250</xdr:rowOff>
    </xdr:from>
    <xdr:to>
      <xdr:col>12</xdr:col>
      <xdr:colOff>261257</xdr:colOff>
      <xdr:row>83</xdr:row>
      <xdr:rowOff>46264</xdr:rowOff>
    </xdr:to>
    <xdr:sp macro="" textlink="">
      <xdr:nvSpPr>
        <xdr:cNvPr id="37" name="Rectangle: Rounded Corners 36">
          <a:extLst>
            <a:ext uri="{FF2B5EF4-FFF2-40B4-BE49-F238E27FC236}">
              <a16:creationId xmlns:a16="http://schemas.microsoft.com/office/drawing/2014/main" id="{2AD19400-A648-4258-B69F-41BE1986EB39}"/>
            </a:ext>
          </a:extLst>
        </xdr:cNvPr>
        <xdr:cNvSpPr/>
      </xdr:nvSpPr>
      <xdr:spPr>
        <a:xfrm>
          <a:off x="6727371" y="15335250"/>
          <a:ext cx="849086" cy="52251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ANC visit</a:t>
          </a:r>
        </a:p>
      </xdr:txBody>
    </xdr:sp>
    <xdr:clientData/>
  </xdr:twoCellAnchor>
  <xdr:twoCellAnchor>
    <xdr:from>
      <xdr:col>9</xdr:col>
      <xdr:colOff>484415</xdr:colOff>
      <xdr:row>81</xdr:row>
      <xdr:rowOff>166007</xdr:rowOff>
    </xdr:from>
    <xdr:to>
      <xdr:col>11</xdr:col>
      <xdr:colOff>21771</xdr:colOff>
      <xdr:row>89</xdr:row>
      <xdr:rowOff>65313</xdr:rowOff>
    </xdr:to>
    <xdr:cxnSp macro="">
      <xdr:nvCxnSpPr>
        <xdr:cNvPr id="40" name="Connector: Elbow 39">
          <a:extLst>
            <a:ext uri="{FF2B5EF4-FFF2-40B4-BE49-F238E27FC236}">
              <a16:creationId xmlns:a16="http://schemas.microsoft.com/office/drawing/2014/main" id="{DF557E6A-740F-4560-BF36-917A55D74059}"/>
            </a:ext>
          </a:extLst>
        </xdr:cNvPr>
        <xdr:cNvCxnSpPr>
          <a:stCxn id="44" idx="0"/>
          <a:endCxn id="37" idx="1"/>
        </xdr:cNvCxnSpPr>
      </xdr:nvCxnSpPr>
      <xdr:spPr>
        <a:xfrm rot="5400000" flipH="1" flipV="1">
          <a:off x="5637440" y="15929882"/>
          <a:ext cx="1423306" cy="75655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484416</xdr:colOff>
      <xdr:row>90</xdr:row>
      <xdr:rowOff>141513</xdr:rowOff>
    </xdr:from>
    <xdr:to>
      <xdr:col>11</xdr:col>
      <xdr:colOff>160566</xdr:colOff>
      <xdr:row>103</xdr:row>
      <xdr:rowOff>136072</xdr:rowOff>
    </xdr:to>
    <xdr:cxnSp macro="">
      <xdr:nvCxnSpPr>
        <xdr:cNvPr id="41" name="Connector: Elbow 40">
          <a:extLst>
            <a:ext uri="{FF2B5EF4-FFF2-40B4-BE49-F238E27FC236}">
              <a16:creationId xmlns:a16="http://schemas.microsoft.com/office/drawing/2014/main" id="{6A66DE5C-64E3-4737-9D57-5030AA42D16D}"/>
            </a:ext>
          </a:extLst>
        </xdr:cNvPr>
        <xdr:cNvCxnSpPr>
          <a:stCxn id="44" idx="4"/>
          <a:endCxn id="36" idx="1"/>
        </xdr:cNvCxnSpPr>
      </xdr:nvCxnSpPr>
      <xdr:spPr>
        <a:xfrm rot="16200000" flipH="1">
          <a:off x="5182961" y="16931368"/>
          <a:ext cx="2471059" cy="89535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566057</xdr:colOff>
      <xdr:row>35</xdr:row>
      <xdr:rowOff>114299</xdr:rowOff>
    </xdr:from>
    <xdr:to>
      <xdr:col>9</xdr:col>
      <xdr:colOff>457200</xdr:colOff>
      <xdr:row>35</xdr:row>
      <xdr:rowOff>117021</xdr:rowOff>
    </xdr:to>
    <xdr:cxnSp macro="">
      <xdr:nvCxnSpPr>
        <xdr:cNvPr id="43" name="Connector: Elbow 42">
          <a:extLst>
            <a:ext uri="{FF2B5EF4-FFF2-40B4-BE49-F238E27FC236}">
              <a16:creationId xmlns:a16="http://schemas.microsoft.com/office/drawing/2014/main" id="{AB008762-527E-4ABC-8E68-A8685A84C61B}"/>
            </a:ext>
          </a:extLst>
        </xdr:cNvPr>
        <xdr:cNvCxnSpPr>
          <a:cxnSpLocks/>
          <a:stCxn id="4" idx="3"/>
          <a:endCxn id="30" idx="2"/>
        </xdr:cNvCxnSpPr>
      </xdr:nvCxnSpPr>
      <xdr:spPr>
        <a:xfrm flipV="1">
          <a:off x="4833257" y="5638799"/>
          <a:ext cx="1110343" cy="27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326572</xdr:colOff>
      <xdr:row>89</xdr:row>
      <xdr:rowOff>65313</xdr:rowOff>
    </xdr:from>
    <xdr:to>
      <xdr:col>10</xdr:col>
      <xdr:colOff>32657</xdr:colOff>
      <xdr:row>90</xdr:row>
      <xdr:rowOff>141514</xdr:rowOff>
    </xdr:to>
    <xdr:sp macro="" textlink="">
      <xdr:nvSpPr>
        <xdr:cNvPr id="44" name="Oval 43">
          <a:extLst>
            <a:ext uri="{FF2B5EF4-FFF2-40B4-BE49-F238E27FC236}">
              <a16:creationId xmlns:a16="http://schemas.microsoft.com/office/drawing/2014/main" id="{9B773B02-2F85-4D5D-A9FE-223C4CAF6CA3}"/>
            </a:ext>
          </a:extLst>
        </xdr:cNvPr>
        <xdr:cNvSpPr/>
      </xdr:nvSpPr>
      <xdr:spPr>
        <a:xfrm>
          <a:off x="5812972" y="13759542"/>
          <a:ext cx="315685" cy="2612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8</xdr:col>
      <xdr:colOff>261257</xdr:colOff>
      <xdr:row>62</xdr:row>
      <xdr:rowOff>38101</xdr:rowOff>
    </xdr:from>
    <xdr:to>
      <xdr:col>9</xdr:col>
      <xdr:colOff>514351</xdr:colOff>
      <xdr:row>62</xdr:row>
      <xdr:rowOff>48985</xdr:rowOff>
    </xdr:to>
    <xdr:cxnSp macro="">
      <xdr:nvCxnSpPr>
        <xdr:cNvPr id="48" name="Connector: Elbow 47">
          <a:extLst>
            <a:ext uri="{FF2B5EF4-FFF2-40B4-BE49-F238E27FC236}">
              <a16:creationId xmlns:a16="http://schemas.microsoft.com/office/drawing/2014/main" id="{E1CE6EC5-F6C7-4829-A872-6FFB1782B74D}"/>
            </a:ext>
          </a:extLst>
        </xdr:cNvPr>
        <xdr:cNvCxnSpPr>
          <a:cxnSpLocks/>
          <a:stCxn id="3" idx="3"/>
          <a:endCxn id="31" idx="2"/>
        </xdr:cNvCxnSpPr>
      </xdr:nvCxnSpPr>
      <xdr:spPr>
        <a:xfrm flipV="1">
          <a:off x="5138057" y="10706101"/>
          <a:ext cx="862694" cy="1088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560614</xdr:colOff>
      <xdr:row>22</xdr:row>
      <xdr:rowOff>100693</xdr:rowOff>
    </xdr:from>
    <xdr:to>
      <xdr:col>15</xdr:col>
      <xdr:colOff>190500</xdr:colOff>
      <xdr:row>25</xdr:row>
      <xdr:rowOff>57150</xdr:rowOff>
    </xdr:to>
    <xdr:sp macro="" textlink="">
      <xdr:nvSpPr>
        <xdr:cNvPr id="59" name="Rectangle: Rounded Corners 58">
          <a:extLst>
            <a:ext uri="{FF2B5EF4-FFF2-40B4-BE49-F238E27FC236}">
              <a16:creationId xmlns:a16="http://schemas.microsoft.com/office/drawing/2014/main" id="{96B79E41-C127-4565-8363-5DB19216448C}"/>
            </a:ext>
          </a:extLst>
        </xdr:cNvPr>
        <xdr:cNvSpPr/>
      </xdr:nvSpPr>
      <xdr:spPr>
        <a:xfrm>
          <a:off x="8485414" y="4291693"/>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13</xdr:col>
      <xdr:colOff>519793</xdr:colOff>
      <xdr:row>30</xdr:row>
      <xdr:rowOff>54429</xdr:rowOff>
    </xdr:from>
    <xdr:to>
      <xdr:col>15</xdr:col>
      <xdr:colOff>149679</xdr:colOff>
      <xdr:row>33</xdr:row>
      <xdr:rowOff>10886</xdr:rowOff>
    </xdr:to>
    <xdr:sp macro="" textlink="">
      <xdr:nvSpPr>
        <xdr:cNvPr id="60" name="Rectangle: Rounded Corners 59">
          <a:extLst>
            <a:ext uri="{FF2B5EF4-FFF2-40B4-BE49-F238E27FC236}">
              <a16:creationId xmlns:a16="http://schemas.microsoft.com/office/drawing/2014/main" id="{2075D201-A250-4457-8B64-16996E0C6D84}"/>
            </a:ext>
          </a:extLst>
        </xdr:cNvPr>
        <xdr:cNvSpPr/>
      </xdr:nvSpPr>
      <xdr:spPr>
        <a:xfrm>
          <a:off x="8444593" y="4626429"/>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12</xdr:col>
      <xdr:colOff>571501</xdr:colOff>
      <xdr:row>23</xdr:row>
      <xdr:rowOff>174173</xdr:rowOff>
    </xdr:from>
    <xdr:to>
      <xdr:col>13</xdr:col>
      <xdr:colOff>560614</xdr:colOff>
      <xdr:row>28</xdr:row>
      <xdr:rowOff>54428</xdr:rowOff>
    </xdr:to>
    <xdr:cxnSp macro="">
      <xdr:nvCxnSpPr>
        <xdr:cNvPr id="61" name="Connector: Elbow 60">
          <a:extLst>
            <a:ext uri="{FF2B5EF4-FFF2-40B4-BE49-F238E27FC236}">
              <a16:creationId xmlns:a16="http://schemas.microsoft.com/office/drawing/2014/main" id="{08C93B58-2A07-4B98-91C7-772BC1BEA8C0}"/>
            </a:ext>
          </a:extLst>
        </xdr:cNvPr>
        <xdr:cNvCxnSpPr>
          <a:stCxn id="63" idx="0"/>
          <a:endCxn id="59" idx="1"/>
        </xdr:cNvCxnSpPr>
      </xdr:nvCxnSpPr>
      <xdr:spPr>
        <a:xfrm rot="5400000" flipH="1" flipV="1">
          <a:off x="7769680" y="4672694"/>
          <a:ext cx="832755" cy="59871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571502</xdr:colOff>
      <xdr:row>29</xdr:row>
      <xdr:rowOff>130626</xdr:rowOff>
    </xdr:from>
    <xdr:to>
      <xdr:col>13</xdr:col>
      <xdr:colOff>519794</xdr:colOff>
      <xdr:row>31</xdr:row>
      <xdr:rowOff>127907</xdr:rowOff>
    </xdr:to>
    <xdr:cxnSp macro="">
      <xdr:nvCxnSpPr>
        <xdr:cNvPr id="62" name="Connector: Elbow 61">
          <a:extLst>
            <a:ext uri="{FF2B5EF4-FFF2-40B4-BE49-F238E27FC236}">
              <a16:creationId xmlns:a16="http://schemas.microsoft.com/office/drawing/2014/main" id="{A328CEC4-D65C-414E-9764-6FDF6707C9C8}"/>
            </a:ext>
          </a:extLst>
        </xdr:cNvPr>
        <xdr:cNvCxnSpPr>
          <a:stCxn id="63" idx="4"/>
          <a:endCxn id="60" idx="1"/>
        </xdr:cNvCxnSpPr>
      </xdr:nvCxnSpPr>
      <xdr:spPr>
        <a:xfrm rot="16200000" flipH="1">
          <a:off x="7976507" y="4422321"/>
          <a:ext cx="378281" cy="55789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413658</xdr:colOff>
      <xdr:row>28</xdr:row>
      <xdr:rowOff>54427</xdr:rowOff>
    </xdr:from>
    <xdr:to>
      <xdr:col>13</xdr:col>
      <xdr:colOff>119743</xdr:colOff>
      <xdr:row>29</xdr:row>
      <xdr:rowOff>130627</xdr:rowOff>
    </xdr:to>
    <xdr:sp macro="" textlink="">
      <xdr:nvSpPr>
        <xdr:cNvPr id="63" name="Oval 62">
          <a:extLst>
            <a:ext uri="{FF2B5EF4-FFF2-40B4-BE49-F238E27FC236}">
              <a16:creationId xmlns:a16="http://schemas.microsoft.com/office/drawing/2014/main" id="{6CC457A3-02D7-467E-92FD-2BA8FCB91B1E}"/>
            </a:ext>
          </a:extLst>
        </xdr:cNvPr>
        <xdr:cNvSpPr/>
      </xdr:nvSpPr>
      <xdr:spPr>
        <a:xfrm>
          <a:off x="7728858" y="2460170"/>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217713</xdr:colOff>
      <xdr:row>28</xdr:row>
      <xdr:rowOff>182336</xdr:rowOff>
    </xdr:from>
    <xdr:to>
      <xdr:col>12</xdr:col>
      <xdr:colOff>413658</xdr:colOff>
      <xdr:row>28</xdr:row>
      <xdr:rowOff>187777</xdr:rowOff>
    </xdr:to>
    <xdr:cxnSp macro="">
      <xdr:nvCxnSpPr>
        <xdr:cNvPr id="64" name="Connector: Elbow 42">
          <a:extLst>
            <a:ext uri="{FF2B5EF4-FFF2-40B4-BE49-F238E27FC236}">
              <a16:creationId xmlns:a16="http://schemas.microsoft.com/office/drawing/2014/main" id="{03652EBF-BECE-42AE-931B-E7EDDC38D5F8}"/>
            </a:ext>
          </a:extLst>
        </xdr:cNvPr>
        <xdr:cNvCxnSpPr>
          <a:cxnSpLocks/>
          <a:stCxn id="14" idx="3"/>
          <a:endCxn id="63" idx="2"/>
        </xdr:cNvCxnSpPr>
      </xdr:nvCxnSpPr>
      <xdr:spPr>
        <a:xfrm>
          <a:off x="7532913" y="4373336"/>
          <a:ext cx="195945" cy="544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21771</xdr:colOff>
      <xdr:row>36</xdr:row>
      <xdr:rowOff>108857</xdr:rowOff>
    </xdr:from>
    <xdr:to>
      <xdr:col>15</xdr:col>
      <xdr:colOff>261257</xdr:colOff>
      <xdr:row>39</xdr:row>
      <xdr:rowOff>65315</xdr:rowOff>
    </xdr:to>
    <xdr:sp macro="" textlink="">
      <xdr:nvSpPr>
        <xdr:cNvPr id="208" name="Rectangle: Rounded Corners 207">
          <a:extLst>
            <a:ext uri="{FF2B5EF4-FFF2-40B4-BE49-F238E27FC236}">
              <a16:creationId xmlns:a16="http://schemas.microsoft.com/office/drawing/2014/main" id="{A75C3E3A-30E8-4F87-A32E-86CFF2605316}"/>
            </a:ext>
          </a:extLst>
        </xdr:cNvPr>
        <xdr:cNvSpPr/>
      </xdr:nvSpPr>
      <xdr:spPr>
        <a:xfrm>
          <a:off x="8556171" y="3995057"/>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16327</xdr:colOff>
      <xdr:row>44</xdr:row>
      <xdr:rowOff>149678</xdr:rowOff>
    </xdr:from>
    <xdr:to>
      <xdr:col>15</xdr:col>
      <xdr:colOff>255813</xdr:colOff>
      <xdr:row>47</xdr:row>
      <xdr:rowOff>106135</xdr:rowOff>
    </xdr:to>
    <xdr:sp macro="" textlink="">
      <xdr:nvSpPr>
        <xdr:cNvPr id="209" name="Rectangle: Rounded Corners 208">
          <a:extLst>
            <a:ext uri="{FF2B5EF4-FFF2-40B4-BE49-F238E27FC236}">
              <a16:creationId xmlns:a16="http://schemas.microsoft.com/office/drawing/2014/main" id="{72A425D1-431E-47C6-8DA4-03A18CFC19CC}"/>
            </a:ext>
          </a:extLst>
        </xdr:cNvPr>
        <xdr:cNvSpPr/>
      </xdr:nvSpPr>
      <xdr:spPr>
        <a:xfrm>
          <a:off x="8550727" y="8531678"/>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24494</xdr:colOff>
      <xdr:row>43</xdr:row>
      <xdr:rowOff>2721</xdr:rowOff>
    </xdr:from>
    <xdr:to>
      <xdr:col>13</xdr:col>
      <xdr:colOff>340179</xdr:colOff>
      <xdr:row>44</xdr:row>
      <xdr:rowOff>84364</xdr:rowOff>
    </xdr:to>
    <xdr:sp macro="" textlink="">
      <xdr:nvSpPr>
        <xdr:cNvPr id="210" name="Oval 209">
          <a:extLst>
            <a:ext uri="{FF2B5EF4-FFF2-40B4-BE49-F238E27FC236}">
              <a16:creationId xmlns:a16="http://schemas.microsoft.com/office/drawing/2014/main" id="{811751D8-AFF5-4123-B187-7015EEAFC4B7}"/>
            </a:ext>
          </a:extLst>
        </xdr:cNvPr>
        <xdr:cNvSpPr/>
      </xdr:nvSpPr>
      <xdr:spPr>
        <a:xfrm>
          <a:off x="7949294" y="7051221"/>
          <a:ext cx="315685" cy="2721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261258</xdr:colOff>
      <xdr:row>43</xdr:row>
      <xdr:rowOff>138793</xdr:rowOff>
    </xdr:from>
    <xdr:to>
      <xdr:col>13</xdr:col>
      <xdr:colOff>24494</xdr:colOff>
      <xdr:row>43</xdr:row>
      <xdr:rowOff>141515</xdr:rowOff>
    </xdr:to>
    <xdr:cxnSp macro="">
      <xdr:nvCxnSpPr>
        <xdr:cNvPr id="211" name="Connector: Elbow 42">
          <a:extLst>
            <a:ext uri="{FF2B5EF4-FFF2-40B4-BE49-F238E27FC236}">
              <a16:creationId xmlns:a16="http://schemas.microsoft.com/office/drawing/2014/main" id="{E56CF272-5999-47E9-A09F-0AEC3BBD7C56}"/>
            </a:ext>
          </a:extLst>
        </xdr:cNvPr>
        <xdr:cNvCxnSpPr>
          <a:cxnSpLocks/>
          <a:stCxn id="13" idx="3"/>
          <a:endCxn id="210" idx="2"/>
        </xdr:cNvCxnSpPr>
      </xdr:nvCxnSpPr>
      <xdr:spPr>
        <a:xfrm flipV="1">
          <a:off x="7576458" y="7187293"/>
          <a:ext cx="372836" cy="27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182338</xdr:colOff>
      <xdr:row>37</xdr:row>
      <xdr:rowOff>182336</xdr:rowOff>
    </xdr:from>
    <xdr:to>
      <xdr:col>14</xdr:col>
      <xdr:colOff>21772</xdr:colOff>
      <xdr:row>43</xdr:row>
      <xdr:rowOff>2721</xdr:rowOff>
    </xdr:to>
    <xdr:cxnSp macro="">
      <xdr:nvCxnSpPr>
        <xdr:cNvPr id="214" name="Connector: Elbow 213">
          <a:extLst>
            <a:ext uri="{FF2B5EF4-FFF2-40B4-BE49-F238E27FC236}">
              <a16:creationId xmlns:a16="http://schemas.microsoft.com/office/drawing/2014/main" id="{1CF7C177-3F8C-4AE0-A398-E99381DC464A}"/>
            </a:ext>
          </a:extLst>
        </xdr:cNvPr>
        <xdr:cNvCxnSpPr>
          <a:stCxn id="210" idx="0"/>
          <a:endCxn id="208" idx="1"/>
        </xdr:cNvCxnSpPr>
      </xdr:nvCxnSpPr>
      <xdr:spPr>
        <a:xfrm rot="5400000" flipH="1" flipV="1">
          <a:off x="7849962" y="6345012"/>
          <a:ext cx="963385" cy="44903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182338</xdr:colOff>
      <xdr:row>44</xdr:row>
      <xdr:rowOff>84363</xdr:rowOff>
    </xdr:from>
    <xdr:to>
      <xdr:col>14</xdr:col>
      <xdr:colOff>16328</xdr:colOff>
      <xdr:row>46</xdr:row>
      <xdr:rowOff>32656</xdr:rowOff>
    </xdr:to>
    <xdr:cxnSp macro="">
      <xdr:nvCxnSpPr>
        <xdr:cNvPr id="217" name="Connector: Elbow 216">
          <a:extLst>
            <a:ext uri="{FF2B5EF4-FFF2-40B4-BE49-F238E27FC236}">
              <a16:creationId xmlns:a16="http://schemas.microsoft.com/office/drawing/2014/main" id="{92B4B54F-BC49-4F78-BAE8-6737C4E48AA5}"/>
            </a:ext>
          </a:extLst>
        </xdr:cNvPr>
        <xdr:cNvCxnSpPr>
          <a:stCxn id="210" idx="4"/>
          <a:endCxn id="209" idx="1"/>
        </xdr:cNvCxnSpPr>
      </xdr:nvCxnSpPr>
      <xdr:spPr>
        <a:xfrm rot="16200000" flipH="1">
          <a:off x="8164286" y="8409215"/>
          <a:ext cx="329293" cy="44359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5442</xdr:colOff>
      <xdr:row>51</xdr:row>
      <xdr:rowOff>29935</xdr:rowOff>
    </xdr:from>
    <xdr:to>
      <xdr:col>15</xdr:col>
      <xdr:colOff>244928</xdr:colOff>
      <xdr:row>53</xdr:row>
      <xdr:rowOff>187778</xdr:rowOff>
    </xdr:to>
    <xdr:sp macro="" textlink="">
      <xdr:nvSpPr>
        <xdr:cNvPr id="220" name="Rectangle: Rounded Corners 219">
          <a:extLst>
            <a:ext uri="{FF2B5EF4-FFF2-40B4-BE49-F238E27FC236}">
              <a16:creationId xmlns:a16="http://schemas.microsoft.com/office/drawing/2014/main" id="{987C28A5-F8A7-4935-9265-0D0E190F8968}"/>
            </a:ext>
          </a:extLst>
        </xdr:cNvPr>
        <xdr:cNvSpPr/>
      </xdr:nvSpPr>
      <xdr:spPr>
        <a:xfrm>
          <a:off x="8539842" y="8602435"/>
          <a:ext cx="849086" cy="53884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10886</xdr:colOff>
      <xdr:row>58</xdr:row>
      <xdr:rowOff>163285</xdr:rowOff>
    </xdr:from>
    <xdr:to>
      <xdr:col>15</xdr:col>
      <xdr:colOff>250372</xdr:colOff>
      <xdr:row>61</xdr:row>
      <xdr:rowOff>119742</xdr:rowOff>
    </xdr:to>
    <xdr:sp macro="" textlink="">
      <xdr:nvSpPr>
        <xdr:cNvPr id="221" name="Rectangle: Rounded Corners 220">
          <a:extLst>
            <a:ext uri="{FF2B5EF4-FFF2-40B4-BE49-F238E27FC236}">
              <a16:creationId xmlns:a16="http://schemas.microsoft.com/office/drawing/2014/main" id="{DE011630-5E0B-4C37-872A-7C25A5AB1C18}"/>
            </a:ext>
          </a:extLst>
        </xdr:cNvPr>
        <xdr:cNvSpPr/>
      </xdr:nvSpPr>
      <xdr:spPr>
        <a:xfrm>
          <a:off x="8545286" y="10069285"/>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97972</xdr:colOff>
      <xdr:row>55</xdr:row>
      <xdr:rowOff>97971</xdr:rowOff>
    </xdr:from>
    <xdr:to>
      <xdr:col>13</xdr:col>
      <xdr:colOff>413657</xdr:colOff>
      <xdr:row>56</xdr:row>
      <xdr:rowOff>174171</xdr:rowOff>
    </xdr:to>
    <xdr:sp macro="" textlink="">
      <xdr:nvSpPr>
        <xdr:cNvPr id="222" name="Oval 221">
          <a:extLst>
            <a:ext uri="{FF2B5EF4-FFF2-40B4-BE49-F238E27FC236}">
              <a16:creationId xmlns:a16="http://schemas.microsoft.com/office/drawing/2014/main" id="{1AB640B6-3F4D-4853-9A20-81F6715FE1A5}"/>
            </a:ext>
          </a:extLst>
        </xdr:cNvPr>
        <xdr:cNvSpPr/>
      </xdr:nvSpPr>
      <xdr:spPr>
        <a:xfrm>
          <a:off x="8022772" y="7500257"/>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255814</xdr:colOff>
      <xdr:row>56</xdr:row>
      <xdr:rowOff>35378</xdr:rowOff>
    </xdr:from>
    <xdr:to>
      <xdr:col>13</xdr:col>
      <xdr:colOff>97972</xdr:colOff>
      <xdr:row>56</xdr:row>
      <xdr:rowOff>40821</xdr:rowOff>
    </xdr:to>
    <xdr:cxnSp macro="">
      <xdr:nvCxnSpPr>
        <xdr:cNvPr id="223" name="Connector: Elbow 42">
          <a:extLst>
            <a:ext uri="{FF2B5EF4-FFF2-40B4-BE49-F238E27FC236}">
              <a16:creationId xmlns:a16="http://schemas.microsoft.com/office/drawing/2014/main" id="{69DA4BBF-A292-4260-9889-8E611BBD1092}"/>
            </a:ext>
          </a:extLst>
        </xdr:cNvPr>
        <xdr:cNvCxnSpPr>
          <a:cxnSpLocks/>
          <a:stCxn id="16" idx="3"/>
          <a:endCxn id="222" idx="2"/>
        </xdr:cNvCxnSpPr>
      </xdr:nvCxnSpPr>
      <xdr:spPr>
        <a:xfrm>
          <a:off x="7571014" y="9560378"/>
          <a:ext cx="451758" cy="544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255814</xdr:colOff>
      <xdr:row>52</xdr:row>
      <xdr:rowOff>105048</xdr:rowOff>
    </xdr:from>
    <xdr:to>
      <xdr:col>14</xdr:col>
      <xdr:colOff>5441</xdr:colOff>
      <xdr:row>55</xdr:row>
      <xdr:rowOff>97972</xdr:rowOff>
    </xdr:to>
    <xdr:cxnSp macro="">
      <xdr:nvCxnSpPr>
        <xdr:cNvPr id="227" name="Connector: Elbow 226">
          <a:extLst>
            <a:ext uri="{FF2B5EF4-FFF2-40B4-BE49-F238E27FC236}">
              <a16:creationId xmlns:a16="http://schemas.microsoft.com/office/drawing/2014/main" id="{CFEA5340-8753-4ED5-B61E-87429FCE85C4}"/>
            </a:ext>
          </a:extLst>
        </xdr:cNvPr>
        <xdr:cNvCxnSpPr>
          <a:stCxn id="222" idx="0"/>
          <a:endCxn id="220" idx="1"/>
        </xdr:cNvCxnSpPr>
      </xdr:nvCxnSpPr>
      <xdr:spPr>
        <a:xfrm rot="5400000" flipH="1" flipV="1">
          <a:off x="8078016" y="8970646"/>
          <a:ext cx="564424" cy="35922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255815</xdr:colOff>
      <xdr:row>56</xdr:row>
      <xdr:rowOff>174170</xdr:rowOff>
    </xdr:from>
    <xdr:to>
      <xdr:col>14</xdr:col>
      <xdr:colOff>10886</xdr:colOff>
      <xdr:row>60</xdr:row>
      <xdr:rowOff>46263</xdr:rowOff>
    </xdr:to>
    <xdr:cxnSp macro="">
      <xdr:nvCxnSpPr>
        <xdr:cNvPr id="230" name="Connector: Elbow 229">
          <a:extLst>
            <a:ext uri="{FF2B5EF4-FFF2-40B4-BE49-F238E27FC236}">
              <a16:creationId xmlns:a16="http://schemas.microsoft.com/office/drawing/2014/main" id="{B32057F0-5DB5-4736-B872-C52ED70FD52B}"/>
            </a:ext>
          </a:extLst>
        </xdr:cNvPr>
        <xdr:cNvCxnSpPr>
          <a:stCxn id="222" idx="4"/>
          <a:endCxn id="221" idx="1"/>
        </xdr:cNvCxnSpPr>
      </xdr:nvCxnSpPr>
      <xdr:spPr>
        <a:xfrm rot="16200000" flipH="1">
          <a:off x="8045904" y="9833881"/>
          <a:ext cx="634093" cy="36467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568778</xdr:colOff>
      <xdr:row>63</xdr:row>
      <xdr:rowOff>166007</xdr:rowOff>
    </xdr:from>
    <xdr:to>
      <xdr:col>15</xdr:col>
      <xdr:colOff>198664</xdr:colOff>
      <xdr:row>66</xdr:row>
      <xdr:rowOff>117022</xdr:rowOff>
    </xdr:to>
    <xdr:sp macro="" textlink="">
      <xdr:nvSpPr>
        <xdr:cNvPr id="233" name="Rectangle: Rounded Corners 232">
          <a:extLst>
            <a:ext uri="{FF2B5EF4-FFF2-40B4-BE49-F238E27FC236}">
              <a16:creationId xmlns:a16="http://schemas.microsoft.com/office/drawing/2014/main" id="{41828BCD-C13D-40BC-BD13-3D0D6C6A057A}"/>
            </a:ext>
          </a:extLst>
        </xdr:cNvPr>
        <xdr:cNvSpPr/>
      </xdr:nvSpPr>
      <xdr:spPr>
        <a:xfrm>
          <a:off x="8493578" y="11024507"/>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13606</xdr:colOff>
      <xdr:row>71</xdr:row>
      <xdr:rowOff>97970</xdr:rowOff>
    </xdr:from>
    <xdr:to>
      <xdr:col>15</xdr:col>
      <xdr:colOff>253092</xdr:colOff>
      <xdr:row>74</xdr:row>
      <xdr:rowOff>54428</xdr:rowOff>
    </xdr:to>
    <xdr:sp macro="" textlink="">
      <xdr:nvSpPr>
        <xdr:cNvPr id="234" name="Rectangle: Rounded Corners 233">
          <a:extLst>
            <a:ext uri="{FF2B5EF4-FFF2-40B4-BE49-F238E27FC236}">
              <a16:creationId xmlns:a16="http://schemas.microsoft.com/office/drawing/2014/main" id="{1364D24F-F3C2-47CE-843F-C0AF086285CA}"/>
            </a:ext>
          </a:extLst>
        </xdr:cNvPr>
        <xdr:cNvSpPr/>
      </xdr:nvSpPr>
      <xdr:spPr>
        <a:xfrm>
          <a:off x="8548006" y="13623470"/>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12</xdr:col>
      <xdr:colOff>576944</xdr:colOff>
      <xdr:row>67</xdr:row>
      <xdr:rowOff>174172</xdr:rowOff>
    </xdr:from>
    <xdr:to>
      <xdr:col>13</xdr:col>
      <xdr:colOff>283029</xdr:colOff>
      <xdr:row>69</xdr:row>
      <xdr:rowOff>65314</xdr:rowOff>
    </xdr:to>
    <xdr:sp macro="" textlink="">
      <xdr:nvSpPr>
        <xdr:cNvPr id="235" name="Oval 234">
          <a:extLst>
            <a:ext uri="{FF2B5EF4-FFF2-40B4-BE49-F238E27FC236}">
              <a16:creationId xmlns:a16="http://schemas.microsoft.com/office/drawing/2014/main" id="{300C8AAA-CD9A-4711-8D6D-736493F72A40}"/>
            </a:ext>
          </a:extLst>
        </xdr:cNvPr>
        <xdr:cNvSpPr/>
      </xdr:nvSpPr>
      <xdr:spPr>
        <a:xfrm>
          <a:off x="7892144" y="9797143"/>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225881</xdr:colOff>
      <xdr:row>68</xdr:row>
      <xdr:rowOff>100695</xdr:rowOff>
    </xdr:from>
    <xdr:to>
      <xdr:col>12</xdr:col>
      <xdr:colOff>576944</xdr:colOff>
      <xdr:row>68</xdr:row>
      <xdr:rowOff>119743</xdr:rowOff>
    </xdr:to>
    <xdr:cxnSp macro="">
      <xdr:nvCxnSpPr>
        <xdr:cNvPr id="236" name="Connector: Elbow 42">
          <a:extLst>
            <a:ext uri="{FF2B5EF4-FFF2-40B4-BE49-F238E27FC236}">
              <a16:creationId xmlns:a16="http://schemas.microsoft.com/office/drawing/2014/main" id="{28F569C3-6D5E-4667-AF4B-95501D36905B}"/>
            </a:ext>
          </a:extLst>
        </xdr:cNvPr>
        <xdr:cNvCxnSpPr>
          <a:cxnSpLocks/>
          <a:stCxn id="15" idx="3"/>
          <a:endCxn id="235" idx="2"/>
        </xdr:cNvCxnSpPr>
      </xdr:nvCxnSpPr>
      <xdr:spPr>
        <a:xfrm>
          <a:off x="7541081" y="11911695"/>
          <a:ext cx="351063" cy="1904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125187</xdr:colOff>
      <xdr:row>65</xdr:row>
      <xdr:rowOff>46266</xdr:rowOff>
    </xdr:from>
    <xdr:to>
      <xdr:col>13</xdr:col>
      <xdr:colOff>568778</xdr:colOff>
      <xdr:row>67</xdr:row>
      <xdr:rowOff>174173</xdr:rowOff>
    </xdr:to>
    <xdr:cxnSp macro="">
      <xdr:nvCxnSpPr>
        <xdr:cNvPr id="240" name="Connector: Elbow 239">
          <a:extLst>
            <a:ext uri="{FF2B5EF4-FFF2-40B4-BE49-F238E27FC236}">
              <a16:creationId xmlns:a16="http://schemas.microsoft.com/office/drawing/2014/main" id="{7E77945B-A5EE-42D7-B3A9-7D01616AFFA1}"/>
            </a:ext>
          </a:extLst>
        </xdr:cNvPr>
        <xdr:cNvCxnSpPr>
          <a:stCxn id="235" idx="0"/>
          <a:endCxn id="233" idx="1"/>
        </xdr:cNvCxnSpPr>
      </xdr:nvCxnSpPr>
      <xdr:spPr>
        <a:xfrm rot="5400000" flipH="1" flipV="1">
          <a:off x="8017329" y="11318424"/>
          <a:ext cx="508907" cy="44359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125187</xdr:colOff>
      <xdr:row>69</xdr:row>
      <xdr:rowOff>65313</xdr:rowOff>
    </xdr:from>
    <xdr:to>
      <xdr:col>14</xdr:col>
      <xdr:colOff>13606</xdr:colOff>
      <xdr:row>72</xdr:row>
      <xdr:rowOff>171448</xdr:rowOff>
    </xdr:to>
    <xdr:cxnSp macro="">
      <xdr:nvCxnSpPr>
        <xdr:cNvPr id="243" name="Connector: Elbow 242">
          <a:extLst>
            <a:ext uri="{FF2B5EF4-FFF2-40B4-BE49-F238E27FC236}">
              <a16:creationId xmlns:a16="http://schemas.microsoft.com/office/drawing/2014/main" id="{9D5BF29C-15AD-47F0-9DDB-6B8F31E0448F}"/>
            </a:ext>
          </a:extLst>
        </xdr:cNvPr>
        <xdr:cNvCxnSpPr>
          <a:stCxn id="235" idx="4"/>
          <a:endCxn id="234" idx="1"/>
        </xdr:cNvCxnSpPr>
      </xdr:nvCxnSpPr>
      <xdr:spPr>
        <a:xfrm rot="16200000" flipH="1">
          <a:off x="7960179" y="13299621"/>
          <a:ext cx="677635" cy="49801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48984</xdr:colOff>
      <xdr:row>77</xdr:row>
      <xdr:rowOff>46262</xdr:rowOff>
    </xdr:from>
    <xdr:to>
      <xdr:col>15</xdr:col>
      <xdr:colOff>288470</xdr:colOff>
      <xdr:row>80</xdr:row>
      <xdr:rowOff>2720</xdr:rowOff>
    </xdr:to>
    <xdr:sp macro="" textlink="">
      <xdr:nvSpPr>
        <xdr:cNvPr id="246" name="Rectangle: Rounded Corners 245">
          <a:extLst>
            <a:ext uri="{FF2B5EF4-FFF2-40B4-BE49-F238E27FC236}">
              <a16:creationId xmlns:a16="http://schemas.microsoft.com/office/drawing/2014/main" id="{1A1CE8A3-2305-41F2-ACA7-B09EFE0B82F0}"/>
            </a:ext>
          </a:extLst>
        </xdr:cNvPr>
        <xdr:cNvSpPr/>
      </xdr:nvSpPr>
      <xdr:spPr>
        <a:xfrm>
          <a:off x="8583384" y="14714762"/>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Preterm</a:t>
          </a:r>
        </a:p>
      </xdr:txBody>
    </xdr:sp>
    <xdr:clientData/>
  </xdr:twoCellAnchor>
  <xdr:twoCellAnchor>
    <xdr:from>
      <xdr:col>14</xdr:col>
      <xdr:colOff>62592</xdr:colOff>
      <xdr:row>98</xdr:row>
      <xdr:rowOff>130627</xdr:rowOff>
    </xdr:from>
    <xdr:to>
      <xdr:col>15</xdr:col>
      <xdr:colOff>302078</xdr:colOff>
      <xdr:row>101</xdr:row>
      <xdr:rowOff>87084</xdr:rowOff>
    </xdr:to>
    <xdr:sp macro="" textlink="">
      <xdr:nvSpPr>
        <xdr:cNvPr id="252" name="Rectangle: Rounded Corners 251">
          <a:extLst>
            <a:ext uri="{FF2B5EF4-FFF2-40B4-BE49-F238E27FC236}">
              <a16:creationId xmlns:a16="http://schemas.microsoft.com/office/drawing/2014/main" id="{2B578E6C-655E-4F9F-A19B-7653DE7425A2}"/>
            </a:ext>
          </a:extLst>
        </xdr:cNvPr>
        <xdr:cNvSpPr/>
      </xdr:nvSpPr>
      <xdr:spPr>
        <a:xfrm>
          <a:off x="8596992" y="17656627"/>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b="1">
              <a:solidFill>
                <a:sysClr val="windowText" lastClr="000000"/>
              </a:solidFill>
            </a:rPr>
            <a:t>Preterm</a:t>
          </a:r>
        </a:p>
      </xdr:txBody>
    </xdr:sp>
    <xdr:clientData/>
  </xdr:twoCellAnchor>
  <xdr:twoCellAnchor>
    <xdr:from>
      <xdr:col>14</xdr:col>
      <xdr:colOff>76198</xdr:colOff>
      <xdr:row>87</xdr:row>
      <xdr:rowOff>43543</xdr:rowOff>
    </xdr:from>
    <xdr:to>
      <xdr:col>15</xdr:col>
      <xdr:colOff>315684</xdr:colOff>
      <xdr:row>90</xdr:row>
      <xdr:rowOff>0</xdr:rowOff>
    </xdr:to>
    <xdr:sp macro="" textlink="">
      <xdr:nvSpPr>
        <xdr:cNvPr id="254" name="Rectangle: Rounded Corners 253">
          <a:extLst>
            <a:ext uri="{FF2B5EF4-FFF2-40B4-BE49-F238E27FC236}">
              <a16:creationId xmlns:a16="http://schemas.microsoft.com/office/drawing/2014/main" id="{9278F6C8-1264-43FB-B652-70A54284156F}"/>
            </a:ext>
          </a:extLst>
        </xdr:cNvPr>
        <xdr:cNvSpPr/>
      </xdr:nvSpPr>
      <xdr:spPr>
        <a:xfrm>
          <a:off x="8610598" y="16617043"/>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14</xdr:col>
      <xdr:colOff>43542</xdr:colOff>
      <xdr:row>109</xdr:row>
      <xdr:rowOff>163284</xdr:rowOff>
    </xdr:from>
    <xdr:to>
      <xdr:col>15</xdr:col>
      <xdr:colOff>283028</xdr:colOff>
      <xdr:row>112</xdr:row>
      <xdr:rowOff>119741</xdr:rowOff>
    </xdr:to>
    <xdr:sp macro="" textlink="">
      <xdr:nvSpPr>
        <xdr:cNvPr id="255" name="Rectangle: Rounded Corners 254">
          <a:extLst>
            <a:ext uri="{FF2B5EF4-FFF2-40B4-BE49-F238E27FC236}">
              <a16:creationId xmlns:a16="http://schemas.microsoft.com/office/drawing/2014/main" id="{44560A3B-87B5-45E3-BFBC-3587BF90650A}"/>
            </a:ext>
          </a:extLst>
        </xdr:cNvPr>
        <xdr:cNvSpPr/>
      </xdr:nvSpPr>
      <xdr:spPr>
        <a:xfrm>
          <a:off x="8577942" y="17558655"/>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Term</a:t>
          </a:r>
        </a:p>
      </xdr:txBody>
    </xdr:sp>
    <xdr:clientData/>
  </xdr:twoCellAnchor>
  <xdr:twoCellAnchor>
    <xdr:from>
      <xdr:col>13</xdr:col>
      <xdr:colOff>144236</xdr:colOff>
      <xdr:row>81</xdr:row>
      <xdr:rowOff>40822</xdr:rowOff>
    </xdr:from>
    <xdr:to>
      <xdr:col>13</xdr:col>
      <xdr:colOff>459921</xdr:colOff>
      <xdr:row>82</xdr:row>
      <xdr:rowOff>117022</xdr:rowOff>
    </xdr:to>
    <xdr:sp macro="" textlink="">
      <xdr:nvSpPr>
        <xdr:cNvPr id="256" name="Oval 255">
          <a:extLst>
            <a:ext uri="{FF2B5EF4-FFF2-40B4-BE49-F238E27FC236}">
              <a16:creationId xmlns:a16="http://schemas.microsoft.com/office/drawing/2014/main" id="{F6F42AC4-2221-4B7B-9320-294F8CFA0D03}"/>
            </a:ext>
          </a:extLst>
        </xdr:cNvPr>
        <xdr:cNvSpPr/>
      </xdr:nvSpPr>
      <xdr:spPr>
        <a:xfrm>
          <a:off x="8069036" y="15471322"/>
          <a:ext cx="315685" cy="266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13</xdr:col>
      <xdr:colOff>119744</xdr:colOff>
      <xdr:row>103</xdr:row>
      <xdr:rowOff>0</xdr:rowOff>
    </xdr:from>
    <xdr:to>
      <xdr:col>13</xdr:col>
      <xdr:colOff>435429</xdr:colOff>
      <xdr:row>104</xdr:row>
      <xdr:rowOff>76200</xdr:rowOff>
    </xdr:to>
    <xdr:sp macro="" textlink="">
      <xdr:nvSpPr>
        <xdr:cNvPr id="257" name="Oval 256">
          <a:extLst>
            <a:ext uri="{FF2B5EF4-FFF2-40B4-BE49-F238E27FC236}">
              <a16:creationId xmlns:a16="http://schemas.microsoft.com/office/drawing/2014/main" id="{65E9ADF0-782C-4D44-8EB1-28E4008BF0FF}"/>
            </a:ext>
          </a:extLst>
        </xdr:cNvPr>
        <xdr:cNvSpPr/>
      </xdr:nvSpPr>
      <xdr:spPr>
        <a:xfrm>
          <a:off x="8044544" y="16285029"/>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12</xdr:col>
      <xdr:colOff>261257</xdr:colOff>
      <xdr:row>81</xdr:row>
      <xdr:rowOff>166007</xdr:rowOff>
    </xdr:from>
    <xdr:to>
      <xdr:col>13</xdr:col>
      <xdr:colOff>144236</xdr:colOff>
      <xdr:row>81</xdr:row>
      <xdr:rowOff>174172</xdr:rowOff>
    </xdr:to>
    <xdr:cxnSp macro="">
      <xdr:nvCxnSpPr>
        <xdr:cNvPr id="258" name="Connector: Elbow 42">
          <a:extLst>
            <a:ext uri="{FF2B5EF4-FFF2-40B4-BE49-F238E27FC236}">
              <a16:creationId xmlns:a16="http://schemas.microsoft.com/office/drawing/2014/main" id="{3706993F-22F0-4DF8-9216-773CBED8E712}"/>
            </a:ext>
          </a:extLst>
        </xdr:cNvPr>
        <xdr:cNvCxnSpPr>
          <a:cxnSpLocks/>
          <a:stCxn id="37" idx="3"/>
          <a:endCxn id="256" idx="2"/>
        </xdr:cNvCxnSpPr>
      </xdr:nvCxnSpPr>
      <xdr:spPr>
        <a:xfrm>
          <a:off x="7576457" y="15596507"/>
          <a:ext cx="492579" cy="816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400051</xdr:colOff>
      <xdr:row>103</xdr:row>
      <xdr:rowOff>133350</xdr:rowOff>
    </xdr:from>
    <xdr:to>
      <xdr:col>13</xdr:col>
      <xdr:colOff>119744</xdr:colOff>
      <xdr:row>103</xdr:row>
      <xdr:rowOff>136073</xdr:rowOff>
    </xdr:to>
    <xdr:cxnSp macro="">
      <xdr:nvCxnSpPr>
        <xdr:cNvPr id="259" name="Connector: Elbow 42">
          <a:extLst>
            <a:ext uri="{FF2B5EF4-FFF2-40B4-BE49-F238E27FC236}">
              <a16:creationId xmlns:a16="http://schemas.microsoft.com/office/drawing/2014/main" id="{3638858D-A0A4-45F1-8BE0-62A679045647}"/>
            </a:ext>
          </a:extLst>
        </xdr:cNvPr>
        <xdr:cNvCxnSpPr>
          <a:cxnSpLocks/>
          <a:stCxn id="36" idx="3"/>
          <a:endCxn id="257" idx="2"/>
        </xdr:cNvCxnSpPr>
      </xdr:nvCxnSpPr>
      <xdr:spPr>
        <a:xfrm flipV="1">
          <a:off x="7715251" y="18611850"/>
          <a:ext cx="329293" cy="272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302080</xdr:colOff>
      <xdr:row>78</xdr:row>
      <xdr:rowOff>119740</xdr:rowOff>
    </xdr:from>
    <xdr:to>
      <xdr:col>14</xdr:col>
      <xdr:colOff>48985</xdr:colOff>
      <xdr:row>81</xdr:row>
      <xdr:rowOff>40821</xdr:rowOff>
    </xdr:to>
    <xdr:cxnSp macro="">
      <xdr:nvCxnSpPr>
        <xdr:cNvPr id="264" name="Connector: Elbow 263">
          <a:extLst>
            <a:ext uri="{FF2B5EF4-FFF2-40B4-BE49-F238E27FC236}">
              <a16:creationId xmlns:a16="http://schemas.microsoft.com/office/drawing/2014/main" id="{351A8B47-FCFE-463E-A2B8-8215FB571260}"/>
            </a:ext>
          </a:extLst>
        </xdr:cNvPr>
        <xdr:cNvCxnSpPr>
          <a:stCxn id="246" idx="1"/>
          <a:endCxn id="256" idx="0"/>
        </xdr:cNvCxnSpPr>
      </xdr:nvCxnSpPr>
      <xdr:spPr>
        <a:xfrm rot="10800000" flipV="1">
          <a:off x="8226880" y="14978740"/>
          <a:ext cx="356505" cy="49258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277588</xdr:colOff>
      <xdr:row>100</xdr:row>
      <xdr:rowOff>13606</xdr:rowOff>
    </xdr:from>
    <xdr:to>
      <xdr:col>14</xdr:col>
      <xdr:colOff>62593</xdr:colOff>
      <xdr:row>103</xdr:row>
      <xdr:rowOff>0</xdr:rowOff>
    </xdr:to>
    <xdr:cxnSp macro="">
      <xdr:nvCxnSpPr>
        <xdr:cNvPr id="267" name="Connector: Elbow 266">
          <a:extLst>
            <a:ext uri="{FF2B5EF4-FFF2-40B4-BE49-F238E27FC236}">
              <a16:creationId xmlns:a16="http://schemas.microsoft.com/office/drawing/2014/main" id="{9EB8DAC0-BBDF-47A9-AA45-933A19A18595}"/>
            </a:ext>
          </a:extLst>
        </xdr:cNvPr>
        <xdr:cNvCxnSpPr>
          <a:stCxn id="252" idx="1"/>
          <a:endCxn id="257" idx="0"/>
        </xdr:cNvCxnSpPr>
      </xdr:nvCxnSpPr>
      <xdr:spPr>
        <a:xfrm rot="10800000" flipV="1">
          <a:off x="8202388" y="17920606"/>
          <a:ext cx="394605" cy="55789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277588</xdr:colOff>
      <xdr:row>104</xdr:row>
      <xdr:rowOff>76200</xdr:rowOff>
    </xdr:from>
    <xdr:to>
      <xdr:col>14</xdr:col>
      <xdr:colOff>43543</xdr:colOff>
      <xdr:row>111</xdr:row>
      <xdr:rowOff>48984</xdr:rowOff>
    </xdr:to>
    <xdr:cxnSp macro="">
      <xdr:nvCxnSpPr>
        <xdr:cNvPr id="270" name="Connector: Elbow 269">
          <a:extLst>
            <a:ext uri="{FF2B5EF4-FFF2-40B4-BE49-F238E27FC236}">
              <a16:creationId xmlns:a16="http://schemas.microsoft.com/office/drawing/2014/main" id="{303DB102-6988-41F2-95B5-6152E0D2C688}"/>
            </a:ext>
          </a:extLst>
        </xdr:cNvPr>
        <xdr:cNvCxnSpPr>
          <a:stCxn id="255" idx="1"/>
          <a:endCxn id="257" idx="4"/>
        </xdr:cNvCxnSpPr>
      </xdr:nvCxnSpPr>
      <xdr:spPr>
        <a:xfrm rot="10800000">
          <a:off x="8202388" y="16546286"/>
          <a:ext cx="375555" cy="126818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302080</xdr:colOff>
      <xdr:row>82</xdr:row>
      <xdr:rowOff>117022</xdr:rowOff>
    </xdr:from>
    <xdr:to>
      <xdr:col>14</xdr:col>
      <xdr:colOff>76199</xdr:colOff>
      <xdr:row>88</xdr:row>
      <xdr:rowOff>117022</xdr:rowOff>
    </xdr:to>
    <xdr:cxnSp macro="">
      <xdr:nvCxnSpPr>
        <xdr:cNvPr id="273" name="Connector: Elbow 272">
          <a:extLst>
            <a:ext uri="{FF2B5EF4-FFF2-40B4-BE49-F238E27FC236}">
              <a16:creationId xmlns:a16="http://schemas.microsoft.com/office/drawing/2014/main" id="{D3481714-5BA7-4ABE-9C6E-1552C3BF6474}"/>
            </a:ext>
          </a:extLst>
        </xdr:cNvPr>
        <xdr:cNvCxnSpPr>
          <a:stCxn id="254" idx="1"/>
          <a:endCxn id="256" idx="4"/>
        </xdr:cNvCxnSpPr>
      </xdr:nvCxnSpPr>
      <xdr:spPr>
        <a:xfrm rot="10800000">
          <a:off x="8226880" y="15738022"/>
          <a:ext cx="383719" cy="11430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487136</xdr:colOff>
      <xdr:row>31</xdr:row>
      <xdr:rowOff>8712</xdr:rowOff>
    </xdr:from>
    <xdr:to>
      <xdr:col>16</xdr:col>
      <xdr:colOff>84365</xdr:colOff>
      <xdr:row>32</xdr:row>
      <xdr:rowOff>70760</xdr:rowOff>
    </xdr:to>
    <xdr:sp macro="" textlink="">
      <xdr:nvSpPr>
        <xdr:cNvPr id="350" name="Isosceles Triangle 349">
          <a:extLst>
            <a:ext uri="{FF2B5EF4-FFF2-40B4-BE49-F238E27FC236}">
              <a16:creationId xmlns:a16="http://schemas.microsoft.com/office/drawing/2014/main" id="{072348B1-EB3E-48B4-9F36-53DC081248F7}"/>
            </a:ext>
          </a:extLst>
        </xdr:cNvPr>
        <xdr:cNvSpPr/>
      </xdr:nvSpPr>
      <xdr:spPr>
        <a:xfrm rot="5400000">
          <a:off x="9608277" y="4794071"/>
          <a:ext cx="25254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149679</xdr:colOff>
      <xdr:row>31</xdr:row>
      <xdr:rowOff>127908</xdr:rowOff>
    </xdr:from>
    <xdr:to>
      <xdr:col>15</xdr:col>
      <xdr:colOff>487137</xdr:colOff>
      <xdr:row>31</xdr:row>
      <xdr:rowOff>134986</xdr:rowOff>
    </xdr:to>
    <xdr:cxnSp macro="">
      <xdr:nvCxnSpPr>
        <xdr:cNvPr id="352" name="Connector: Elbow 351">
          <a:extLst>
            <a:ext uri="{FF2B5EF4-FFF2-40B4-BE49-F238E27FC236}">
              <a16:creationId xmlns:a16="http://schemas.microsoft.com/office/drawing/2014/main" id="{7FD5B8E0-CE75-4A4D-932E-A48923B324C2}"/>
            </a:ext>
          </a:extLst>
        </xdr:cNvPr>
        <xdr:cNvCxnSpPr>
          <a:stCxn id="60" idx="3"/>
          <a:endCxn id="350" idx="3"/>
        </xdr:cNvCxnSpPr>
      </xdr:nvCxnSpPr>
      <xdr:spPr>
        <a:xfrm>
          <a:off x="9293679" y="4890408"/>
          <a:ext cx="337458" cy="707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484503</xdr:colOff>
      <xdr:row>45</xdr:row>
      <xdr:rowOff>99553</xdr:rowOff>
    </xdr:from>
    <xdr:to>
      <xdr:col>16</xdr:col>
      <xdr:colOff>81732</xdr:colOff>
      <xdr:row>46</xdr:row>
      <xdr:rowOff>153980</xdr:rowOff>
    </xdr:to>
    <xdr:sp macro="" textlink="">
      <xdr:nvSpPr>
        <xdr:cNvPr id="356" name="Isosceles Triangle 355">
          <a:extLst>
            <a:ext uri="{FF2B5EF4-FFF2-40B4-BE49-F238E27FC236}">
              <a16:creationId xmlns:a16="http://schemas.microsoft.com/office/drawing/2014/main" id="{88D0E559-1422-47CF-B9F6-DE3DD0605FD4}"/>
            </a:ext>
          </a:extLst>
        </xdr:cNvPr>
        <xdr:cNvSpPr/>
      </xdr:nvSpPr>
      <xdr:spPr>
        <a:xfrm rot="5400000">
          <a:off x="9688727" y="8409039"/>
          <a:ext cx="238782" cy="211745"/>
        </a:xfrm>
        <a:prstGeom prst="triangle">
          <a:avLst/>
        </a:prstGeom>
        <a:solidFill>
          <a:srgbClr val="4472C4"/>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Z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255813</xdr:colOff>
      <xdr:row>46</xdr:row>
      <xdr:rowOff>34589</xdr:rowOff>
    </xdr:from>
    <xdr:to>
      <xdr:col>15</xdr:col>
      <xdr:colOff>484504</xdr:colOff>
      <xdr:row>46</xdr:row>
      <xdr:rowOff>35729</xdr:rowOff>
    </xdr:to>
    <xdr:cxnSp macro="">
      <xdr:nvCxnSpPr>
        <xdr:cNvPr id="357" name="Connector: Elbow 351">
          <a:extLst>
            <a:ext uri="{FF2B5EF4-FFF2-40B4-BE49-F238E27FC236}">
              <a16:creationId xmlns:a16="http://schemas.microsoft.com/office/drawing/2014/main" id="{AC17E49B-1A25-4360-83E0-B4D670396D2B}"/>
            </a:ext>
          </a:extLst>
        </xdr:cNvPr>
        <xdr:cNvCxnSpPr>
          <a:stCxn id="209" idx="3"/>
          <a:endCxn id="356" idx="3"/>
        </xdr:cNvCxnSpPr>
      </xdr:nvCxnSpPr>
      <xdr:spPr>
        <a:xfrm flipV="1">
          <a:off x="9473555" y="8514912"/>
          <a:ext cx="228691" cy="1140"/>
        </a:xfrm>
        <a:prstGeom prst="straightConnector1">
          <a:avLst/>
        </a:prstGeom>
        <a:noFill/>
        <a:ln w="6350" cap="flat" cmpd="sng" algn="ctr">
          <a:solidFill>
            <a:srgbClr val="4472C4"/>
          </a:solidFill>
          <a:prstDash val="solid"/>
          <a:miter lim="800000"/>
        </a:ln>
        <a:effectLst/>
      </xdr:spPr>
    </xdr:cxnSp>
    <xdr:clientData/>
  </xdr:twoCellAnchor>
  <xdr:twoCellAnchor>
    <xdr:from>
      <xdr:col>15</xdr:col>
      <xdr:colOff>538843</xdr:colOff>
      <xdr:row>59</xdr:row>
      <xdr:rowOff>108857</xdr:rowOff>
    </xdr:from>
    <xdr:to>
      <xdr:col>16</xdr:col>
      <xdr:colOff>136072</xdr:colOff>
      <xdr:row>60</xdr:row>
      <xdr:rowOff>163285</xdr:rowOff>
    </xdr:to>
    <xdr:sp macro="" textlink="">
      <xdr:nvSpPr>
        <xdr:cNvPr id="360" name="Isosceles Triangle 359">
          <a:extLst>
            <a:ext uri="{FF2B5EF4-FFF2-40B4-BE49-F238E27FC236}">
              <a16:creationId xmlns:a16="http://schemas.microsoft.com/office/drawing/2014/main" id="{67A04F5B-EAC3-4BEC-8544-C6AEE5DAB2FE}"/>
            </a:ext>
          </a:extLst>
        </xdr:cNvPr>
        <xdr:cNvSpPr/>
      </xdr:nvSpPr>
      <xdr:spPr>
        <a:xfrm rot="5400000">
          <a:off x="9666515" y="8267699"/>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250372</xdr:colOff>
      <xdr:row>60</xdr:row>
      <xdr:rowOff>40821</xdr:rowOff>
    </xdr:from>
    <xdr:to>
      <xdr:col>15</xdr:col>
      <xdr:colOff>538844</xdr:colOff>
      <xdr:row>60</xdr:row>
      <xdr:rowOff>46264</xdr:rowOff>
    </xdr:to>
    <xdr:cxnSp macro="">
      <xdr:nvCxnSpPr>
        <xdr:cNvPr id="361" name="Connector: Elbow 351">
          <a:extLst>
            <a:ext uri="{FF2B5EF4-FFF2-40B4-BE49-F238E27FC236}">
              <a16:creationId xmlns:a16="http://schemas.microsoft.com/office/drawing/2014/main" id="{741245D7-DAEA-4D55-B7BA-5F29CEB46245}"/>
            </a:ext>
          </a:extLst>
        </xdr:cNvPr>
        <xdr:cNvCxnSpPr>
          <a:stCxn id="221" idx="3"/>
          <a:endCxn id="360" idx="3"/>
        </xdr:cNvCxnSpPr>
      </xdr:nvCxnSpPr>
      <xdr:spPr>
        <a:xfrm flipV="1">
          <a:off x="9394372" y="10327821"/>
          <a:ext cx="288472" cy="544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508906</xdr:colOff>
      <xdr:row>72</xdr:row>
      <xdr:rowOff>73479</xdr:rowOff>
    </xdr:from>
    <xdr:to>
      <xdr:col>16</xdr:col>
      <xdr:colOff>106135</xdr:colOff>
      <xdr:row>73</xdr:row>
      <xdr:rowOff>127907</xdr:rowOff>
    </xdr:to>
    <xdr:sp macro="" textlink="">
      <xdr:nvSpPr>
        <xdr:cNvPr id="375" name="Isosceles Triangle 374">
          <a:extLst>
            <a:ext uri="{FF2B5EF4-FFF2-40B4-BE49-F238E27FC236}">
              <a16:creationId xmlns:a16="http://schemas.microsoft.com/office/drawing/2014/main" id="{7BACD836-B3CE-4947-AAC7-89728032BE7C}"/>
            </a:ext>
          </a:extLst>
        </xdr:cNvPr>
        <xdr:cNvSpPr/>
      </xdr:nvSpPr>
      <xdr:spPr>
        <a:xfrm rot="5400000">
          <a:off x="9633857" y="13808528"/>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253092</xdr:colOff>
      <xdr:row>72</xdr:row>
      <xdr:rowOff>171449</xdr:rowOff>
    </xdr:from>
    <xdr:to>
      <xdr:col>15</xdr:col>
      <xdr:colOff>508907</xdr:colOff>
      <xdr:row>73</xdr:row>
      <xdr:rowOff>5443</xdr:rowOff>
    </xdr:to>
    <xdr:cxnSp macro="">
      <xdr:nvCxnSpPr>
        <xdr:cNvPr id="376" name="Connector: Elbow 351">
          <a:extLst>
            <a:ext uri="{FF2B5EF4-FFF2-40B4-BE49-F238E27FC236}">
              <a16:creationId xmlns:a16="http://schemas.microsoft.com/office/drawing/2014/main" id="{397FC12C-ADAD-4964-8466-554FA56BF6EC}"/>
            </a:ext>
          </a:extLst>
        </xdr:cNvPr>
        <xdr:cNvCxnSpPr>
          <a:stCxn id="234" idx="3"/>
          <a:endCxn id="375" idx="3"/>
        </xdr:cNvCxnSpPr>
      </xdr:nvCxnSpPr>
      <xdr:spPr>
        <a:xfrm>
          <a:off x="9397092" y="13887449"/>
          <a:ext cx="255815" cy="2449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593271</xdr:colOff>
      <xdr:row>87</xdr:row>
      <xdr:rowOff>174524</xdr:rowOff>
    </xdr:from>
    <xdr:to>
      <xdr:col>16</xdr:col>
      <xdr:colOff>190500</xdr:colOff>
      <xdr:row>89</xdr:row>
      <xdr:rowOff>44597</xdr:rowOff>
    </xdr:to>
    <xdr:sp macro="" textlink="">
      <xdr:nvSpPr>
        <xdr:cNvPr id="379" name="Isosceles Triangle 378">
          <a:extLst>
            <a:ext uri="{FF2B5EF4-FFF2-40B4-BE49-F238E27FC236}">
              <a16:creationId xmlns:a16="http://schemas.microsoft.com/office/drawing/2014/main" id="{B4E8683A-652F-4FD3-89E0-DA1066B20946}"/>
            </a:ext>
          </a:extLst>
        </xdr:cNvPr>
        <xdr:cNvSpPr/>
      </xdr:nvSpPr>
      <xdr:spPr>
        <a:xfrm rot="5400000">
          <a:off x="9797494" y="16226914"/>
          <a:ext cx="238783" cy="21174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315684</xdr:colOff>
      <xdr:row>88</xdr:row>
      <xdr:rowOff>109561</xdr:rowOff>
    </xdr:from>
    <xdr:to>
      <xdr:col>15</xdr:col>
      <xdr:colOff>593271</xdr:colOff>
      <xdr:row>88</xdr:row>
      <xdr:rowOff>113949</xdr:rowOff>
    </xdr:to>
    <xdr:cxnSp macro="">
      <xdr:nvCxnSpPr>
        <xdr:cNvPr id="380" name="Connector: Elbow 351">
          <a:extLst>
            <a:ext uri="{FF2B5EF4-FFF2-40B4-BE49-F238E27FC236}">
              <a16:creationId xmlns:a16="http://schemas.microsoft.com/office/drawing/2014/main" id="{E4C9249E-C4B6-47D2-8F04-007F78692730}"/>
            </a:ext>
          </a:extLst>
        </xdr:cNvPr>
        <xdr:cNvCxnSpPr>
          <a:stCxn id="254" idx="3"/>
          <a:endCxn id="379" idx="3"/>
        </xdr:cNvCxnSpPr>
      </xdr:nvCxnSpPr>
      <xdr:spPr>
        <a:xfrm flipV="1">
          <a:off x="9533426" y="16332787"/>
          <a:ext cx="277587" cy="438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81643</xdr:colOff>
      <xdr:row>110</xdr:row>
      <xdr:rowOff>108857</xdr:rowOff>
    </xdr:from>
    <xdr:to>
      <xdr:col>16</xdr:col>
      <xdr:colOff>288472</xdr:colOff>
      <xdr:row>111</xdr:row>
      <xdr:rowOff>163285</xdr:rowOff>
    </xdr:to>
    <xdr:sp macro="" textlink="">
      <xdr:nvSpPr>
        <xdr:cNvPr id="383" name="Isosceles Triangle 382">
          <a:extLst>
            <a:ext uri="{FF2B5EF4-FFF2-40B4-BE49-F238E27FC236}">
              <a16:creationId xmlns:a16="http://schemas.microsoft.com/office/drawing/2014/main" id="{177657FA-4085-431F-8982-8424B4F1C937}"/>
            </a:ext>
          </a:extLst>
        </xdr:cNvPr>
        <xdr:cNvSpPr/>
      </xdr:nvSpPr>
      <xdr:spPr>
        <a:xfrm rot="5400000">
          <a:off x="9818915" y="17705614"/>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283028</xdr:colOff>
      <xdr:row>111</xdr:row>
      <xdr:rowOff>43543</xdr:rowOff>
    </xdr:from>
    <xdr:to>
      <xdr:col>16</xdr:col>
      <xdr:colOff>81643</xdr:colOff>
      <xdr:row>111</xdr:row>
      <xdr:rowOff>48984</xdr:rowOff>
    </xdr:to>
    <xdr:cxnSp macro="">
      <xdr:nvCxnSpPr>
        <xdr:cNvPr id="384" name="Connector: Elbow 351">
          <a:extLst>
            <a:ext uri="{FF2B5EF4-FFF2-40B4-BE49-F238E27FC236}">
              <a16:creationId xmlns:a16="http://schemas.microsoft.com/office/drawing/2014/main" id="{A01CC076-19B2-46C7-AF8E-DCF7038B054E}"/>
            </a:ext>
          </a:extLst>
        </xdr:cNvPr>
        <xdr:cNvCxnSpPr>
          <a:stCxn id="255" idx="3"/>
          <a:endCxn id="383" idx="3"/>
        </xdr:cNvCxnSpPr>
      </xdr:nvCxnSpPr>
      <xdr:spPr>
        <a:xfrm flipV="1">
          <a:off x="9427028" y="17809029"/>
          <a:ext cx="408215" cy="544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370114</xdr:colOff>
      <xdr:row>9</xdr:row>
      <xdr:rowOff>19050</xdr:rowOff>
    </xdr:from>
    <xdr:to>
      <xdr:col>19</xdr:col>
      <xdr:colOff>0</xdr:colOff>
      <xdr:row>11</xdr:row>
      <xdr:rowOff>160564</xdr:rowOff>
    </xdr:to>
    <xdr:sp macro="" textlink="">
      <xdr:nvSpPr>
        <xdr:cNvPr id="387" name="Rectangle: Rounded Corners 386">
          <a:extLst>
            <a:ext uri="{FF2B5EF4-FFF2-40B4-BE49-F238E27FC236}">
              <a16:creationId xmlns:a16="http://schemas.microsoft.com/office/drawing/2014/main" id="{5983F843-F266-4930-A98B-2045F13146A0}"/>
            </a:ext>
          </a:extLst>
        </xdr:cNvPr>
        <xdr:cNvSpPr/>
      </xdr:nvSpPr>
      <xdr:spPr>
        <a:xfrm>
          <a:off x="10733314" y="1733550"/>
          <a:ext cx="849086" cy="52251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467032</xdr:colOff>
      <xdr:row>18</xdr:row>
      <xdr:rowOff>26687</xdr:rowOff>
    </xdr:from>
    <xdr:to>
      <xdr:col>19</xdr:col>
      <xdr:colOff>96918</xdr:colOff>
      <xdr:row>20</xdr:row>
      <xdr:rowOff>167500</xdr:rowOff>
    </xdr:to>
    <xdr:sp macro="" textlink="">
      <xdr:nvSpPr>
        <xdr:cNvPr id="388" name="Rectangle: Rounded Corners 387">
          <a:extLst>
            <a:ext uri="{FF2B5EF4-FFF2-40B4-BE49-F238E27FC236}">
              <a16:creationId xmlns:a16="http://schemas.microsoft.com/office/drawing/2014/main" id="{E570C361-B679-44D9-9027-E9A2A32A9235}"/>
            </a:ext>
          </a:extLst>
        </xdr:cNvPr>
        <xdr:cNvSpPr/>
      </xdr:nvSpPr>
      <xdr:spPr>
        <a:xfrm>
          <a:off x="10913806" y="3345074"/>
          <a:ext cx="858918" cy="50952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334736</xdr:colOff>
      <xdr:row>23</xdr:row>
      <xdr:rowOff>185057</xdr:rowOff>
    </xdr:from>
    <xdr:to>
      <xdr:col>18</xdr:col>
      <xdr:colOff>574222</xdr:colOff>
      <xdr:row>26</xdr:row>
      <xdr:rowOff>136072</xdr:rowOff>
    </xdr:to>
    <xdr:sp macro="" textlink="">
      <xdr:nvSpPr>
        <xdr:cNvPr id="389" name="Rectangle: Rounded Corners 388">
          <a:extLst>
            <a:ext uri="{FF2B5EF4-FFF2-40B4-BE49-F238E27FC236}">
              <a16:creationId xmlns:a16="http://schemas.microsoft.com/office/drawing/2014/main" id="{F5BF78E5-26E0-4C0F-A4D0-9AA508D5EF33}"/>
            </a:ext>
          </a:extLst>
        </xdr:cNvPr>
        <xdr:cNvSpPr/>
      </xdr:nvSpPr>
      <xdr:spPr>
        <a:xfrm>
          <a:off x="10697936" y="4566557"/>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32658</xdr:colOff>
      <xdr:row>23</xdr:row>
      <xdr:rowOff>21771</xdr:rowOff>
    </xdr:from>
    <xdr:to>
      <xdr:col>16</xdr:col>
      <xdr:colOff>348343</xdr:colOff>
      <xdr:row>24</xdr:row>
      <xdr:rowOff>97970</xdr:rowOff>
    </xdr:to>
    <xdr:sp macro="" textlink="">
      <xdr:nvSpPr>
        <xdr:cNvPr id="390" name="Oval 389">
          <a:extLst>
            <a:ext uri="{FF2B5EF4-FFF2-40B4-BE49-F238E27FC236}">
              <a16:creationId xmlns:a16="http://schemas.microsoft.com/office/drawing/2014/main" id="{8625EC4C-77BA-4F5E-9849-D65AF8A1FBB3}"/>
            </a:ext>
          </a:extLst>
        </xdr:cNvPr>
        <xdr:cNvSpPr/>
      </xdr:nvSpPr>
      <xdr:spPr>
        <a:xfrm>
          <a:off x="9786258" y="4403271"/>
          <a:ext cx="315685" cy="2666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190500</xdr:colOff>
      <xdr:row>23</xdr:row>
      <xdr:rowOff>155121</xdr:rowOff>
    </xdr:from>
    <xdr:to>
      <xdr:col>16</xdr:col>
      <xdr:colOff>32658</xdr:colOff>
      <xdr:row>23</xdr:row>
      <xdr:rowOff>174172</xdr:rowOff>
    </xdr:to>
    <xdr:cxnSp macro="">
      <xdr:nvCxnSpPr>
        <xdr:cNvPr id="391" name="Connector: Elbow 42">
          <a:extLst>
            <a:ext uri="{FF2B5EF4-FFF2-40B4-BE49-F238E27FC236}">
              <a16:creationId xmlns:a16="http://schemas.microsoft.com/office/drawing/2014/main" id="{37D1953A-6EE8-4E90-BA23-BD8F154E1493}"/>
            </a:ext>
          </a:extLst>
        </xdr:cNvPr>
        <xdr:cNvCxnSpPr>
          <a:cxnSpLocks/>
          <a:stCxn id="59" idx="3"/>
          <a:endCxn id="390" idx="2"/>
        </xdr:cNvCxnSpPr>
      </xdr:nvCxnSpPr>
      <xdr:spPr>
        <a:xfrm flipV="1">
          <a:off x="9334500" y="4536621"/>
          <a:ext cx="451758" cy="1905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10</xdr:row>
      <xdr:rowOff>89808</xdr:rowOff>
    </xdr:from>
    <xdr:to>
      <xdr:col>17</xdr:col>
      <xdr:colOff>370113</xdr:colOff>
      <xdr:row>23</xdr:row>
      <xdr:rowOff>21772</xdr:rowOff>
    </xdr:to>
    <xdr:cxnSp macro="">
      <xdr:nvCxnSpPr>
        <xdr:cNvPr id="394" name="Connector: Elbow 393">
          <a:extLst>
            <a:ext uri="{FF2B5EF4-FFF2-40B4-BE49-F238E27FC236}">
              <a16:creationId xmlns:a16="http://schemas.microsoft.com/office/drawing/2014/main" id="{FD83D120-34CF-48AE-BEAD-CBEDD2156786}"/>
            </a:ext>
          </a:extLst>
        </xdr:cNvPr>
        <xdr:cNvCxnSpPr>
          <a:stCxn id="390" idx="0"/>
          <a:endCxn id="387" idx="1"/>
        </xdr:cNvCxnSpPr>
      </xdr:nvCxnSpPr>
      <xdr:spPr>
        <a:xfrm rot="5400000" flipH="1" flipV="1">
          <a:off x="9134475" y="2804433"/>
          <a:ext cx="2408464" cy="78921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348343</xdr:colOff>
      <xdr:row>19</xdr:row>
      <xdr:rowOff>97094</xdr:rowOff>
    </xdr:from>
    <xdr:to>
      <xdr:col>17</xdr:col>
      <xdr:colOff>467032</xdr:colOff>
      <xdr:row>23</xdr:row>
      <xdr:rowOff>152048</xdr:rowOff>
    </xdr:to>
    <xdr:cxnSp macro="">
      <xdr:nvCxnSpPr>
        <xdr:cNvPr id="397" name="Connector: Elbow 396">
          <a:extLst>
            <a:ext uri="{FF2B5EF4-FFF2-40B4-BE49-F238E27FC236}">
              <a16:creationId xmlns:a16="http://schemas.microsoft.com/office/drawing/2014/main" id="{F5DE8FD3-9270-43F9-9C07-7CCE0B3E721D}"/>
            </a:ext>
          </a:extLst>
        </xdr:cNvPr>
        <xdr:cNvCxnSpPr>
          <a:stCxn id="390" idx="6"/>
          <a:endCxn id="388" idx="1"/>
        </xdr:cNvCxnSpPr>
      </xdr:nvCxnSpPr>
      <xdr:spPr>
        <a:xfrm flipV="1">
          <a:off x="10180601" y="3599836"/>
          <a:ext cx="733205" cy="79237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190501</xdr:colOff>
      <xdr:row>24</xdr:row>
      <xdr:rowOff>97969</xdr:rowOff>
    </xdr:from>
    <xdr:to>
      <xdr:col>17</xdr:col>
      <xdr:colOff>334736</xdr:colOff>
      <xdr:row>25</xdr:row>
      <xdr:rowOff>65314</xdr:rowOff>
    </xdr:to>
    <xdr:cxnSp macro="">
      <xdr:nvCxnSpPr>
        <xdr:cNvPr id="400" name="Connector: Elbow 399">
          <a:extLst>
            <a:ext uri="{FF2B5EF4-FFF2-40B4-BE49-F238E27FC236}">
              <a16:creationId xmlns:a16="http://schemas.microsoft.com/office/drawing/2014/main" id="{8AF9D9B7-751E-4AF5-9331-0C1F93C2A45F}"/>
            </a:ext>
          </a:extLst>
        </xdr:cNvPr>
        <xdr:cNvCxnSpPr>
          <a:stCxn id="390" idx="4"/>
          <a:endCxn id="389" idx="1"/>
        </xdr:cNvCxnSpPr>
      </xdr:nvCxnSpPr>
      <xdr:spPr>
        <a:xfrm rot="16200000" flipH="1">
          <a:off x="10242096" y="4371974"/>
          <a:ext cx="157845" cy="75383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332014</xdr:colOff>
      <xdr:row>28</xdr:row>
      <xdr:rowOff>182335</xdr:rowOff>
    </xdr:from>
    <xdr:to>
      <xdr:col>18</xdr:col>
      <xdr:colOff>571500</xdr:colOff>
      <xdr:row>31</xdr:row>
      <xdr:rowOff>138792</xdr:rowOff>
    </xdr:to>
    <xdr:sp macro="" textlink="">
      <xdr:nvSpPr>
        <xdr:cNvPr id="404" name="Rectangle: Rounded Corners 403">
          <a:extLst>
            <a:ext uri="{FF2B5EF4-FFF2-40B4-BE49-F238E27FC236}">
              <a16:creationId xmlns:a16="http://schemas.microsoft.com/office/drawing/2014/main" id="{D343F2BC-DCAA-479C-853F-FDE19F2D6926}"/>
            </a:ext>
          </a:extLst>
        </xdr:cNvPr>
        <xdr:cNvSpPr/>
      </xdr:nvSpPr>
      <xdr:spPr>
        <a:xfrm>
          <a:off x="10695214" y="5516335"/>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310243</xdr:colOff>
      <xdr:row>34</xdr:row>
      <xdr:rowOff>57149</xdr:rowOff>
    </xdr:from>
    <xdr:to>
      <xdr:col>18</xdr:col>
      <xdr:colOff>549729</xdr:colOff>
      <xdr:row>37</xdr:row>
      <xdr:rowOff>13607</xdr:rowOff>
    </xdr:to>
    <xdr:sp macro="" textlink="">
      <xdr:nvSpPr>
        <xdr:cNvPr id="405" name="Rectangle: Rounded Corners 404">
          <a:extLst>
            <a:ext uri="{FF2B5EF4-FFF2-40B4-BE49-F238E27FC236}">
              <a16:creationId xmlns:a16="http://schemas.microsoft.com/office/drawing/2014/main" id="{473902E6-9352-4346-87F0-B6FB04DCEAC3}"/>
            </a:ext>
          </a:extLst>
        </xdr:cNvPr>
        <xdr:cNvSpPr/>
      </xdr:nvSpPr>
      <xdr:spPr>
        <a:xfrm>
          <a:off x="10673443" y="6534149"/>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367393</xdr:colOff>
      <xdr:row>40</xdr:row>
      <xdr:rowOff>73479</xdr:rowOff>
    </xdr:from>
    <xdr:to>
      <xdr:col>18</xdr:col>
      <xdr:colOff>606879</xdr:colOff>
      <xdr:row>43</xdr:row>
      <xdr:rowOff>29937</xdr:rowOff>
    </xdr:to>
    <xdr:sp macro="" textlink="">
      <xdr:nvSpPr>
        <xdr:cNvPr id="406" name="Rectangle: Rounded Corners 405">
          <a:extLst>
            <a:ext uri="{FF2B5EF4-FFF2-40B4-BE49-F238E27FC236}">
              <a16:creationId xmlns:a16="http://schemas.microsoft.com/office/drawing/2014/main" id="{87C1D9BF-BA44-4507-8CD2-121AFF7E3B9B}"/>
            </a:ext>
          </a:extLst>
        </xdr:cNvPr>
        <xdr:cNvSpPr/>
      </xdr:nvSpPr>
      <xdr:spPr>
        <a:xfrm>
          <a:off x="10730593" y="6550479"/>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65315</xdr:colOff>
      <xdr:row>37</xdr:row>
      <xdr:rowOff>32657</xdr:rowOff>
    </xdr:from>
    <xdr:to>
      <xdr:col>16</xdr:col>
      <xdr:colOff>381000</xdr:colOff>
      <xdr:row>38</xdr:row>
      <xdr:rowOff>108857</xdr:rowOff>
    </xdr:to>
    <xdr:sp macro="" textlink="">
      <xdr:nvSpPr>
        <xdr:cNvPr id="407" name="Oval 406">
          <a:extLst>
            <a:ext uri="{FF2B5EF4-FFF2-40B4-BE49-F238E27FC236}">
              <a16:creationId xmlns:a16="http://schemas.microsoft.com/office/drawing/2014/main" id="{C77595A5-9B2A-4CCC-956E-7BF73057B6AE}"/>
            </a:ext>
          </a:extLst>
        </xdr:cNvPr>
        <xdr:cNvSpPr/>
      </xdr:nvSpPr>
      <xdr:spPr>
        <a:xfrm>
          <a:off x="9818915" y="4103914"/>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261257</xdr:colOff>
      <xdr:row>37</xdr:row>
      <xdr:rowOff>163286</xdr:rowOff>
    </xdr:from>
    <xdr:to>
      <xdr:col>16</xdr:col>
      <xdr:colOff>65315</xdr:colOff>
      <xdr:row>37</xdr:row>
      <xdr:rowOff>179615</xdr:rowOff>
    </xdr:to>
    <xdr:cxnSp macro="">
      <xdr:nvCxnSpPr>
        <xdr:cNvPr id="408" name="Connector: Elbow 42">
          <a:extLst>
            <a:ext uri="{FF2B5EF4-FFF2-40B4-BE49-F238E27FC236}">
              <a16:creationId xmlns:a16="http://schemas.microsoft.com/office/drawing/2014/main" id="{F1F77022-3261-4339-9491-7FC7BFED1DB9}"/>
            </a:ext>
          </a:extLst>
        </xdr:cNvPr>
        <xdr:cNvCxnSpPr>
          <a:cxnSpLocks/>
          <a:stCxn id="208" idx="3"/>
          <a:endCxn id="407" idx="2"/>
        </xdr:cNvCxnSpPr>
      </xdr:nvCxnSpPr>
      <xdr:spPr>
        <a:xfrm flipV="1">
          <a:off x="9405257" y="4234543"/>
          <a:ext cx="413658" cy="1632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223159</xdr:colOff>
      <xdr:row>30</xdr:row>
      <xdr:rowOff>65314</xdr:rowOff>
    </xdr:from>
    <xdr:to>
      <xdr:col>17</xdr:col>
      <xdr:colOff>332015</xdr:colOff>
      <xdr:row>37</xdr:row>
      <xdr:rowOff>32657</xdr:rowOff>
    </xdr:to>
    <xdr:cxnSp macro="">
      <xdr:nvCxnSpPr>
        <xdr:cNvPr id="411" name="Connector: Elbow 410">
          <a:extLst>
            <a:ext uri="{FF2B5EF4-FFF2-40B4-BE49-F238E27FC236}">
              <a16:creationId xmlns:a16="http://schemas.microsoft.com/office/drawing/2014/main" id="{FDD1A73E-2328-4609-9776-CDF09CF2327D}"/>
            </a:ext>
          </a:extLst>
        </xdr:cNvPr>
        <xdr:cNvCxnSpPr>
          <a:stCxn id="407" idx="0"/>
          <a:endCxn id="404" idx="1"/>
        </xdr:cNvCxnSpPr>
      </xdr:nvCxnSpPr>
      <xdr:spPr>
        <a:xfrm rot="5400000" flipH="1" flipV="1">
          <a:off x="9685565" y="6071508"/>
          <a:ext cx="1300843" cy="71845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381000</xdr:colOff>
      <xdr:row>35</xdr:row>
      <xdr:rowOff>130628</xdr:rowOff>
    </xdr:from>
    <xdr:to>
      <xdr:col>17</xdr:col>
      <xdr:colOff>310243</xdr:colOff>
      <xdr:row>37</xdr:row>
      <xdr:rowOff>166007</xdr:rowOff>
    </xdr:to>
    <xdr:cxnSp macro="">
      <xdr:nvCxnSpPr>
        <xdr:cNvPr id="414" name="Connector: Elbow 413">
          <a:extLst>
            <a:ext uri="{FF2B5EF4-FFF2-40B4-BE49-F238E27FC236}">
              <a16:creationId xmlns:a16="http://schemas.microsoft.com/office/drawing/2014/main" id="{C9337AA7-5524-4562-B051-37A6FCB2600B}"/>
            </a:ext>
          </a:extLst>
        </xdr:cNvPr>
        <xdr:cNvCxnSpPr>
          <a:stCxn id="407" idx="6"/>
          <a:endCxn id="405" idx="1"/>
        </xdr:cNvCxnSpPr>
      </xdr:nvCxnSpPr>
      <xdr:spPr>
        <a:xfrm flipV="1">
          <a:off x="10134600" y="6798128"/>
          <a:ext cx="538843" cy="41637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223158</xdr:colOff>
      <xdr:row>38</xdr:row>
      <xdr:rowOff>108856</xdr:rowOff>
    </xdr:from>
    <xdr:to>
      <xdr:col>17</xdr:col>
      <xdr:colOff>367393</xdr:colOff>
      <xdr:row>41</xdr:row>
      <xdr:rowOff>146957</xdr:rowOff>
    </xdr:to>
    <xdr:cxnSp macro="">
      <xdr:nvCxnSpPr>
        <xdr:cNvPr id="417" name="Connector: Elbow 416">
          <a:extLst>
            <a:ext uri="{FF2B5EF4-FFF2-40B4-BE49-F238E27FC236}">
              <a16:creationId xmlns:a16="http://schemas.microsoft.com/office/drawing/2014/main" id="{3BF02E2B-CE81-4ED1-8E27-4794B174FEFF}"/>
            </a:ext>
          </a:extLst>
        </xdr:cNvPr>
        <xdr:cNvCxnSpPr>
          <a:stCxn id="407" idx="4"/>
          <a:endCxn id="406" idx="1"/>
        </xdr:cNvCxnSpPr>
      </xdr:nvCxnSpPr>
      <xdr:spPr>
        <a:xfrm rot="16200000" flipH="1">
          <a:off x="10048875" y="6132739"/>
          <a:ext cx="609601" cy="75383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342899</xdr:colOff>
      <xdr:row>46</xdr:row>
      <xdr:rowOff>43541</xdr:rowOff>
    </xdr:from>
    <xdr:to>
      <xdr:col>18</xdr:col>
      <xdr:colOff>582385</xdr:colOff>
      <xdr:row>49</xdr:row>
      <xdr:rowOff>-1</xdr:rowOff>
    </xdr:to>
    <xdr:sp macro="" textlink="">
      <xdr:nvSpPr>
        <xdr:cNvPr id="420" name="Rectangle: Rounded Corners 419">
          <a:extLst>
            <a:ext uri="{FF2B5EF4-FFF2-40B4-BE49-F238E27FC236}">
              <a16:creationId xmlns:a16="http://schemas.microsoft.com/office/drawing/2014/main" id="{8882868E-46A9-40B5-95EE-93D751E0555D}"/>
            </a:ext>
          </a:extLst>
        </xdr:cNvPr>
        <xdr:cNvSpPr/>
      </xdr:nvSpPr>
      <xdr:spPr>
        <a:xfrm>
          <a:off x="10706099" y="7663541"/>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432707</xdr:colOff>
      <xdr:row>51</xdr:row>
      <xdr:rowOff>38099</xdr:rowOff>
    </xdr:from>
    <xdr:to>
      <xdr:col>19</xdr:col>
      <xdr:colOff>62593</xdr:colOff>
      <xdr:row>53</xdr:row>
      <xdr:rowOff>185056</xdr:rowOff>
    </xdr:to>
    <xdr:sp macro="" textlink="">
      <xdr:nvSpPr>
        <xdr:cNvPr id="421" name="Rectangle: Rounded Corners 420">
          <a:extLst>
            <a:ext uri="{FF2B5EF4-FFF2-40B4-BE49-F238E27FC236}">
              <a16:creationId xmlns:a16="http://schemas.microsoft.com/office/drawing/2014/main" id="{3156327C-E0CD-4E82-929E-3AFB2D82711E}"/>
            </a:ext>
          </a:extLst>
        </xdr:cNvPr>
        <xdr:cNvSpPr/>
      </xdr:nvSpPr>
      <xdr:spPr>
        <a:xfrm>
          <a:off x="10795907" y="8610599"/>
          <a:ext cx="849086" cy="52795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465365</xdr:colOff>
      <xdr:row>55</xdr:row>
      <xdr:rowOff>185058</xdr:rowOff>
    </xdr:from>
    <xdr:to>
      <xdr:col>19</xdr:col>
      <xdr:colOff>95251</xdr:colOff>
      <xdr:row>58</xdr:row>
      <xdr:rowOff>141516</xdr:rowOff>
    </xdr:to>
    <xdr:sp macro="" textlink="">
      <xdr:nvSpPr>
        <xdr:cNvPr id="422" name="Rectangle: Rounded Corners 421">
          <a:extLst>
            <a:ext uri="{FF2B5EF4-FFF2-40B4-BE49-F238E27FC236}">
              <a16:creationId xmlns:a16="http://schemas.microsoft.com/office/drawing/2014/main" id="{436CADEE-F765-4BF7-9F0D-37036A75890D}"/>
            </a:ext>
          </a:extLst>
        </xdr:cNvPr>
        <xdr:cNvSpPr/>
      </xdr:nvSpPr>
      <xdr:spPr>
        <a:xfrm>
          <a:off x="10828565" y="9519558"/>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293915</xdr:colOff>
      <xdr:row>52</xdr:row>
      <xdr:rowOff>54429</xdr:rowOff>
    </xdr:from>
    <xdr:to>
      <xdr:col>17</xdr:col>
      <xdr:colOff>0</xdr:colOff>
      <xdr:row>53</xdr:row>
      <xdr:rowOff>130629</xdr:rowOff>
    </xdr:to>
    <xdr:sp macro="" textlink="">
      <xdr:nvSpPr>
        <xdr:cNvPr id="423" name="Oval 422">
          <a:extLst>
            <a:ext uri="{FF2B5EF4-FFF2-40B4-BE49-F238E27FC236}">
              <a16:creationId xmlns:a16="http://schemas.microsoft.com/office/drawing/2014/main" id="{FE1DBF1A-01F4-49FB-98C1-FEAEF9ACE928}"/>
            </a:ext>
          </a:extLst>
        </xdr:cNvPr>
        <xdr:cNvSpPr/>
      </xdr:nvSpPr>
      <xdr:spPr>
        <a:xfrm>
          <a:off x="10047515" y="6901543"/>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244928</xdr:colOff>
      <xdr:row>52</xdr:row>
      <xdr:rowOff>105047</xdr:rowOff>
    </xdr:from>
    <xdr:to>
      <xdr:col>16</xdr:col>
      <xdr:colOff>293915</xdr:colOff>
      <xdr:row>52</xdr:row>
      <xdr:rowOff>187779</xdr:rowOff>
    </xdr:to>
    <xdr:cxnSp macro="">
      <xdr:nvCxnSpPr>
        <xdr:cNvPr id="424" name="Connector: Elbow 42">
          <a:extLst>
            <a:ext uri="{FF2B5EF4-FFF2-40B4-BE49-F238E27FC236}">
              <a16:creationId xmlns:a16="http://schemas.microsoft.com/office/drawing/2014/main" id="{17AE9118-0DD0-4017-AE78-1372C66A3186}"/>
            </a:ext>
          </a:extLst>
        </xdr:cNvPr>
        <xdr:cNvCxnSpPr>
          <a:cxnSpLocks/>
          <a:stCxn id="220" idx="3"/>
          <a:endCxn id="423" idx="2"/>
        </xdr:cNvCxnSpPr>
      </xdr:nvCxnSpPr>
      <xdr:spPr>
        <a:xfrm>
          <a:off x="9388928" y="8868047"/>
          <a:ext cx="658587" cy="8273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451757</xdr:colOff>
      <xdr:row>53</xdr:row>
      <xdr:rowOff>130629</xdr:rowOff>
    </xdr:from>
    <xdr:to>
      <xdr:col>17</xdr:col>
      <xdr:colOff>465364</xdr:colOff>
      <xdr:row>57</xdr:row>
      <xdr:rowOff>68037</xdr:rowOff>
    </xdr:to>
    <xdr:cxnSp macro="">
      <xdr:nvCxnSpPr>
        <xdr:cNvPr id="427" name="Connector: Elbow 426">
          <a:extLst>
            <a:ext uri="{FF2B5EF4-FFF2-40B4-BE49-F238E27FC236}">
              <a16:creationId xmlns:a16="http://schemas.microsoft.com/office/drawing/2014/main" id="{3D13FAAC-959C-411B-B448-9AD32418B327}"/>
            </a:ext>
          </a:extLst>
        </xdr:cNvPr>
        <xdr:cNvCxnSpPr>
          <a:stCxn id="423" idx="4"/>
          <a:endCxn id="422" idx="1"/>
        </xdr:cNvCxnSpPr>
      </xdr:nvCxnSpPr>
      <xdr:spPr>
        <a:xfrm rot="16200000" flipH="1">
          <a:off x="10167257" y="9122229"/>
          <a:ext cx="699408" cy="62320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451758</xdr:colOff>
      <xdr:row>47</xdr:row>
      <xdr:rowOff>117021</xdr:rowOff>
    </xdr:from>
    <xdr:to>
      <xdr:col>17</xdr:col>
      <xdr:colOff>342899</xdr:colOff>
      <xdr:row>52</xdr:row>
      <xdr:rowOff>54430</xdr:rowOff>
    </xdr:to>
    <xdr:cxnSp macro="">
      <xdr:nvCxnSpPr>
        <xdr:cNvPr id="430" name="Connector: Elbow 429">
          <a:extLst>
            <a:ext uri="{FF2B5EF4-FFF2-40B4-BE49-F238E27FC236}">
              <a16:creationId xmlns:a16="http://schemas.microsoft.com/office/drawing/2014/main" id="{E5537A4A-D335-448D-9BB5-49EE0C85AF8C}"/>
            </a:ext>
          </a:extLst>
        </xdr:cNvPr>
        <xdr:cNvCxnSpPr>
          <a:stCxn id="423" idx="0"/>
          <a:endCxn id="420" idx="1"/>
        </xdr:cNvCxnSpPr>
      </xdr:nvCxnSpPr>
      <xdr:spPr>
        <a:xfrm rot="5400000" flipH="1" flipV="1">
          <a:off x="10010774" y="8122105"/>
          <a:ext cx="889909" cy="50074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52</xdr:row>
      <xdr:rowOff>111578</xdr:rowOff>
    </xdr:from>
    <xdr:to>
      <xdr:col>17</xdr:col>
      <xdr:colOff>432707</xdr:colOff>
      <xdr:row>52</xdr:row>
      <xdr:rowOff>187779</xdr:rowOff>
    </xdr:to>
    <xdr:cxnSp macro="">
      <xdr:nvCxnSpPr>
        <xdr:cNvPr id="433" name="Connector: Elbow 432">
          <a:extLst>
            <a:ext uri="{FF2B5EF4-FFF2-40B4-BE49-F238E27FC236}">
              <a16:creationId xmlns:a16="http://schemas.microsoft.com/office/drawing/2014/main" id="{DED57710-FBE4-4BC3-88AA-23956137CE58}"/>
            </a:ext>
          </a:extLst>
        </xdr:cNvPr>
        <xdr:cNvCxnSpPr>
          <a:stCxn id="423" idx="6"/>
          <a:endCxn id="421" idx="1"/>
        </xdr:cNvCxnSpPr>
      </xdr:nvCxnSpPr>
      <xdr:spPr>
        <a:xfrm flipV="1">
          <a:off x="10363200" y="8874578"/>
          <a:ext cx="432707" cy="76201"/>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293913</xdr:colOff>
      <xdr:row>61</xdr:row>
      <xdr:rowOff>32656</xdr:rowOff>
    </xdr:from>
    <xdr:to>
      <xdr:col>18</xdr:col>
      <xdr:colOff>533399</xdr:colOff>
      <xdr:row>63</xdr:row>
      <xdr:rowOff>174171</xdr:rowOff>
    </xdr:to>
    <xdr:sp macro="" textlink="">
      <xdr:nvSpPr>
        <xdr:cNvPr id="436" name="Rectangle: Rounded Corners 435">
          <a:extLst>
            <a:ext uri="{FF2B5EF4-FFF2-40B4-BE49-F238E27FC236}">
              <a16:creationId xmlns:a16="http://schemas.microsoft.com/office/drawing/2014/main" id="{7ED5C7E0-3DC7-4D99-8432-16D87048944C}"/>
            </a:ext>
          </a:extLst>
        </xdr:cNvPr>
        <xdr:cNvSpPr/>
      </xdr:nvSpPr>
      <xdr:spPr>
        <a:xfrm>
          <a:off x="10657113" y="8545285"/>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250371</xdr:colOff>
      <xdr:row>65</xdr:row>
      <xdr:rowOff>65313</xdr:rowOff>
    </xdr:from>
    <xdr:to>
      <xdr:col>18</xdr:col>
      <xdr:colOff>489857</xdr:colOff>
      <xdr:row>68</xdr:row>
      <xdr:rowOff>21770</xdr:rowOff>
    </xdr:to>
    <xdr:sp macro="" textlink="">
      <xdr:nvSpPr>
        <xdr:cNvPr id="437" name="Rectangle: Rounded Corners 436">
          <a:extLst>
            <a:ext uri="{FF2B5EF4-FFF2-40B4-BE49-F238E27FC236}">
              <a16:creationId xmlns:a16="http://schemas.microsoft.com/office/drawing/2014/main" id="{D65D01EA-2B66-489D-967B-6E43EBEDC69F}"/>
            </a:ext>
          </a:extLst>
        </xdr:cNvPr>
        <xdr:cNvSpPr/>
      </xdr:nvSpPr>
      <xdr:spPr>
        <a:xfrm>
          <a:off x="10613571" y="931817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206830</xdr:colOff>
      <xdr:row>69</xdr:row>
      <xdr:rowOff>108858</xdr:rowOff>
    </xdr:from>
    <xdr:to>
      <xdr:col>18</xdr:col>
      <xdr:colOff>446316</xdr:colOff>
      <xdr:row>72</xdr:row>
      <xdr:rowOff>65316</xdr:rowOff>
    </xdr:to>
    <xdr:sp macro="" textlink="">
      <xdr:nvSpPr>
        <xdr:cNvPr id="438" name="Rectangle: Rounded Corners 437">
          <a:extLst>
            <a:ext uri="{FF2B5EF4-FFF2-40B4-BE49-F238E27FC236}">
              <a16:creationId xmlns:a16="http://schemas.microsoft.com/office/drawing/2014/main" id="{26CBAB58-588C-4673-BAC7-1C72152CB556}"/>
            </a:ext>
          </a:extLst>
        </xdr:cNvPr>
        <xdr:cNvSpPr/>
      </xdr:nvSpPr>
      <xdr:spPr>
        <a:xfrm>
          <a:off x="10570030" y="10101944"/>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293916</xdr:colOff>
      <xdr:row>64</xdr:row>
      <xdr:rowOff>136072</xdr:rowOff>
    </xdr:from>
    <xdr:to>
      <xdr:col>17</xdr:col>
      <xdr:colOff>1</xdr:colOff>
      <xdr:row>66</xdr:row>
      <xdr:rowOff>27215</xdr:rowOff>
    </xdr:to>
    <xdr:sp macro="" textlink="">
      <xdr:nvSpPr>
        <xdr:cNvPr id="439" name="Oval 438">
          <a:extLst>
            <a:ext uri="{FF2B5EF4-FFF2-40B4-BE49-F238E27FC236}">
              <a16:creationId xmlns:a16="http://schemas.microsoft.com/office/drawing/2014/main" id="{875F3B55-1CEC-47E5-9211-4EA54BC1D1AE}"/>
            </a:ext>
          </a:extLst>
        </xdr:cNvPr>
        <xdr:cNvSpPr/>
      </xdr:nvSpPr>
      <xdr:spPr>
        <a:xfrm>
          <a:off x="10047516" y="9203872"/>
          <a:ext cx="315685" cy="2612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198664</xdr:colOff>
      <xdr:row>65</xdr:row>
      <xdr:rowOff>46265</xdr:rowOff>
    </xdr:from>
    <xdr:to>
      <xdr:col>16</xdr:col>
      <xdr:colOff>293916</xdr:colOff>
      <xdr:row>65</xdr:row>
      <xdr:rowOff>81644</xdr:rowOff>
    </xdr:to>
    <xdr:cxnSp macro="">
      <xdr:nvCxnSpPr>
        <xdr:cNvPr id="440" name="Connector: Elbow 42">
          <a:extLst>
            <a:ext uri="{FF2B5EF4-FFF2-40B4-BE49-F238E27FC236}">
              <a16:creationId xmlns:a16="http://schemas.microsoft.com/office/drawing/2014/main" id="{D992C25F-202E-4F04-859B-3E4E43EBD5D1}"/>
            </a:ext>
          </a:extLst>
        </xdr:cNvPr>
        <xdr:cNvCxnSpPr>
          <a:cxnSpLocks/>
          <a:stCxn id="233" idx="3"/>
          <a:endCxn id="439" idx="2"/>
        </xdr:cNvCxnSpPr>
      </xdr:nvCxnSpPr>
      <xdr:spPr>
        <a:xfrm>
          <a:off x="9342664" y="11285765"/>
          <a:ext cx="704852" cy="3537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451758</xdr:colOff>
      <xdr:row>66</xdr:row>
      <xdr:rowOff>27215</xdr:rowOff>
    </xdr:from>
    <xdr:to>
      <xdr:col>17</xdr:col>
      <xdr:colOff>206829</xdr:colOff>
      <xdr:row>70</xdr:row>
      <xdr:rowOff>179616</xdr:rowOff>
    </xdr:to>
    <xdr:cxnSp macro="">
      <xdr:nvCxnSpPr>
        <xdr:cNvPr id="441" name="Connector: Elbow 440">
          <a:extLst>
            <a:ext uri="{FF2B5EF4-FFF2-40B4-BE49-F238E27FC236}">
              <a16:creationId xmlns:a16="http://schemas.microsoft.com/office/drawing/2014/main" id="{7B4037A7-605A-4DE2-9E9C-2C3014F819DB}"/>
            </a:ext>
          </a:extLst>
        </xdr:cNvPr>
        <xdr:cNvCxnSpPr>
          <a:stCxn id="439" idx="4"/>
          <a:endCxn id="438" idx="1"/>
        </xdr:cNvCxnSpPr>
      </xdr:nvCxnSpPr>
      <xdr:spPr>
        <a:xfrm rot="16200000" flipH="1">
          <a:off x="9941379" y="9729108"/>
          <a:ext cx="892630" cy="36467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451759</xdr:colOff>
      <xdr:row>62</xdr:row>
      <xdr:rowOff>103414</xdr:rowOff>
    </xdr:from>
    <xdr:to>
      <xdr:col>17</xdr:col>
      <xdr:colOff>293913</xdr:colOff>
      <xdr:row>64</xdr:row>
      <xdr:rowOff>136072</xdr:rowOff>
    </xdr:to>
    <xdr:cxnSp macro="">
      <xdr:nvCxnSpPr>
        <xdr:cNvPr id="442" name="Connector: Elbow 441">
          <a:extLst>
            <a:ext uri="{FF2B5EF4-FFF2-40B4-BE49-F238E27FC236}">
              <a16:creationId xmlns:a16="http://schemas.microsoft.com/office/drawing/2014/main" id="{89608104-81A0-4740-BA6E-CC02CBA17D61}"/>
            </a:ext>
          </a:extLst>
        </xdr:cNvPr>
        <xdr:cNvCxnSpPr>
          <a:stCxn id="439" idx="0"/>
          <a:endCxn id="436" idx="1"/>
        </xdr:cNvCxnSpPr>
      </xdr:nvCxnSpPr>
      <xdr:spPr>
        <a:xfrm rot="5400000" flipH="1" flipV="1">
          <a:off x="10229850" y="8776609"/>
          <a:ext cx="402772" cy="45175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xdr:colOff>
      <xdr:row>65</xdr:row>
      <xdr:rowOff>81644</xdr:rowOff>
    </xdr:from>
    <xdr:to>
      <xdr:col>17</xdr:col>
      <xdr:colOff>250371</xdr:colOff>
      <xdr:row>66</xdr:row>
      <xdr:rowOff>136071</xdr:rowOff>
    </xdr:to>
    <xdr:cxnSp macro="">
      <xdr:nvCxnSpPr>
        <xdr:cNvPr id="443" name="Connector: Elbow 442">
          <a:extLst>
            <a:ext uri="{FF2B5EF4-FFF2-40B4-BE49-F238E27FC236}">
              <a16:creationId xmlns:a16="http://schemas.microsoft.com/office/drawing/2014/main" id="{CE22A702-19E6-4B1E-83A1-FD5F2662A15C}"/>
            </a:ext>
          </a:extLst>
        </xdr:cNvPr>
        <xdr:cNvCxnSpPr>
          <a:stCxn id="439" idx="6"/>
          <a:endCxn id="437" idx="1"/>
        </xdr:cNvCxnSpPr>
      </xdr:nvCxnSpPr>
      <xdr:spPr>
        <a:xfrm>
          <a:off x="10363201" y="9334501"/>
          <a:ext cx="250370" cy="23948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285749</xdr:colOff>
      <xdr:row>75</xdr:row>
      <xdr:rowOff>114300</xdr:rowOff>
    </xdr:from>
    <xdr:to>
      <xdr:col>18</xdr:col>
      <xdr:colOff>525235</xdr:colOff>
      <xdr:row>78</xdr:row>
      <xdr:rowOff>65315</xdr:rowOff>
    </xdr:to>
    <xdr:sp macro="" textlink="">
      <xdr:nvSpPr>
        <xdr:cNvPr id="462" name="Rectangle: Rounded Corners 461">
          <a:extLst>
            <a:ext uri="{FF2B5EF4-FFF2-40B4-BE49-F238E27FC236}">
              <a16:creationId xmlns:a16="http://schemas.microsoft.com/office/drawing/2014/main" id="{6C4F98B6-22C8-4265-8038-5684E48B4830}"/>
            </a:ext>
          </a:extLst>
        </xdr:cNvPr>
        <xdr:cNvSpPr/>
      </xdr:nvSpPr>
      <xdr:spPr>
        <a:xfrm>
          <a:off x="10648949" y="14401800"/>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451757</xdr:colOff>
      <xdr:row>82</xdr:row>
      <xdr:rowOff>51707</xdr:rowOff>
    </xdr:from>
    <xdr:to>
      <xdr:col>19</xdr:col>
      <xdr:colOff>81643</xdr:colOff>
      <xdr:row>85</xdr:row>
      <xdr:rowOff>2722</xdr:rowOff>
    </xdr:to>
    <xdr:sp macro="" textlink="">
      <xdr:nvSpPr>
        <xdr:cNvPr id="463" name="Rectangle: Rounded Corners 462">
          <a:extLst>
            <a:ext uri="{FF2B5EF4-FFF2-40B4-BE49-F238E27FC236}">
              <a16:creationId xmlns:a16="http://schemas.microsoft.com/office/drawing/2014/main" id="{3CFD3ABB-24C0-4C95-A0D6-A1A74179EDDF}"/>
            </a:ext>
          </a:extLst>
        </xdr:cNvPr>
        <xdr:cNvSpPr/>
      </xdr:nvSpPr>
      <xdr:spPr>
        <a:xfrm>
          <a:off x="10814957" y="15672707"/>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408216</xdr:colOff>
      <xdr:row>88</xdr:row>
      <xdr:rowOff>95252</xdr:rowOff>
    </xdr:from>
    <xdr:to>
      <xdr:col>19</xdr:col>
      <xdr:colOff>38102</xdr:colOff>
      <xdr:row>91</xdr:row>
      <xdr:rowOff>51710</xdr:rowOff>
    </xdr:to>
    <xdr:sp macro="" textlink="">
      <xdr:nvSpPr>
        <xdr:cNvPr id="464" name="Rectangle: Rounded Corners 463">
          <a:extLst>
            <a:ext uri="{FF2B5EF4-FFF2-40B4-BE49-F238E27FC236}">
              <a16:creationId xmlns:a16="http://schemas.microsoft.com/office/drawing/2014/main" id="{780CB1A6-57E9-4E50-B8D0-D817FB738C5B}"/>
            </a:ext>
          </a:extLst>
        </xdr:cNvPr>
        <xdr:cNvSpPr/>
      </xdr:nvSpPr>
      <xdr:spPr>
        <a:xfrm>
          <a:off x="10771416" y="16859252"/>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251603</xdr:colOff>
      <xdr:row>77</xdr:row>
      <xdr:rowOff>166096</xdr:rowOff>
    </xdr:from>
    <xdr:to>
      <xdr:col>16</xdr:col>
      <xdr:colOff>567288</xdr:colOff>
      <xdr:row>79</xdr:row>
      <xdr:rowOff>51797</xdr:rowOff>
    </xdr:to>
    <xdr:sp macro="" textlink="">
      <xdr:nvSpPr>
        <xdr:cNvPr id="465" name="Oval 464">
          <a:extLst>
            <a:ext uri="{FF2B5EF4-FFF2-40B4-BE49-F238E27FC236}">
              <a16:creationId xmlns:a16="http://schemas.microsoft.com/office/drawing/2014/main" id="{C3E5885B-77C3-48A8-9C92-FB291A2F77DF}"/>
            </a:ext>
          </a:extLst>
        </xdr:cNvPr>
        <xdr:cNvSpPr/>
      </xdr:nvSpPr>
      <xdr:spPr>
        <a:xfrm>
          <a:off x="10083861" y="14361419"/>
          <a:ext cx="315685" cy="2544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288470</xdr:colOff>
      <xdr:row>78</xdr:row>
      <xdr:rowOff>108947</xdr:rowOff>
    </xdr:from>
    <xdr:to>
      <xdr:col>16</xdr:col>
      <xdr:colOff>251603</xdr:colOff>
      <xdr:row>78</xdr:row>
      <xdr:rowOff>116669</xdr:rowOff>
    </xdr:to>
    <xdr:cxnSp macro="">
      <xdr:nvCxnSpPr>
        <xdr:cNvPr id="466" name="Connector: Elbow 42">
          <a:extLst>
            <a:ext uri="{FF2B5EF4-FFF2-40B4-BE49-F238E27FC236}">
              <a16:creationId xmlns:a16="http://schemas.microsoft.com/office/drawing/2014/main" id="{F12D329B-5341-49B8-895E-188F22259511}"/>
            </a:ext>
          </a:extLst>
        </xdr:cNvPr>
        <xdr:cNvCxnSpPr>
          <a:cxnSpLocks/>
          <a:stCxn id="246" idx="3"/>
          <a:endCxn id="465" idx="2"/>
        </xdr:cNvCxnSpPr>
      </xdr:nvCxnSpPr>
      <xdr:spPr>
        <a:xfrm flipV="1">
          <a:off x="9506212" y="14488624"/>
          <a:ext cx="577649" cy="772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409446</xdr:colOff>
      <xdr:row>79</xdr:row>
      <xdr:rowOff>51797</xdr:rowOff>
    </xdr:from>
    <xdr:to>
      <xdr:col>17</xdr:col>
      <xdr:colOff>408216</xdr:colOff>
      <xdr:row>89</xdr:row>
      <xdr:rowOff>165658</xdr:rowOff>
    </xdr:to>
    <xdr:cxnSp macro="">
      <xdr:nvCxnSpPr>
        <xdr:cNvPr id="467" name="Connector: Elbow 466">
          <a:extLst>
            <a:ext uri="{FF2B5EF4-FFF2-40B4-BE49-F238E27FC236}">
              <a16:creationId xmlns:a16="http://schemas.microsoft.com/office/drawing/2014/main" id="{3A179944-29A8-4235-AA7E-B5F608369C57}"/>
            </a:ext>
          </a:extLst>
        </xdr:cNvPr>
        <xdr:cNvCxnSpPr>
          <a:stCxn id="465" idx="4"/>
          <a:endCxn id="464" idx="1"/>
        </xdr:cNvCxnSpPr>
      </xdr:nvCxnSpPr>
      <xdr:spPr>
        <a:xfrm rot="16200000" flipH="1">
          <a:off x="9569642" y="15287891"/>
          <a:ext cx="1957410" cy="61328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409445</xdr:colOff>
      <xdr:row>76</xdr:row>
      <xdr:rowOff>181986</xdr:rowOff>
    </xdr:from>
    <xdr:to>
      <xdr:col>17</xdr:col>
      <xdr:colOff>285748</xdr:colOff>
      <xdr:row>77</xdr:row>
      <xdr:rowOff>166097</xdr:rowOff>
    </xdr:to>
    <xdr:cxnSp macro="">
      <xdr:nvCxnSpPr>
        <xdr:cNvPr id="468" name="Connector: Elbow 467">
          <a:extLst>
            <a:ext uri="{FF2B5EF4-FFF2-40B4-BE49-F238E27FC236}">
              <a16:creationId xmlns:a16="http://schemas.microsoft.com/office/drawing/2014/main" id="{FC0E2CF4-4B9D-49B4-867E-1AB0D94F87F4}"/>
            </a:ext>
          </a:extLst>
        </xdr:cNvPr>
        <xdr:cNvCxnSpPr>
          <a:stCxn id="465" idx="0"/>
          <a:endCxn id="462" idx="1"/>
        </xdr:cNvCxnSpPr>
      </xdr:nvCxnSpPr>
      <xdr:spPr>
        <a:xfrm rot="5400000" flipH="1" flipV="1">
          <a:off x="10402880" y="14031777"/>
          <a:ext cx="168466" cy="49081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567288</xdr:colOff>
      <xdr:row>78</xdr:row>
      <xdr:rowOff>108947</xdr:rowOff>
    </xdr:from>
    <xdr:to>
      <xdr:col>17</xdr:col>
      <xdr:colOff>451757</xdr:colOff>
      <xdr:row>83</xdr:row>
      <xdr:rowOff>119392</xdr:rowOff>
    </xdr:to>
    <xdr:cxnSp macro="">
      <xdr:nvCxnSpPr>
        <xdr:cNvPr id="469" name="Connector: Elbow 468">
          <a:extLst>
            <a:ext uri="{FF2B5EF4-FFF2-40B4-BE49-F238E27FC236}">
              <a16:creationId xmlns:a16="http://schemas.microsoft.com/office/drawing/2014/main" id="{52BEAD08-884E-40FB-9188-F3F9BDBE7B66}"/>
            </a:ext>
          </a:extLst>
        </xdr:cNvPr>
        <xdr:cNvCxnSpPr>
          <a:stCxn id="465" idx="6"/>
          <a:endCxn id="463" idx="1"/>
        </xdr:cNvCxnSpPr>
      </xdr:nvCxnSpPr>
      <xdr:spPr>
        <a:xfrm>
          <a:off x="10399546" y="14488624"/>
          <a:ext cx="498985" cy="9322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419099</xdr:colOff>
      <xdr:row>95</xdr:row>
      <xdr:rowOff>152400</xdr:rowOff>
    </xdr:from>
    <xdr:to>
      <xdr:col>19</xdr:col>
      <xdr:colOff>48985</xdr:colOff>
      <xdr:row>98</xdr:row>
      <xdr:rowOff>103415</xdr:rowOff>
    </xdr:to>
    <xdr:sp macro="" textlink="">
      <xdr:nvSpPr>
        <xdr:cNvPr id="475" name="Rectangle: Rounded Corners 474">
          <a:extLst>
            <a:ext uri="{FF2B5EF4-FFF2-40B4-BE49-F238E27FC236}">
              <a16:creationId xmlns:a16="http://schemas.microsoft.com/office/drawing/2014/main" id="{69E4C685-3D98-42E4-AD39-7B367DF75D9A}"/>
            </a:ext>
          </a:extLst>
        </xdr:cNvPr>
        <xdr:cNvSpPr/>
      </xdr:nvSpPr>
      <xdr:spPr>
        <a:xfrm>
          <a:off x="10782299" y="17106900"/>
          <a:ext cx="849086" cy="52251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LBW</a:t>
          </a:r>
        </a:p>
      </xdr:txBody>
    </xdr:sp>
    <xdr:clientData/>
  </xdr:twoCellAnchor>
  <xdr:twoCellAnchor>
    <xdr:from>
      <xdr:col>17</xdr:col>
      <xdr:colOff>375557</xdr:colOff>
      <xdr:row>103</xdr:row>
      <xdr:rowOff>51707</xdr:rowOff>
    </xdr:from>
    <xdr:to>
      <xdr:col>19</xdr:col>
      <xdr:colOff>5443</xdr:colOff>
      <xdr:row>106</xdr:row>
      <xdr:rowOff>2721</xdr:rowOff>
    </xdr:to>
    <xdr:sp macro="" textlink="">
      <xdr:nvSpPr>
        <xdr:cNvPr id="476" name="Rectangle: Rounded Corners 475">
          <a:extLst>
            <a:ext uri="{FF2B5EF4-FFF2-40B4-BE49-F238E27FC236}">
              <a16:creationId xmlns:a16="http://schemas.microsoft.com/office/drawing/2014/main" id="{4B1185C8-45CB-471D-A508-328FB1E7C289}"/>
            </a:ext>
          </a:extLst>
        </xdr:cNvPr>
        <xdr:cNvSpPr/>
      </xdr:nvSpPr>
      <xdr:spPr>
        <a:xfrm>
          <a:off x="10738757" y="19673207"/>
          <a:ext cx="849086" cy="52251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17</xdr:col>
      <xdr:colOff>255816</xdr:colOff>
      <xdr:row>110</xdr:row>
      <xdr:rowOff>2</xdr:rowOff>
    </xdr:from>
    <xdr:to>
      <xdr:col>18</xdr:col>
      <xdr:colOff>495302</xdr:colOff>
      <xdr:row>112</xdr:row>
      <xdr:rowOff>146960</xdr:rowOff>
    </xdr:to>
    <xdr:sp macro="" textlink="">
      <xdr:nvSpPr>
        <xdr:cNvPr id="477" name="Rectangle: Rounded Corners 476">
          <a:extLst>
            <a:ext uri="{FF2B5EF4-FFF2-40B4-BE49-F238E27FC236}">
              <a16:creationId xmlns:a16="http://schemas.microsoft.com/office/drawing/2014/main" id="{3985C9EE-6AA9-4758-981B-370357EB391D}"/>
            </a:ext>
          </a:extLst>
        </xdr:cNvPr>
        <xdr:cNvSpPr/>
      </xdr:nvSpPr>
      <xdr:spPr>
        <a:xfrm>
          <a:off x="10619016" y="20955002"/>
          <a:ext cx="849086" cy="527958"/>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Stillbirth</a:t>
          </a:r>
        </a:p>
      </xdr:txBody>
    </xdr:sp>
    <xdr:clientData/>
  </xdr:twoCellAnchor>
  <xdr:twoCellAnchor>
    <xdr:from>
      <xdr:col>16</xdr:col>
      <xdr:colOff>304802</xdr:colOff>
      <xdr:row>99</xdr:row>
      <xdr:rowOff>41965</xdr:rowOff>
    </xdr:from>
    <xdr:to>
      <xdr:col>17</xdr:col>
      <xdr:colOff>10887</xdr:colOff>
      <xdr:row>100</xdr:row>
      <xdr:rowOff>118165</xdr:rowOff>
    </xdr:to>
    <xdr:sp macro="" textlink="">
      <xdr:nvSpPr>
        <xdr:cNvPr id="478" name="Oval 477">
          <a:extLst>
            <a:ext uri="{FF2B5EF4-FFF2-40B4-BE49-F238E27FC236}">
              <a16:creationId xmlns:a16="http://schemas.microsoft.com/office/drawing/2014/main" id="{D2C5FE04-EFA3-4EE1-9273-F561B622FB5C}"/>
            </a:ext>
          </a:extLst>
        </xdr:cNvPr>
        <xdr:cNvSpPr/>
      </xdr:nvSpPr>
      <xdr:spPr>
        <a:xfrm>
          <a:off x="10137060" y="18293094"/>
          <a:ext cx="320601"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15</xdr:col>
      <xdr:colOff>302078</xdr:colOff>
      <xdr:row>99</xdr:row>
      <xdr:rowOff>172243</xdr:rowOff>
    </xdr:from>
    <xdr:to>
      <xdr:col>16</xdr:col>
      <xdr:colOff>304802</xdr:colOff>
      <xdr:row>100</xdr:row>
      <xdr:rowOff>16678</xdr:rowOff>
    </xdr:to>
    <xdr:cxnSp macro="">
      <xdr:nvCxnSpPr>
        <xdr:cNvPr id="479" name="Connector: Elbow 42">
          <a:extLst>
            <a:ext uri="{FF2B5EF4-FFF2-40B4-BE49-F238E27FC236}">
              <a16:creationId xmlns:a16="http://schemas.microsoft.com/office/drawing/2014/main" id="{73FA16F4-1F28-43AF-9D93-852A6D919EEB}"/>
            </a:ext>
          </a:extLst>
        </xdr:cNvPr>
        <xdr:cNvCxnSpPr>
          <a:cxnSpLocks/>
          <a:stCxn id="252" idx="3"/>
          <a:endCxn id="478" idx="2"/>
        </xdr:cNvCxnSpPr>
      </xdr:nvCxnSpPr>
      <xdr:spPr>
        <a:xfrm flipV="1">
          <a:off x="9519820" y="18423372"/>
          <a:ext cx="617240" cy="2879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465103</xdr:colOff>
      <xdr:row>100</xdr:row>
      <xdr:rowOff>118164</xdr:rowOff>
    </xdr:from>
    <xdr:to>
      <xdr:col>17</xdr:col>
      <xdr:colOff>255816</xdr:colOff>
      <xdr:row>111</xdr:row>
      <xdr:rowOff>73480</xdr:rowOff>
    </xdr:to>
    <xdr:cxnSp macro="">
      <xdr:nvCxnSpPr>
        <xdr:cNvPr id="480" name="Connector: Elbow 479">
          <a:extLst>
            <a:ext uri="{FF2B5EF4-FFF2-40B4-BE49-F238E27FC236}">
              <a16:creationId xmlns:a16="http://schemas.microsoft.com/office/drawing/2014/main" id="{D057DCC6-8B85-4705-98AE-AC0939073E01}"/>
            </a:ext>
          </a:extLst>
        </xdr:cNvPr>
        <xdr:cNvCxnSpPr>
          <a:stCxn id="478" idx="4"/>
          <a:endCxn id="477" idx="1"/>
        </xdr:cNvCxnSpPr>
      </xdr:nvCxnSpPr>
      <xdr:spPr>
        <a:xfrm rot="16200000" flipH="1">
          <a:off x="9508366" y="19342643"/>
          <a:ext cx="1983219" cy="40522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465103</xdr:colOff>
      <xdr:row>97</xdr:row>
      <xdr:rowOff>35731</xdr:rowOff>
    </xdr:from>
    <xdr:to>
      <xdr:col>17</xdr:col>
      <xdr:colOff>419099</xdr:colOff>
      <xdr:row>99</xdr:row>
      <xdr:rowOff>41965</xdr:rowOff>
    </xdr:to>
    <xdr:cxnSp macro="">
      <xdr:nvCxnSpPr>
        <xdr:cNvPr id="481" name="Connector: Elbow 480">
          <a:extLst>
            <a:ext uri="{FF2B5EF4-FFF2-40B4-BE49-F238E27FC236}">
              <a16:creationId xmlns:a16="http://schemas.microsoft.com/office/drawing/2014/main" id="{97AFC9DA-853D-482F-91E2-8FDCF15D9970}"/>
            </a:ext>
          </a:extLst>
        </xdr:cNvPr>
        <xdr:cNvCxnSpPr>
          <a:stCxn id="478" idx="0"/>
          <a:endCxn id="475" idx="1"/>
        </xdr:cNvCxnSpPr>
      </xdr:nvCxnSpPr>
      <xdr:spPr>
        <a:xfrm rot="5400000" flipH="1" flipV="1">
          <a:off x="10394145" y="17821366"/>
          <a:ext cx="374944" cy="56851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10887</xdr:colOff>
      <xdr:row>99</xdr:row>
      <xdr:rowOff>172243</xdr:rowOff>
    </xdr:from>
    <xdr:to>
      <xdr:col>17</xdr:col>
      <xdr:colOff>375557</xdr:colOff>
      <xdr:row>104</xdr:row>
      <xdr:rowOff>119392</xdr:rowOff>
    </xdr:to>
    <xdr:cxnSp macro="">
      <xdr:nvCxnSpPr>
        <xdr:cNvPr id="482" name="Connector: Elbow 481">
          <a:extLst>
            <a:ext uri="{FF2B5EF4-FFF2-40B4-BE49-F238E27FC236}">
              <a16:creationId xmlns:a16="http://schemas.microsoft.com/office/drawing/2014/main" id="{56873B1B-89DA-4B12-AA4E-5C6212BB9807}"/>
            </a:ext>
          </a:extLst>
        </xdr:cNvPr>
        <xdr:cNvCxnSpPr>
          <a:stCxn id="478" idx="6"/>
          <a:endCxn id="476" idx="1"/>
        </xdr:cNvCxnSpPr>
      </xdr:nvCxnSpPr>
      <xdr:spPr>
        <a:xfrm>
          <a:off x="10457661" y="18423372"/>
          <a:ext cx="364670" cy="868923"/>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579665</xdr:colOff>
      <xdr:row>110</xdr:row>
      <xdr:rowOff>114301</xdr:rowOff>
    </xdr:from>
    <xdr:to>
      <xdr:col>20</xdr:col>
      <xdr:colOff>176894</xdr:colOff>
      <xdr:row>111</xdr:row>
      <xdr:rowOff>168729</xdr:rowOff>
    </xdr:to>
    <xdr:sp macro="" textlink="">
      <xdr:nvSpPr>
        <xdr:cNvPr id="484" name="Isosceles Triangle 483">
          <a:extLst>
            <a:ext uri="{FF2B5EF4-FFF2-40B4-BE49-F238E27FC236}">
              <a16:creationId xmlns:a16="http://schemas.microsoft.com/office/drawing/2014/main" id="{46E37853-4EA3-48AB-947D-CCF2A470CB1F}"/>
            </a:ext>
          </a:extLst>
        </xdr:cNvPr>
        <xdr:cNvSpPr/>
      </xdr:nvSpPr>
      <xdr:spPr>
        <a:xfrm rot="5400000">
          <a:off x="12143016" y="21088350"/>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495302</xdr:colOff>
      <xdr:row>111</xdr:row>
      <xdr:rowOff>46265</xdr:rowOff>
    </xdr:from>
    <xdr:to>
      <xdr:col>19</xdr:col>
      <xdr:colOff>579666</xdr:colOff>
      <xdr:row>111</xdr:row>
      <xdr:rowOff>73481</xdr:rowOff>
    </xdr:to>
    <xdr:cxnSp macro="">
      <xdr:nvCxnSpPr>
        <xdr:cNvPr id="485" name="Connector: Elbow 351">
          <a:extLst>
            <a:ext uri="{FF2B5EF4-FFF2-40B4-BE49-F238E27FC236}">
              <a16:creationId xmlns:a16="http://schemas.microsoft.com/office/drawing/2014/main" id="{53875A26-3F5A-404C-8B29-9DE6C094CE4C}"/>
            </a:ext>
          </a:extLst>
        </xdr:cNvPr>
        <xdr:cNvCxnSpPr>
          <a:stCxn id="477" idx="3"/>
          <a:endCxn id="484" idx="3"/>
        </xdr:cNvCxnSpPr>
      </xdr:nvCxnSpPr>
      <xdr:spPr>
        <a:xfrm flipV="1">
          <a:off x="11468102" y="21191765"/>
          <a:ext cx="693964" cy="2721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408215</xdr:colOff>
      <xdr:row>104</xdr:row>
      <xdr:rowOff>3</xdr:rowOff>
    </xdr:from>
    <xdr:to>
      <xdr:col>20</xdr:col>
      <xdr:colOff>5444</xdr:colOff>
      <xdr:row>105</xdr:row>
      <xdr:rowOff>54431</xdr:rowOff>
    </xdr:to>
    <xdr:sp macro="" textlink="">
      <xdr:nvSpPr>
        <xdr:cNvPr id="487" name="Isosceles Triangle 486">
          <a:extLst>
            <a:ext uri="{FF2B5EF4-FFF2-40B4-BE49-F238E27FC236}">
              <a16:creationId xmlns:a16="http://schemas.microsoft.com/office/drawing/2014/main" id="{041F4B92-F8E2-4EC4-81FA-87B2BB263FB1}"/>
            </a:ext>
          </a:extLst>
        </xdr:cNvPr>
        <xdr:cNvSpPr/>
      </xdr:nvSpPr>
      <xdr:spPr>
        <a:xfrm rot="5400000">
          <a:off x="11971566" y="19831052"/>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5443</xdr:colOff>
      <xdr:row>104</xdr:row>
      <xdr:rowOff>122464</xdr:rowOff>
    </xdr:from>
    <xdr:to>
      <xdr:col>19</xdr:col>
      <xdr:colOff>408216</xdr:colOff>
      <xdr:row>104</xdr:row>
      <xdr:rowOff>122467</xdr:rowOff>
    </xdr:to>
    <xdr:cxnSp macro="">
      <xdr:nvCxnSpPr>
        <xdr:cNvPr id="488" name="Connector: Elbow 351">
          <a:extLst>
            <a:ext uri="{FF2B5EF4-FFF2-40B4-BE49-F238E27FC236}">
              <a16:creationId xmlns:a16="http://schemas.microsoft.com/office/drawing/2014/main" id="{E6279514-9DA4-4D66-8EF3-721B89BB312D}"/>
            </a:ext>
          </a:extLst>
        </xdr:cNvPr>
        <xdr:cNvCxnSpPr>
          <a:stCxn id="476" idx="3"/>
          <a:endCxn id="487" idx="3"/>
        </xdr:cNvCxnSpPr>
      </xdr:nvCxnSpPr>
      <xdr:spPr>
        <a:xfrm>
          <a:off x="11587843" y="19934464"/>
          <a:ext cx="402773" cy="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465365</xdr:colOff>
      <xdr:row>89</xdr:row>
      <xdr:rowOff>76201</xdr:rowOff>
    </xdr:from>
    <xdr:to>
      <xdr:col>20</xdr:col>
      <xdr:colOff>62594</xdr:colOff>
      <xdr:row>90</xdr:row>
      <xdr:rowOff>130629</xdr:rowOff>
    </xdr:to>
    <xdr:sp macro="" textlink="">
      <xdr:nvSpPr>
        <xdr:cNvPr id="490" name="Isosceles Triangle 489">
          <a:extLst>
            <a:ext uri="{FF2B5EF4-FFF2-40B4-BE49-F238E27FC236}">
              <a16:creationId xmlns:a16="http://schemas.microsoft.com/office/drawing/2014/main" id="{5EAABE88-8E5A-4C7B-A5F6-CB01504F5003}"/>
            </a:ext>
          </a:extLst>
        </xdr:cNvPr>
        <xdr:cNvSpPr/>
      </xdr:nvSpPr>
      <xdr:spPr>
        <a:xfrm rot="5400000">
          <a:off x="12028716" y="17049750"/>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38102</xdr:colOff>
      <xdr:row>89</xdr:row>
      <xdr:rowOff>168731</xdr:rowOff>
    </xdr:from>
    <xdr:to>
      <xdr:col>19</xdr:col>
      <xdr:colOff>465366</xdr:colOff>
      <xdr:row>90</xdr:row>
      <xdr:rowOff>8165</xdr:rowOff>
    </xdr:to>
    <xdr:cxnSp macro="">
      <xdr:nvCxnSpPr>
        <xdr:cNvPr id="491" name="Connector: Elbow 351">
          <a:extLst>
            <a:ext uri="{FF2B5EF4-FFF2-40B4-BE49-F238E27FC236}">
              <a16:creationId xmlns:a16="http://schemas.microsoft.com/office/drawing/2014/main" id="{B1F74C38-191E-403A-B953-DABB47C91DC5}"/>
            </a:ext>
          </a:extLst>
        </xdr:cNvPr>
        <xdr:cNvCxnSpPr>
          <a:stCxn id="464" idx="3"/>
          <a:endCxn id="490" idx="3"/>
        </xdr:cNvCxnSpPr>
      </xdr:nvCxnSpPr>
      <xdr:spPr>
        <a:xfrm>
          <a:off x="11620502" y="17123231"/>
          <a:ext cx="427264" cy="2993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541565</xdr:colOff>
      <xdr:row>82</xdr:row>
      <xdr:rowOff>171451</xdr:rowOff>
    </xdr:from>
    <xdr:to>
      <xdr:col>20</xdr:col>
      <xdr:colOff>138794</xdr:colOff>
      <xdr:row>84</xdr:row>
      <xdr:rowOff>35379</xdr:rowOff>
    </xdr:to>
    <xdr:sp macro="" textlink="">
      <xdr:nvSpPr>
        <xdr:cNvPr id="493" name="Isosceles Triangle 492">
          <a:extLst>
            <a:ext uri="{FF2B5EF4-FFF2-40B4-BE49-F238E27FC236}">
              <a16:creationId xmlns:a16="http://schemas.microsoft.com/office/drawing/2014/main" id="{7AA201CE-C3F8-49E2-A3C1-CFCE3FF3B35A}"/>
            </a:ext>
          </a:extLst>
        </xdr:cNvPr>
        <xdr:cNvSpPr/>
      </xdr:nvSpPr>
      <xdr:spPr>
        <a:xfrm rot="5400000">
          <a:off x="12104916" y="15811500"/>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81643</xdr:colOff>
      <xdr:row>83</xdr:row>
      <xdr:rowOff>103415</xdr:rowOff>
    </xdr:from>
    <xdr:to>
      <xdr:col>19</xdr:col>
      <xdr:colOff>541566</xdr:colOff>
      <xdr:row>83</xdr:row>
      <xdr:rowOff>122465</xdr:rowOff>
    </xdr:to>
    <xdr:cxnSp macro="">
      <xdr:nvCxnSpPr>
        <xdr:cNvPr id="494" name="Connector: Elbow 351">
          <a:extLst>
            <a:ext uri="{FF2B5EF4-FFF2-40B4-BE49-F238E27FC236}">
              <a16:creationId xmlns:a16="http://schemas.microsoft.com/office/drawing/2014/main" id="{DFB39502-20C7-40E4-B6C7-994B5052CB93}"/>
            </a:ext>
          </a:extLst>
        </xdr:cNvPr>
        <xdr:cNvCxnSpPr>
          <a:stCxn id="463" idx="3"/>
          <a:endCxn id="493" idx="3"/>
        </xdr:cNvCxnSpPr>
      </xdr:nvCxnSpPr>
      <xdr:spPr>
        <a:xfrm flipV="1">
          <a:off x="11664043" y="15914915"/>
          <a:ext cx="459923" cy="1905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408215</xdr:colOff>
      <xdr:row>70</xdr:row>
      <xdr:rowOff>0</xdr:rowOff>
    </xdr:from>
    <xdr:to>
      <xdr:col>20</xdr:col>
      <xdr:colOff>5444</xdr:colOff>
      <xdr:row>71</xdr:row>
      <xdr:rowOff>54428</xdr:rowOff>
    </xdr:to>
    <xdr:sp macro="" textlink="">
      <xdr:nvSpPr>
        <xdr:cNvPr id="496" name="Isosceles Triangle 495">
          <a:extLst>
            <a:ext uri="{FF2B5EF4-FFF2-40B4-BE49-F238E27FC236}">
              <a16:creationId xmlns:a16="http://schemas.microsoft.com/office/drawing/2014/main" id="{7ED197B3-B4C3-436A-BD83-3538211DE8AC}"/>
            </a:ext>
          </a:extLst>
        </xdr:cNvPr>
        <xdr:cNvSpPr/>
      </xdr:nvSpPr>
      <xdr:spPr>
        <a:xfrm rot="5400000">
          <a:off x="11974287" y="10194471"/>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446316</xdr:colOff>
      <xdr:row>70</xdr:row>
      <xdr:rowOff>119743</xdr:rowOff>
    </xdr:from>
    <xdr:to>
      <xdr:col>19</xdr:col>
      <xdr:colOff>408215</xdr:colOff>
      <xdr:row>70</xdr:row>
      <xdr:rowOff>179616</xdr:rowOff>
    </xdr:to>
    <xdr:cxnSp macro="">
      <xdr:nvCxnSpPr>
        <xdr:cNvPr id="497" name="Connector: Elbow 351">
          <a:extLst>
            <a:ext uri="{FF2B5EF4-FFF2-40B4-BE49-F238E27FC236}">
              <a16:creationId xmlns:a16="http://schemas.microsoft.com/office/drawing/2014/main" id="{EABF1F56-4B2A-42AA-9FEC-4232D0FC277F}"/>
            </a:ext>
          </a:extLst>
        </xdr:cNvPr>
        <xdr:cNvCxnSpPr>
          <a:stCxn id="438" idx="3"/>
          <a:endCxn id="496" idx="3"/>
        </xdr:cNvCxnSpPr>
      </xdr:nvCxnSpPr>
      <xdr:spPr>
        <a:xfrm flipV="1">
          <a:off x="11419116" y="10297886"/>
          <a:ext cx="571499" cy="5987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408215</xdr:colOff>
      <xdr:row>66</xdr:row>
      <xdr:rowOff>0</xdr:rowOff>
    </xdr:from>
    <xdr:to>
      <xdr:col>20</xdr:col>
      <xdr:colOff>5444</xdr:colOff>
      <xdr:row>67</xdr:row>
      <xdr:rowOff>54428</xdr:rowOff>
    </xdr:to>
    <xdr:sp macro="" textlink="">
      <xdr:nvSpPr>
        <xdr:cNvPr id="499" name="Isosceles Triangle 498">
          <a:extLst>
            <a:ext uri="{FF2B5EF4-FFF2-40B4-BE49-F238E27FC236}">
              <a16:creationId xmlns:a16="http://schemas.microsoft.com/office/drawing/2014/main" id="{883CB64F-A9B1-4DF0-BCD4-A98382D9C94A}"/>
            </a:ext>
          </a:extLst>
        </xdr:cNvPr>
        <xdr:cNvSpPr/>
      </xdr:nvSpPr>
      <xdr:spPr>
        <a:xfrm rot="5400000">
          <a:off x="11974287" y="9454242"/>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489857</xdr:colOff>
      <xdr:row>66</xdr:row>
      <xdr:rowOff>119743</xdr:rowOff>
    </xdr:from>
    <xdr:to>
      <xdr:col>19</xdr:col>
      <xdr:colOff>408215</xdr:colOff>
      <xdr:row>66</xdr:row>
      <xdr:rowOff>136071</xdr:rowOff>
    </xdr:to>
    <xdr:cxnSp macro="">
      <xdr:nvCxnSpPr>
        <xdr:cNvPr id="500" name="Connector: Elbow 351">
          <a:extLst>
            <a:ext uri="{FF2B5EF4-FFF2-40B4-BE49-F238E27FC236}">
              <a16:creationId xmlns:a16="http://schemas.microsoft.com/office/drawing/2014/main" id="{AB13387E-1D7F-46E4-B404-B4DC494222A4}"/>
            </a:ext>
          </a:extLst>
        </xdr:cNvPr>
        <xdr:cNvCxnSpPr>
          <a:stCxn id="437" idx="3"/>
          <a:endCxn id="499" idx="3"/>
        </xdr:cNvCxnSpPr>
      </xdr:nvCxnSpPr>
      <xdr:spPr>
        <a:xfrm flipV="1">
          <a:off x="11462657" y="9557657"/>
          <a:ext cx="527958" cy="1632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408215</xdr:colOff>
      <xdr:row>56</xdr:row>
      <xdr:rowOff>133351</xdr:rowOff>
    </xdr:from>
    <xdr:to>
      <xdr:col>20</xdr:col>
      <xdr:colOff>5444</xdr:colOff>
      <xdr:row>57</xdr:row>
      <xdr:rowOff>187779</xdr:rowOff>
    </xdr:to>
    <xdr:sp macro="" textlink="">
      <xdr:nvSpPr>
        <xdr:cNvPr id="502" name="Isosceles Triangle 501">
          <a:extLst>
            <a:ext uri="{FF2B5EF4-FFF2-40B4-BE49-F238E27FC236}">
              <a16:creationId xmlns:a16="http://schemas.microsoft.com/office/drawing/2014/main" id="{31A8DEA3-187B-4D34-B05F-0A70D984D0A0}"/>
            </a:ext>
          </a:extLst>
        </xdr:cNvPr>
        <xdr:cNvSpPr/>
      </xdr:nvSpPr>
      <xdr:spPr>
        <a:xfrm rot="5400000">
          <a:off x="11971566" y="9677400"/>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95251</xdr:colOff>
      <xdr:row>57</xdr:row>
      <xdr:rowOff>61505</xdr:rowOff>
    </xdr:from>
    <xdr:to>
      <xdr:col>19</xdr:col>
      <xdr:colOff>408216</xdr:colOff>
      <xdr:row>57</xdr:row>
      <xdr:rowOff>68037</xdr:rowOff>
    </xdr:to>
    <xdr:cxnSp macro="">
      <xdr:nvCxnSpPr>
        <xdr:cNvPr id="503" name="Connector: Elbow 351">
          <a:extLst>
            <a:ext uri="{FF2B5EF4-FFF2-40B4-BE49-F238E27FC236}">
              <a16:creationId xmlns:a16="http://schemas.microsoft.com/office/drawing/2014/main" id="{FE1CF883-DDB8-47A1-82FD-4FC9D83B4BC0}"/>
            </a:ext>
          </a:extLst>
        </xdr:cNvPr>
        <xdr:cNvCxnSpPr>
          <a:stCxn id="422" idx="3"/>
          <a:endCxn id="502" idx="3"/>
        </xdr:cNvCxnSpPr>
      </xdr:nvCxnSpPr>
      <xdr:spPr>
        <a:xfrm flipV="1">
          <a:off x="11677651" y="9777005"/>
          <a:ext cx="312965" cy="653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408215</xdr:colOff>
      <xdr:row>52</xdr:row>
      <xdr:rowOff>0</xdr:rowOff>
    </xdr:from>
    <xdr:to>
      <xdr:col>20</xdr:col>
      <xdr:colOff>5444</xdr:colOff>
      <xdr:row>53</xdr:row>
      <xdr:rowOff>54428</xdr:rowOff>
    </xdr:to>
    <xdr:sp macro="" textlink="">
      <xdr:nvSpPr>
        <xdr:cNvPr id="505" name="Isosceles Triangle 504">
          <a:extLst>
            <a:ext uri="{FF2B5EF4-FFF2-40B4-BE49-F238E27FC236}">
              <a16:creationId xmlns:a16="http://schemas.microsoft.com/office/drawing/2014/main" id="{4A3AFC46-1F87-4353-9CB8-2C14074486AE}"/>
            </a:ext>
          </a:extLst>
        </xdr:cNvPr>
        <xdr:cNvSpPr/>
      </xdr:nvSpPr>
      <xdr:spPr>
        <a:xfrm rot="5400000">
          <a:off x="11974287" y="6863442"/>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62593</xdr:colOff>
      <xdr:row>52</xdr:row>
      <xdr:rowOff>111578</xdr:rowOff>
    </xdr:from>
    <xdr:to>
      <xdr:col>19</xdr:col>
      <xdr:colOff>408216</xdr:colOff>
      <xdr:row>52</xdr:row>
      <xdr:rowOff>122464</xdr:rowOff>
    </xdr:to>
    <xdr:cxnSp macro="">
      <xdr:nvCxnSpPr>
        <xdr:cNvPr id="506" name="Connector: Elbow 351">
          <a:extLst>
            <a:ext uri="{FF2B5EF4-FFF2-40B4-BE49-F238E27FC236}">
              <a16:creationId xmlns:a16="http://schemas.microsoft.com/office/drawing/2014/main" id="{50C3699A-CCD7-49FE-A159-44AA02C35E0A}"/>
            </a:ext>
          </a:extLst>
        </xdr:cNvPr>
        <xdr:cNvCxnSpPr>
          <a:stCxn id="421" idx="3"/>
          <a:endCxn id="505" idx="3"/>
        </xdr:cNvCxnSpPr>
      </xdr:nvCxnSpPr>
      <xdr:spPr>
        <a:xfrm>
          <a:off x="11644993" y="8874578"/>
          <a:ext cx="345623" cy="1088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351065</xdr:colOff>
      <xdr:row>41</xdr:row>
      <xdr:rowOff>38101</xdr:rowOff>
    </xdr:from>
    <xdr:to>
      <xdr:col>19</xdr:col>
      <xdr:colOff>557894</xdr:colOff>
      <xdr:row>42</xdr:row>
      <xdr:rowOff>92529</xdr:rowOff>
    </xdr:to>
    <xdr:sp macro="" textlink="">
      <xdr:nvSpPr>
        <xdr:cNvPr id="508" name="Isosceles Triangle 507">
          <a:extLst>
            <a:ext uri="{FF2B5EF4-FFF2-40B4-BE49-F238E27FC236}">
              <a16:creationId xmlns:a16="http://schemas.microsoft.com/office/drawing/2014/main" id="{218737BF-132A-4F9A-BD22-E72CF915EBBA}"/>
            </a:ext>
          </a:extLst>
        </xdr:cNvPr>
        <xdr:cNvSpPr/>
      </xdr:nvSpPr>
      <xdr:spPr>
        <a:xfrm rot="5400000">
          <a:off x="11914416" y="6724650"/>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606879</xdr:colOff>
      <xdr:row>41</xdr:row>
      <xdr:rowOff>146958</xdr:rowOff>
    </xdr:from>
    <xdr:to>
      <xdr:col>19</xdr:col>
      <xdr:colOff>351066</xdr:colOff>
      <xdr:row>41</xdr:row>
      <xdr:rowOff>160565</xdr:rowOff>
    </xdr:to>
    <xdr:cxnSp macro="">
      <xdr:nvCxnSpPr>
        <xdr:cNvPr id="509" name="Connector: Elbow 351">
          <a:extLst>
            <a:ext uri="{FF2B5EF4-FFF2-40B4-BE49-F238E27FC236}">
              <a16:creationId xmlns:a16="http://schemas.microsoft.com/office/drawing/2014/main" id="{D35297D9-47DC-444A-A502-338709834676}"/>
            </a:ext>
          </a:extLst>
        </xdr:cNvPr>
        <xdr:cNvCxnSpPr>
          <a:stCxn id="406" idx="3"/>
          <a:endCxn id="508" idx="3"/>
        </xdr:cNvCxnSpPr>
      </xdr:nvCxnSpPr>
      <xdr:spPr>
        <a:xfrm>
          <a:off x="11579679" y="6814458"/>
          <a:ext cx="353787" cy="1360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379333</xdr:colOff>
      <xdr:row>35</xdr:row>
      <xdr:rowOff>13522</xdr:rowOff>
    </xdr:from>
    <xdr:to>
      <xdr:col>19</xdr:col>
      <xdr:colOff>591079</xdr:colOff>
      <xdr:row>36</xdr:row>
      <xdr:rowOff>67950</xdr:rowOff>
    </xdr:to>
    <xdr:sp macro="" textlink="">
      <xdr:nvSpPr>
        <xdr:cNvPr id="511" name="Isosceles Triangle 510">
          <a:extLst>
            <a:ext uri="{FF2B5EF4-FFF2-40B4-BE49-F238E27FC236}">
              <a16:creationId xmlns:a16="http://schemas.microsoft.com/office/drawing/2014/main" id="{7066308E-29DE-4D61-83FE-906BF2B09F3F}"/>
            </a:ext>
          </a:extLst>
        </xdr:cNvPr>
        <xdr:cNvSpPr/>
      </xdr:nvSpPr>
      <xdr:spPr>
        <a:xfrm rot="5400000">
          <a:off x="12041620" y="6479460"/>
          <a:ext cx="238783" cy="21174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549729</xdr:colOff>
      <xdr:row>35</xdr:row>
      <xdr:rowOff>127556</xdr:rowOff>
    </xdr:from>
    <xdr:to>
      <xdr:col>19</xdr:col>
      <xdr:colOff>379333</xdr:colOff>
      <xdr:row>35</xdr:row>
      <xdr:rowOff>132915</xdr:rowOff>
    </xdr:to>
    <xdr:cxnSp macro="">
      <xdr:nvCxnSpPr>
        <xdr:cNvPr id="512" name="Connector: Elbow 351">
          <a:extLst>
            <a:ext uri="{FF2B5EF4-FFF2-40B4-BE49-F238E27FC236}">
              <a16:creationId xmlns:a16="http://schemas.microsoft.com/office/drawing/2014/main" id="{378E423C-DD97-4336-9145-C421E7E805BF}"/>
            </a:ext>
          </a:extLst>
        </xdr:cNvPr>
        <xdr:cNvCxnSpPr>
          <a:stCxn id="405" idx="3"/>
          <a:endCxn id="511" idx="3"/>
        </xdr:cNvCxnSpPr>
      </xdr:nvCxnSpPr>
      <xdr:spPr>
        <a:xfrm>
          <a:off x="11611019" y="6579975"/>
          <a:ext cx="444120" cy="535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503465</xdr:colOff>
      <xdr:row>24</xdr:row>
      <xdr:rowOff>114302</xdr:rowOff>
    </xdr:from>
    <xdr:to>
      <xdr:col>20</xdr:col>
      <xdr:colOff>100694</xdr:colOff>
      <xdr:row>25</xdr:row>
      <xdr:rowOff>168730</xdr:rowOff>
    </xdr:to>
    <xdr:sp macro="" textlink="">
      <xdr:nvSpPr>
        <xdr:cNvPr id="514" name="Isosceles Triangle 513">
          <a:extLst>
            <a:ext uri="{FF2B5EF4-FFF2-40B4-BE49-F238E27FC236}">
              <a16:creationId xmlns:a16="http://schemas.microsoft.com/office/drawing/2014/main" id="{5B88E5FA-3AFF-4919-A580-92D1FF1672B6}"/>
            </a:ext>
          </a:extLst>
        </xdr:cNvPr>
        <xdr:cNvSpPr/>
      </xdr:nvSpPr>
      <xdr:spPr>
        <a:xfrm rot="5400000">
          <a:off x="12066816" y="4705351"/>
          <a:ext cx="244928"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574222</xdr:colOff>
      <xdr:row>25</xdr:row>
      <xdr:rowOff>46266</xdr:rowOff>
    </xdr:from>
    <xdr:to>
      <xdr:col>19</xdr:col>
      <xdr:colOff>503466</xdr:colOff>
      <xdr:row>25</xdr:row>
      <xdr:rowOff>65315</xdr:rowOff>
    </xdr:to>
    <xdr:cxnSp macro="">
      <xdr:nvCxnSpPr>
        <xdr:cNvPr id="515" name="Connector: Elbow 351">
          <a:extLst>
            <a:ext uri="{FF2B5EF4-FFF2-40B4-BE49-F238E27FC236}">
              <a16:creationId xmlns:a16="http://schemas.microsoft.com/office/drawing/2014/main" id="{312BA3E9-824F-40AF-A71D-00DAE876FEF8}"/>
            </a:ext>
          </a:extLst>
        </xdr:cNvPr>
        <xdr:cNvCxnSpPr>
          <a:stCxn id="389" idx="3"/>
          <a:endCxn id="514" idx="3"/>
        </xdr:cNvCxnSpPr>
      </xdr:nvCxnSpPr>
      <xdr:spPr>
        <a:xfrm flipV="1">
          <a:off x="11547022" y="4808766"/>
          <a:ext cx="538844" cy="1904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514526</xdr:colOff>
      <xdr:row>18</xdr:row>
      <xdr:rowOff>138884</xdr:rowOff>
    </xdr:from>
    <xdr:to>
      <xdr:col>20</xdr:col>
      <xdr:colOff>111755</xdr:colOff>
      <xdr:row>20</xdr:row>
      <xdr:rowOff>8957</xdr:rowOff>
    </xdr:to>
    <xdr:sp macro="" textlink="">
      <xdr:nvSpPr>
        <xdr:cNvPr id="517" name="Isosceles Triangle 516">
          <a:extLst>
            <a:ext uri="{FF2B5EF4-FFF2-40B4-BE49-F238E27FC236}">
              <a16:creationId xmlns:a16="http://schemas.microsoft.com/office/drawing/2014/main" id="{D4B520B9-6600-46C7-83AF-2CCCBBF12BFE}"/>
            </a:ext>
          </a:extLst>
        </xdr:cNvPr>
        <xdr:cNvSpPr/>
      </xdr:nvSpPr>
      <xdr:spPr>
        <a:xfrm rot="5400000">
          <a:off x="12176813" y="3470790"/>
          <a:ext cx="238783" cy="21174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96918</xdr:colOff>
      <xdr:row>19</xdr:row>
      <xdr:rowOff>73922</xdr:rowOff>
    </xdr:from>
    <xdr:to>
      <xdr:col>19</xdr:col>
      <xdr:colOff>514526</xdr:colOff>
      <xdr:row>19</xdr:row>
      <xdr:rowOff>97094</xdr:rowOff>
    </xdr:to>
    <xdr:cxnSp macro="">
      <xdr:nvCxnSpPr>
        <xdr:cNvPr id="518" name="Connector: Elbow 351">
          <a:extLst>
            <a:ext uri="{FF2B5EF4-FFF2-40B4-BE49-F238E27FC236}">
              <a16:creationId xmlns:a16="http://schemas.microsoft.com/office/drawing/2014/main" id="{09AA93C0-AEB7-4FD1-9D91-8BFB94C10E47}"/>
            </a:ext>
          </a:extLst>
        </xdr:cNvPr>
        <xdr:cNvCxnSpPr>
          <a:stCxn id="388" idx="3"/>
          <a:endCxn id="517" idx="3"/>
        </xdr:cNvCxnSpPr>
      </xdr:nvCxnSpPr>
      <xdr:spPr>
        <a:xfrm flipV="1">
          <a:off x="11772724" y="3576664"/>
          <a:ext cx="417608" cy="2317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332014</xdr:colOff>
      <xdr:row>4</xdr:row>
      <xdr:rowOff>19050</xdr:rowOff>
    </xdr:from>
    <xdr:to>
      <xdr:col>22</xdr:col>
      <xdr:colOff>571500</xdr:colOff>
      <xdr:row>6</xdr:row>
      <xdr:rowOff>160564</xdr:rowOff>
    </xdr:to>
    <xdr:sp macro="" textlink="">
      <xdr:nvSpPr>
        <xdr:cNvPr id="520" name="Rectangle: Rounded Corners 519">
          <a:extLst>
            <a:ext uri="{FF2B5EF4-FFF2-40B4-BE49-F238E27FC236}">
              <a16:creationId xmlns:a16="http://schemas.microsoft.com/office/drawing/2014/main" id="{80CCCC3F-CCCD-45DC-84CB-D5894D400256}"/>
            </a:ext>
          </a:extLst>
        </xdr:cNvPr>
        <xdr:cNvSpPr/>
      </xdr:nvSpPr>
      <xdr:spPr>
        <a:xfrm>
          <a:off x="13133614" y="781050"/>
          <a:ext cx="849086" cy="52251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21</xdr:col>
      <xdr:colOff>301113</xdr:colOff>
      <xdr:row>16</xdr:row>
      <xdr:rowOff>10710</xdr:rowOff>
    </xdr:from>
    <xdr:to>
      <xdr:col>22</xdr:col>
      <xdr:colOff>540599</xdr:colOff>
      <xdr:row>18</xdr:row>
      <xdr:rowOff>151523</xdr:rowOff>
    </xdr:to>
    <xdr:sp macro="" textlink="">
      <xdr:nvSpPr>
        <xdr:cNvPr id="521" name="Rectangle: Rounded Corners 520">
          <a:extLst>
            <a:ext uri="{FF2B5EF4-FFF2-40B4-BE49-F238E27FC236}">
              <a16:creationId xmlns:a16="http://schemas.microsoft.com/office/drawing/2014/main" id="{DB5F3CD3-3473-4B4C-B434-54690951A07D}"/>
            </a:ext>
          </a:extLst>
        </xdr:cNvPr>
        <xdr:cNvSpPr/>
      </xdr:nvSpPr>
      <xdr:spPr>
        <a:xfrm>
          <a:off x="13205952" y="2960387"/>
          <a:ext cx="854002" cy="50952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RDS</a:t>
          </a:r>
        </a:p>
      </xdr:txBody>
    </xdr:sp>
    <xdr:clientData/>
  </xdr:twoCellAnchor>
  <xdr:twoCellAnchor>
    <xdr:from>
      <xdr:col>19</xdr:col>
      <xdr:colOff>454567</xdr:colOff>
      <xdr:row>9</xdr:row>
      <xdr:rowOff>147482</xdr:rowOff>
    </xdr:from>
    <xdr:to>
      <xdr:col>20</xdr:col>
      <xdr:colOff>160652</xdr:colOff>
      <xdr:row>11</xdr:row>
      <xdr:rowOff>39328</xdr:rowOff>
    </xdr:to>
    <xdr:sp macro="" textlink="">
      <xdr:nvSpPr>
        <xdr:cNvPr id="522" name="Oval 521">
          <a:extLst>
            <a:ext uri="{FF2B5EF4-FFF2-40B4-BE49-F238E27FC236}">
              <a16:creationId xmlns:a16="http://schemas.microsoft.com/office/drawing/2014/main" id="{037204E6-AD3E-40BE-A671-8B682DF3F510}"/>
            </a:ext>
          </a:extLst>
        </xdr:cNvPr>
        <xdr:cNvSpPr/>
      </xdr:nvSpPr>
      <xdr:spPr>
        <a:xfrm>
          <a:off x="12130373" y="1806676"/>
          <a:ext cx="320602"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0</xdr:colOff>
      <xdr:row>10</xdr:row>
      <xdr:rowOff>89808</xdr:rowOff>
    </xdr:from>
    <xdr:to>
      <xdr:col>19</xdr:col>
      <xdr:colOff>454567</xdr:colOff>
      <xdr:row>10</xdr:row>
      <xdr:rowOff>93406</xdr:rowOff>
    </xdr:to>
    <xdr:cxnSp macro="">
      <xdr:nvCxnSpPr>
        <xdr:cNvPr id="523" name="Connector: Elbow 42">
          <a:extLst>
            <a:ext uri="{FF2B5EF4-FFF2-40B4-BE49-F238E27FC236}">
              <a16:creationId xmlns:a16="http://schemas.microsoft.com/office/drawing/2014/main" id="{DE76B92B-7FC8-4172-9C2D-AFA37FE270BF}"/>
            </a:ext>
          </a:extLst>
        </xdr:cNvPr>
        <xdr:cNvCxnSpPr>
          <a:cxnSpLocks/>
          <a:stCxn id="387" idx="3"/>
          <a:endCxn id="522" idx="2"/>
        </xdr:cNvCxnSpPr>
      </xdr:nvCxnSpPr>
      <xdr:spPr>
        <a:xfrm>
          <a:off x="11675806" y="1933356"/>
          <a:ext cx="454567" cy="359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351</xdr:colOff>
      <xdr:row>5</xdr:row>
      <xdr:rowOff>89808</xdr:rowOff>
    </xdr:from>
    <xdr:to>
      <xdr:col>21</xdr:col>
      <xdr:colOff>332014</xdr:colOff>
      <xdr:row>9</xdr:row>
      <xdr:rowOff>147483</xdr:rowOff>
    </xdr:to>
    <xdr:cxnSp macro="">
      <xdr:nvCxnSpPr>
        <xdr:cNvPr id="524" name="Connector: Elbow 523">
          <a:extLst>
            <a:ext uri="{FF2B5EF4-FFF2-40B4-BE49-F238E27FC236}">
              <a16:creationId xmlns:a16="http://schemas.microsoft.com/office/drawing/2014/main" id="{98C397AB-D9C5-4567-AFD4-0E2ED73A78E4}"/>
            </a:ext>
          </a:extLst>
        </xdr:cNvPr>
        <xdr:cNvCxnSpPr>
          <a:stCxn id="522" idx="0"/>
          <a:endCxn id="520" idx="1"/>
        </xdr:cNvCxnSpPr>
      </xdr:nvCxnSpPr>
      <xdr:spPr>
        <a:xfrm rot="5400000" flipH="1" flipV="1">
          <a:off x="12366216" y="936040"/>
          <a:ext cx="795095" cy="94617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351</xdr:colOff>
      <xdr:row>11</xdr:row>
      <xdr:rowOff>39328</xdr:rowOff>
    </xdr:from>
    <xdr:to>
      <xdr:col>21</xdr:col>
      <xdr:colOff>301113</xdr:colOff>
      <xdr:row>17</xdr:row>
      <xdr:rowOff>81117</xdr:rowOff>
    </xdr:to>
    <xdr:cxnSp macro="">
      <xdr:nvCxnSpPr>
        <xdr:cNvPr id="525" name="Connector: Elbow 524">
          <a:extLst>
            <a:ext uri="{FF2B5EF4-FFF2-40B4-BE49-F238E27FC236}">
              <a16:creationId xmlns:a16="http://schemas.microsoft.com/office/drawing/2014/main" id="{6287CB30-1D7A-4C0E-89D9-03CA9FED7B66}"/>
            </a:ext>
          </a:extLst>
        </xdr:cNvPr>
        <xdr:cNvCxnSpPr>
          <a:stCxn id="522" idx="4"/>
          <a:endCxn id="521" idx="1"/>
        </xdr:cNvCxnSpPr>
      </xdr:nvCxnSpPr>
      <xdr:spPr>
        <a:xfrm rot="16200000" flipH="1">
          <a:off x="12174354" y="2183551"/>
          <a:ext cx="1147918" cy="915278"/>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255815</xdr:colOff>
      <xdr:row>16</xdr:row>
      <xdr:rowOff>122904</xdr:rowOff>
    </xdr:from>
    <xdr:to>
      <xdr:col>23</xdr:col>
      <xdr:colOff>462644</xdr:colOff>
      <xdr:row>17</xdr:row>
      <xdr:rowOff>177332</xdr:rowOff>
    </xdr:to>
    <xdr:sp macro="" textlink="">
      <xdr:nvSpPr>
        <xdr:cNvPr id="526" name="Isosceles Triangle 525">
          <a:extLst>
            <a:ext uri="{FF2B5EF4-FFF2-40B4-BE49-F238E27FC236}">
              <a16:creationId xmlns:a16="http://schemas.microsoft.com/office/drawing/2014/main" id="{BD886C37-DF3C-423F-B68E-0F758207F8D9}"/>
            </a:ext>
          </a:extLst>
        </xdr:cNvPr>
        <xdr:cNvSpPr/>
      </xdr:nvSpPr>
      <xdr:spPr>
        <a:xfrm rot="5400000">
          <a:off x="14373709" y="3088558"/>
          <a:ext cx="23878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22</xdr:col>
      <xdr:colOff>540599</xdr:colOff>
      <xdr:row>17</xdr:row>
      <xdr:rowOff>57941</xdr:rowOff>
    </xdr:from>
    <xdr:to>
      <xdr:col>23</xdr:col>
      <xdr:colOff>255815</xdr:colOff>
      <xdr:row>17</xdr:row>
      <xdr:rowOff>81117</xdr:rowOff>
    </xdr:to>
    <xdr:cxnSp macro="">
      <xdr:nvCxnSpPr>
        <xdr:cNvPr id="527" name="Connector: Elbow 351">
          <a:extLst>
            <a:ext uri="{FF2B5EF4-FFF2-40B4-BE49-F238E27FC236}">
              <a16:creationId xmlns:a16="http://schemas.microsoft.com/office/drawing/2014/main" id="{71888D55-5054-458E-ABED-C2091543F20F}"/>
            </a:ext>
          </a:extLst>
        </xdr:cNvPr>
        <xdr:cNvCxnSpPr>
          <a:stCxn id="521" idx="3"/>
          <a:endCxn id="526" idx="3"/>
        </xdr:cNvCxnSpPr>
      </xdr:nvCxnSpPr>
      <xdr:spPr>
        <a:xfrm flipV="1">
          <a:off x="14059954" y="3191973"/>
          <a:ext cx="329732" cy="2317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92353</xdr:colOff>
      <xdr:row>27</xdr:row>
      <xdr:rowOff>122903</xdr:rowOff>
    </xdr:from>
    <xdr:to>
      <xdr:col>23</xdr:col>
      <xdr:colOff>331839</xdr:colOff>
      <xdr:row>30</xdr:row>
      <xdr:rowOff>80064</xdr:rowOff>
    </xdr:to>
    <xdr:sp macro="" textlink="">
      <xdr:nvSpPr>
        <xdr:cNvPr id="531" name="Rectangle: Rounded Corners 530">
          <a:extLst>
            <a:ext uri="{FF2B5EF4-FFF2-40B4-BE49-F238E27FC236}">
              <a16:creationId xmlns:a16="http://schemas.microsoft.com/office/drawing/2014/main" id="{CA617768-EE09-4577-8892-18F41482B6A1}"/>
            </a:ext>
          </a:extLst>
        </xdr:cNvPr>
        <xdr:cNvSpPr/>
      </xdr:nvSpPr>
      <xdr:spPr>
        <a:xfrm>
          <a:off x="13611708" y="5100484"/>
          <a:ext cx="854002" cy="5102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22</xdr:col>
      <xdr:colOff>152400</xdr:colOff>
      <xdr:row>35</xdr:row>
      <xdr:rowOff>174171</xdr:rowOff>
    </xdr:from>
    <xdr:to>
      <xdr:col>23</xdr:col>
      <xdr:colOff>391886</xdr:colOff>
      <xdr:row>38</xdr:row>
      <xdr:rowOff>130629</xdr:rowOff>
    </xdr:to>
    <xdr:sp macro="" textlink="">
      <xdr:nvSpPr>
        <xdr:cNvPr id="532" name="Rectangle: Rounded Corners 531">
          <a:extLst>
            <a:ext uri="{FF2B5EF4-FFF2-40B4-BE49-F238E27FC236}">
              <a16:creationId xmlns:a16="http://schemas.microsoft.com/office/drawing/2014/main" id="{A53380B1-ECF9-4A67-97A6-F0739BE2FD97}"/>
            </a:ext>
          </a:extLst>
        </xdr:cNvPr>
        <xdr:cNvSpPr/>
      </xdr:nvSpPr>
      <xdr:spPr>
        <a:xfrm>
          <a:off x="13563600" y="4985657"/>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RDS</a:t>
          </a:r>
        </a:p>
      </xdr:txBody>
    </xdr:sp>
    <xdr:clientData/>
  </xdr:twoCellAnchor>
  <xdr:twoCellAnchor>
    <xdr:from>
      <xdr:col>20</xdr:col>
      <xdr:colOff>148538</xdr:colOff>
      <xdr:row>29</xdr:row>
      <xdr:rowOff>122904</xdr:rowOff>
    </xdr:from>
    <xdr:to>
      <xdr:col>20</xdr:col>
      <xdr:colOff>464223</xdr:colOff>
      <xdr:row>31</xdr:row>
      <xdr:rowOff>14748</xdr:rowOff>
    </xdr:to>
    <xdr:sp macro="" textlink="">
      <xdr:nvSpPr>
        <xdr:cNvPr id="533" name="Oval 532">
          <a:extLst>
            <a:ext uri="{FF2B5EF4-FFF2-40B4-BE49-F238E27FC236}">
              <a16:creationId xmlns:a16="http://schemas.microsoft.com/office/drawing/2014/main" id="{2013BD8E-3A79-4F8A-8784-33831C43BF12}"/>
            </a:ext>
          </a:extLst>
        </xdr:cNvPr>
        <xdr:cNvSpPr/>
      </xdr:nvSpPr>
      <xdr:spPr>
        <a:xfrm>
          <a:off x="12438861" y="5469194"/>
          <a:ext cx="315685" cy="26055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571500</xdr:colOff>
      <xdr:row>30</xdr:row>
      <xdr:rowOff>68386</xdr:rowOff>
    </xdr:from>
    <xdr:to>
      <xdr:col>20</xdr:col>
      <xdr:colOff>148538</xdr:colOff>
      <xdr:row>30</xdr:row>
      <xdr:rowOff>68826</xdr:rowOff>
    </xdr:to>
    <xdr:cxnSp macro="">
      <xdr:nvCxnSpPr>
        <xdr:cNvPr id="534" name="Connector: Elbow 42">
          <a:extLst>
            <a:ext uri="{FF2B5EF4-FFF2-40B4-BE49-F238E27FC236}">
              <a16:creationId xmlns:a16="http://schemas.microsoft.com/office/drawing/2014/main" id="{12961059-D5A4-49A6-8E02-6FC8D88637F6}"/>
            </a:ext>
          </a:extLst>
        </xdr:cNvPr>
        <xdr:cNvCxnSpPr>
          <a:cxnSpLocks/>
          <a:stCxn id="404" idx="3"/>
          <a:endCxn id="533" idx="2"/>
        </xdr:cNvCxnSpPr>
      </xdr:nvCxnSpPr>
      <xdr:spPr>
        <a:xfrm>
          <a:off x="11632790" y="5599031"/>
          <a:ext cx="806071" cy="44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306382</xdr:colOff>
      <xdr:row>29</xdr:row>
      <xdr:rowOff>9307</xdr:rowOff>
    </xdr:from>
    <xdr:to>
      <xdr:col>22</xdr:col>
      <xdr:colOff>92354</xdr:colOff>
      <xdr:row>29</xdr:row>
      <xdr:rowOff>122904</xdr:rowOff>
    </xdr:to>
    <xdr:cxnSp macro="">
      <xdr:nvCxnSpPr>
        <xdr:cNvPr id="535" name="Connector: Elbow 534">
          <a:extLst>
            <a:ext uri="{FF2B5EF4-FFF2-40B4-BE49-F238E27FC236}">
              <a16:creationId xmlns:a16="http://schemas.microsoft.com/office/drawing/2014/main" id="{B90FB48D-6B01-4C8D-AC20-33AAA1BDC5D6}"/>
            </a:ext>
          </a:extLst>
        </xdr:cNvPr>
        <xdr:cNvCxnSpPr>
          <a:stCxn id="533" idx="0"/>
          <a:endCxn id="531" idx="1"/>
        </xdr:cNvCxnSpPr>
      </xdr:nvCxnSpPr>
      <xdr:spPr>
        <a:xfrm rot="5400000" flipH="1" flipV="1">
          <a:off x="13047408" y="4904894"/>
          <a:ext cx="113597" cy="1015004"/>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306380</xdr:colOff>
      <xdr:row>31</xdr:row>
      <xdr:rowOff>14748</xdr:rowOff>
    </xdr:from>
    <xdr:to>
      <xdr:col>22</xdr:col>
      <xdr:colOff>152399</xdr:colOff>
      <xdr:row>37</xdr:row>
      <xdr:rowOff>60223</xdr:rowOff>
    </xdr:to>
    <xdr:cxnSp macro="">
      <xdr:nvCxnSpPr>
        <xdr:cNvPr id="536" name="Connector: Elbow 535">
          <a:extLst>
            <a:ext uri="{FF2B5EF4-FFF2-40B4-BE49-F238E27FC236}">
              <a16:creationId xmlns:a16="http://schemas.microsoft.com/office/drawing/2014/main" id="{105F97CE-92C4-4CAA-A221-53DC03D4BB55}"/>
            </a:ext>
          </a:extLst>
        </xdr:cNvPr>
        <xdr:cNvCxnSpPr>
          <a:stCxn id="533" idx="4"/>
          <a:endCxn id="532" idx="1"/>
        </xdr:cNvCxnSpPr>
      </xdr:nvCxnSpPr>
      <xdr:spPr>
        <a:xfrm rot="16200000" flipH="1">
          <a:off x="12558427" y="5768024"/>
          <a:ext cx="1151604" cy="107505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231234</xdr:colOff>
      <xdr:row>36</xdr:row>
      <xdr:rowOff>122903</xdr:rowOff>
    </xdr:from>
    <xdr:to>
      <xdr:col>24</xdr:col>
      <xdr:colOff>438063</xdr:colOff>
      <xdr:row>37</xdr:row>
      <xdr:rowOff>177331</xdr:rowOff>
    </xdr:to>
    <xdr:sp macro="" textlink="">
      <xdr:nvSpPr>
        <xdr:cNvPr id="537" name="Isosceles Triangle 536">
          <a:extLst>
            <a:ext uri="{FF2B5EF4-FFF2-40B4-BE49-F238E27FC236}">
              <a16:creationId xmlns:a16="http://schemas.microsoft.com/office/drawing/2014/main" id="{8048CA4D-A995-4208-8B8E-3B05C473E107}"/>
            </a:ext>
          </a:extLst>
        </xdr:cNvPr>
        <xdr:cNvSpPr/>
      </xdr:nvSpPr>
      <xdr:spPr>
        <a:xfrm rot="5400000">
          <a:off x="14963644" y="6775654"/>
          <a:ext cx="23878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391886</xdr:colOff>
      <xdr:row>37</xdr:row>
      <xdr:rowOff>57940</xdr:rowOff>
    </xdr:from>
    <xdr:to>
      <xdr:col>24</xdr:col>
      <xdr:colOff>231234</xdr:colOff>
      <xdr:row>37</xdr:row>
      <xdr:rowOff>60223</xdr:rowOff>
    </xdr:to>
    <xdr:cxnSp macro="">
      <xdr:nvCxnSpPr>
        <xdr:cNvPr id="538" name="Connector: Elbow 351">
          <a:extLst>
            <a:ext uri="{FF2B5EF4-FFF2-40B4-BE49-F238E27FC236}">
              <a16:creationId xmlns:a16="http://schemas.microsoft.com/office/drawing/2014/main" id="{3480B2B5-8348-48E4-BEB3-72A40122D979}"/>
            </a:ext>
          </a:extLst>
        </xdr:cNvPr>
        <xdr:cNvCxnSpPr>
          <a:stCxn id="532" idx="3"/>
          <a:endCxn id="537" idx="3"/>
        </xdr:cNvCxnSpPr>
      </xdr:nvCxnSpPr>
      <xdr:spPr>
        <a:xfrm flipV="1">
          <a:off x="14525757" y="6879069"/>
          <a:ext cx="453864" cy="228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116933</xdr:colOff>
      <xdr:row>43</xdr:row>
      <xdr:rowOff>49162</xdr:rowOff>
    </xdr:from>
    <xdr:to>
      <xdr:col>23</xdr:col>
      <xdr:colOff>356419</xdr:colOff>
      <xdr:row>46</xdr:row>
      <xdr:rowOff>6321</xdr:rowOff>
    </xdr:to>
    <xdr:sp macro="" textlink="">
      <xdr:nvSpPr>
        <xdr:cNvPr id="543" name="Rectangle: Rounded Corners 542">
          <a:extLst>
            <a:ext uri="{FF2B5EF4-FFF2-40B4-BE49-F238E27FC236}">
              <a16:creationId xmlns:a16="http://schemas.microsoft.com/office/drawing/2014/main" id="{E37D0149-4EFE-4E5E-B928-F0058E6E5882}"/>
            </a:ext>
          </a:extLst>
        </xdr:cNvPr>
        <xdr:cNvSpPr/>
      </xdr:nvSpPr>
      <xdr:spPr>
        <a:xfrm>
          <a:off x="13636288" y="7976420"/>
          <a:ext cx="854002" cy="51022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22</xdr:col>
      <xdr:colOff>152400</xdr:colOff>
      <xdr:row>49</xdr:row>
      <xdr:rowOff>174171</xdr:rowOff>
    </xdr:from>
    <xdr:to>
      <xdr:col>23</xdr:col>
      <xdr:colOff>391886</xdr:colOff>
      <xdr:row>52</xdr:row>
      <xdr:rowOff>130629</xdr:rowOff>
    </xdr:to>
    <xdr:sp macro="" textlink="">
      <xdr:nvSpPr>
        <xdr:cNvPr id="544" name="Rectangle: Rounded Corners 543">
          <a:extLst>
            <a:ext uri="{FF2B5EF4-FFF2-40B4-BE49-F238E27FC236}">
              <a16:creationId xmlns:a16="http://schemas.microsoft.com/office/drawing/2014/main" id="{B33B078A-FD67-4648-941A-0708C98DB24F}"/>
            </a:ext>
          </a:extLst>
        </xdr:cNvPr>
        <xdr:cNvSpPr/>
      </xdr:nvSpPr>
      <xdr:spPr>
        <a:xfrm>
          <a:off x="13563600" y="7576457"/>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RDS</a:t>
          </a:r>
        </a:p>
      </xdr:txBody>
    </xdr:sp>
    <xdr:clientData/>
  </xdr:twoCellAnchor>
  <xdr:twoCellAnchor>
    <xdr:from>
      <xdr:col>20</xdr:col>
      <xdr:colOff>23878</xdr:colOff>
      <xdr:row>47</xdr:row>
      <xdr:rowOff>8075</xdr:rowOff>
    </xdr:from>
    <xdr:to>
      <xdr:col>20</xdr:col>
      <xdr:colOff>344480</xdr:colOff>
      <xdr:row>48</xdr:row>
      <xdr:rowOff>84275</xdr:rowOff>
    </xdr:to>
    <xdr:sp macro="" textlink="">
      <xdr:nvSpPr>
        <xdr:cNvPr id="545" name="Oval 544">
          <a:extLst>
            <a:ext uri="{FF2B5EF4-FFF2-40B4-BE49-F238E27FC236}">
              <a16:creationId xmlns:a16="http://schemas.microsoft.com/office/drawing/2014/main" id="{4040FDE2-970E-47CD-9284-BBA018CBB233}"/>
            </a:ext>
          </a:extLst>
        </xdr:cNvPr>
        <xdr:cNvSpPr/>
      </xdr:nvSpPr>
      <xdr:spPr>
        <a:xfrm>
          <a:off x="12314201" y="8672752"/>
          <a:ext cx="320602"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582385</xdr:colOff>
      <xdr:row>47</xdr:row>
      <xdr:rowOff>113948</xdr:rowOff>
    </xdr:from>
    <xdr:to>
      <xdr:col>20</xdr:col>
      <xdr:colOff>23878</xdr:colOff>
      <xdr:row>47</xdr:row>
      <xdr:rowOff>138353</xdr:rowOff>
    </xdr:to>
    <xdr:cxnSp macro="">
      <xdr:nvCxnSpPr>
        <xdr:cNvPr id="546" name="Connector: Elbow 42">
          <a:extLst>
            <a:ext uri="{FF2B5EF4-FFF2-40B4-BE49-F238E27FC236}">
              <a16:creationId xmlns:a16="http://schemas.microsoft.com/office/drawing/2014/main" id="{BBB9E66A-6365-4A4E-A684-17E04A392D75}"/>
            </a:ext>
          </a:extLst>
        </xdr:cNvPr>
        <xdr:cNvCxnSpPr>
          <a:cxnSpLocks/>
          <a:stCxn id="420" idx="3"/>
          <a:endCxn id="545" idx="2"/>
        </xdr:cNvCxnSpPr>
      </xdr:nvCxnSpPr>
      <xdr:spPr>
        <a:xfrm>
          <a:off x="11643675" y="8778625"/>
          <a:ext cx="670526" cy="2440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184179</xdr:colOff>
      <xdr:row>44</xdr:row>
      <xdr:rowOff>119919</xdr:rowOff>
    </xdr:from>
    <xdr:to>
      <xdr:col>22</xdr:col>
      <xdr:colOff>116933</xdr:colOff>
      <xdr:row>47</xdr:row>
      <xdr:rowOff>8075</xdr:rowOff>
    </xdr:to>
    <xdr:cxnSp macro="">
      <xdr:nvCxnSpPr>
        <xdr:cNvPr id="547" name="Connector: Elbow 546">
          <a:extLst>
            <a:ext uri="{FF2B5EF4-FFF2-40B4-BE49-F238E27FC236}">
              <a16:creationId xmlns:a16="http://schemas.microsoft.com/office/drawing/2014/main" id="{92C2530E-B317-403A-BF7A-05599E432DD1}"/>
            </a:ext>
          </a:extLst>
        </xdr:cNvPr>
        <xdr:cNvCxnSpPr>
          <a:stCxn id="545" idx="0"/>
          <a:endCxn id="543" idx="1"/>
        </xdr:cNvCxnSpPr>
      </xdr:nvCxnSpPr>
      <xdr:spPr>
        <a:xfrm rot="5400000" flipH="1" flipV="1">
          <a:off x="12834785" y="7871249"/>
          <a:ext cx="441220" cy="116178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184179</xdr:colOff>
      <xdr:row>48</xdr:row>
      <xdr:rowOff>84274</xdr:rowOff>
    </xdr:from>
    <xdr:to>
      <xdr:col>22</xdr:col>
      <xdr:colOff>152400</xdr:colOff>
      <xdr:row>51</xdr:row>
      <xdr:rowOff>60222</xdr:rowOff>
    </xdr:to>
    <xdr:cxnSp macro="">
      <xdr:nvCxnSpPr>
        <xdr:cNvPr id="548" name="Connector: Elbow 547">
          <a:extLst>
            <a:ext uri="{FF2B5EF4-FFF2-40B4-BE49-F238E27FC236}">
              <a16:creationId xmlns:a16="http://schemas.microsoft.com/office/drawing/2014/main" id="{1BFB128F-073F-448E-9AF0-E9C9DE10F229}"/>
            </a:ext>
          </a:extLst>
        </xdr:cNvPr>
        <xdr:cNvCxnSpPr>
          <a:stCxn id="545" idx="4"/>
          <a:endCxn id="544" idx="1"/>
        </xdr:cNvCxnSpPr>
      </xdr:nvCxnSpPr>
      <xdr:spPr>
        <a:xfrm rot="16200000" flipH="1">
          <a:off x="12808622" y="8599186"/>
          <a:ext cx="529013" cy="119725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255815</xdr:colOff>
      <xdr:row>51</xdr:row>
      <xdr:rowOff>0</xdr:rowOff>
    </xdr:from>
    <xdr:to>
      <xdr:col>24</xdr:col>
      <xdr:colOff>462644</xdr:colOff>
      <xdr:row>52</xdr:row>
      <xdr:rowOff>54428</xdr:rowOff>
    </xdr:to>
    <xdr:sp macro="" textlink="">
      <xdr:nvSpPr>
        <xdr:cNvPr id="549" name="Isosceles Triangle 548">
          <a:extLst>
            <a:ext uri="{FF2B5EF4-FFF2-40B4-BE49-F238E27FC236}">
              <a16:creationId xmlns:a16="http://schemas.microsoft.com/office/drawing/2014/main" id="{69036CEB-EA1A-41A6-A981-3CCB4B5B2EFB}"/>
            </a:ext>
          </a:extLst>
        </xdr:cNvPr>
        <xdr:cNvSpPr/>
      </xdr:nvSpPr>
      <xdr:spPr>
        <a:xfrm rot="5400000">
          <a:off x="14869887" y="7788728"/>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391886</xdr:colOff>
      <xdr:row>51</xdr:row>
      <xdr:rowOff>59872</xdr:rowOff>
    </xdr:from>
    <xdr:to>
      <xdr:col>24</xdr:col>
      <xdr:colOff>255815</xdr:colOff>
      <xdr:row>51</xdr:row>
      <xdr:rowOff>119743</xdr:rowOff>
    </xdr:to>
    <xdr:cxnSp macro="">
      <xdr:nvCxnSpPr>
        <xdr:cNvPr id="550" name="Connector: Elbow 351">
          <a:extLst>
            <a:ext uri="{FF2B5EF4-FFF2-40B4-BE49-F238E27FC236}">
              <a16:creationId xmlns:a16="http://schemas.microsoft.com/office/drawing/2014/main" id="{03C3836F-6951-4CCF-B21D-2A883D25E560}"/>
            </a:ext>
          </a:extLst>
        </xdr:cNvPr>
        <xdr:cNvCxnSpPr>
          <a:stCxn id="544" idx="3"/>
          <a:endCxn id="549" idx="3"/>
        </xdr:cNvCxnSpPr>
      </xdr:nvCxnSpPr>
      <xdr:spPr>
        <a:xfrm>
          <a:off x="14412686" y="7832272"/>
          <a:ext cx="473529" cy="5987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141514</xdr:colOff>
      <xdr:row>58</xdr:row>
      <xdr:rowOff>0</xdr:rowOff>
    </xdr:from>
    <xdr:to>
      <xdr:col>23</xdr:col>
      <xdr:colOff>381000</xdr:colOff>
      <xdr:row>60</xdr:row>
      <xdr:rowOff>141515</xdr:rowOff>
    </xdr:to>
    <xdr:sp macro="" textlink="">
      <xdr:nvSpPr>
        <xdr:cNvPr id="555" name="Rectangle: Rounded Corners 554">
          <a:extLst>
            <a:ext uri="{FF2B5EF4-FFF2-40B4-BE49-F238E27FC236}">
              <a16:creationId xmlns:a16="http://schemas.microsoft.com/office/drawing/2014/main" id="{ED50F9D3-C945-44D1-AA79-8B35B19E74AB}"/>
            </a:ext>
          </a:extLst>
        </xdr:cNvPr>
        <xdr:cNvSpPr/>
      </xdr:nvSpPr>
      <xdr:spPr>
        <a:xfrm>
          <a:off x="13552714" y="90678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22</xdr:col>
      <xdr:colOff>152400</xdr:colOff>
      <xdr:row>62</xdr:row>
      <xdr:rowOff>174171</xdr:rowOff>
    </xdr:from>
    <xdr:to>
      <xdr:col>23</xdr:col>
      <xdr:colOff>391886</xdr:colOff>
      <xdr:row>65</xdr:row>
      <xdr:rowOff>130629</xdr:rowOff>
    </xdr:to>
    <xdr:sp macro="" textlink="">
      <xdr:nvSpPr>
        <xdr:cNvPr id="556" name="Rectangle: Rounded Corners 555">
          <a:extLst>
            <a:ext uri="{FF2B5EF4-FFF2-40B4-BE49-F238E27FC236}">
              <a16:creationId xmlns:a16="http://schemas.microsoft.com/office/drawing/2014/main" id="{FDAEDFC5-D317-4078-833D-37C452409C8A}"/>
            </a:ext>
          </a:extLst>
        </xdr:cNvPr>
        <xdr:cNvSpPr/>
      </xdr:nvSpPr>
      <xdr:spPr>
        <a:xfrm>
          <a:off x="13563600" y="99822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RDS</a:t>
          </a:r>
        </a:p>
      </xdr:txBody>
    </xdr:sp>
    <xdr:clientData/>
  </xdr:twoCellAnchor>
  <xdr:twoCellAnchor>
    <xdr:from>
      <xdr:col>20</xdr:col>
      <xdr:colOff>272144</xdr:colOff>
      <xdr:row>61</xdr:row>
      <xdr:rowOff>123956</xdr:rowOff>
    </xdr:from>
    <xdr:to>
      <xdr:col>20</xdr:col>
      <xdr:colOff>587829</xdr:colOff>
      <xdr:row>63</xdr:row>
      <xdr:rowOff>15800</xdr:rowOff>
    </xdr:to>
    <xdr:sp macro="" textlink="">
      <xdr:nvSpPr>
        <xdr:cNvPr id="557" name="Oval 556">
          <a:extLst>
            <a:ext uri="{FF2B5EF4-FFF2-40B4-BE49-F238E27FC236}">
              <a16:creationId xmlns:a16="http://schemas.microsoft.com/office/drawing/2014/main" id="{860A17C0-4C5D-4C4C-8A9C-A59F1D133D34}"/>
            </a:ext>
          </a:extLst>
        </xdr:cNvPr>
        <xdr:cNvSpPr/>
      </xdr:nvSpPr>
      <xdr:spPr>
        <a:xfrm>
          <a:off x="12562467" y="11369601"/>
          <a:ext cx="315685" cy="26055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533399</xdr:colOff>
      <xdr:row>62</xdr:row>
      <xdr:rowOff>69878</xdr:rowOff>
    </xdr:from>
    <xdr:to>
      <xdr:col>20</xdr:col>
      <xdr:colOff>272144</xdr:colOff>
      <xdr:row>62</xdr:row>
      <xdr:rowOff>103414</xdr:rowOff>
    </xdr:to>
    <xdr:cxnSp macro="">
      <xdr:nvCxnSpPr>
        <xdr:cNvPr id="558" name="Connector: Elbow 42">
          <a:extLst>
            <a:ext uri="{FF2B5EF4-FFF2-40B4-BE49-F238E27FC236}">
              <a16:creationId xmlns:a16="http://schemas.microsoft.com/office/drawing/2014/main" id="{863483FE-FAC0-4C97-A838-533C26D2DC19}"/>
            </a:ext>
          </a:extLst>
        </xdr:cNvPr>
        <xdr:cNvCxnSpPr>
          <a:cxnSpLocks/>
          <a:stCxn id="436" idx="3"/>
          <a:endCxn id="557" idx="2"/>
        </xdr:cNvCxnSpPr>
      </xdr:nvCxnSpPr>
      <xdr:spPr>
        <a:xfrm flipV="1">
          <a:off x="11594689" y="11499878"/>
          <a:ext cx="967778" cy="3353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429986</xdr:colOff>
      <xdr:row>59</xdr:row>
      <xdr:rowOff>70759</xdr:rowOff>
    </xdr:from>
    <xdr:to>
      <xdr:col>22</xdr:col>
      <xdr:colOff>141513</xdr:colOff>
      <xdr:row>61</xdr:row>
      <xdr:rowOff>123957</xdr:rowOff>
    </xdr:to>
    <xdr:cxnSp macro="">
      <xdr:nvCxnSpPr>
        <xdr:cNvPr id="559" name="Connector: Elbow 558">
          <a:extLst>
            <a:ext uri="{FF2B5EF4-FFF2-40B4-BE49-F238E27FC236}">
              <a16:creationId xmlns:a16="http://schemas.microsoft.com/office/drawing/2014/main" id="{F85DAD4D-1ED5-4BCB-BA6C-655BD12D709F}"/>
            </a:ext>
          </a:extLst>
        </xdr:cNvPr>
        <xdr:cNvCxnSpPr>
          <a:stCxn id="557" idx="0"/>
          <a:endCxn id="555" idx="1"/>
        </xdr:cNvCxnSpPr>
      </xdr:nvCxnSpPr>
      <xdr:spPr>
        <a:xfrm rot="5400000" flipH="1" flipV="1">
          <a:off x="12979635" y="10688368"/>
          <a:ext cx="421908" cy="940559"/>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429986</xdr:colOff>
      <xdr:row>63</xdr:row>
      <xdr:rowOff>15800</xdr:rowOff>
    </xdr:from>
    <xdr:to>
      <xdr:col>22</xdr:col>
      <xdr:colOff>152399</xdr:colOff>
      <xdr:row>64</xdr:row>
      <xdr:rowOff>60223</xdr:rowOff>
    </xdr:to>
    <xdr:cxnSp macro="">
      <xdr:nvCxnSpPr>
        <xdr:cNvPr id="560" name="Connector: Elbow 559">
          <a:extLst>
            <a:ext uri="{FF2B5EF4-FFF2-40B4-BE49-F238E27FC236}">
              <a16:creationId xmlns:a16="http://schemas.microsoft.com/office/drawing/2014/main" id="{B5FDC8ED-03B4-456A-AAA5-65CAE8388706}"/>
            </a:ext>
          </a:extLst>
        </xdr:cNvPr>
        <xdr:cNvCxnSpPr>
          <a:stCxn id="557" idx="4"/>
          <a:endCxn id="556" idx="1"/>
        </xdr:cNvCxnSpPr>
      </xdr:nvCxnSpPr>
      <xdr:spPr>
        <a:xfrm rot="16200000" flipH="1">
          <a:off x="13081643" y="11268821"/>
          <a:ext cx="228778" cy="95144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255815</xdr:colOff>
      <xdr:row>64</xdr:row>
      <xdr:rowOff>0</xdr:rowOff>
    </xdr:from>
    <xdr:to>
      <xdr:col>24</xdr:col>
      <xdr:colOff>462644</xdr:colOff>
      <xdr:row>65</xdr:row>
      <xdr:rowOff>54428</xdr:rowOff>
    </xdr:to>
    <xdr:sp macro="" textlink="">
      <xdr:nvSpPr>
        <xdr:cNvPr id="561" name="Isosceles Triangle 560">
          <a:extLst>
            <a:ext uri="{FF2B5EF4-FFF2-40B4-BE49-F238E27FC236}">
              <a16:creationId xmlns:a16="http://schemas.microsoft.com/office/drawing/2014/main" id="{A98E8CCD-5B5B-4D0C-96F9-FE471130874F}"/>
            </a:ext>
          </a:extLst>
        </xdr:cNvPr>
        <xdr:cNvSpPr/>
      </xdr:nvSpPr>
      <xdr:spPr>
        <a:xfrm rot="5400000">
          <a:off x="14869887" y="10194471"/>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391886</xdr:colOff>
      <xdr:row>64</xdr:row>
      <xdr:rowOff>59872</xdr:rowOff>
    </xdr:from>
    <xdr:to>
      <xdr:col>24</xdr:col>
      <xdr:colOff>255815</xdr:colOff>
      <xdr:row>64</xdr:row>
      <xdr:rowOff>119743</xdr:rowOff>
    </xdr:to>
    <xdr:cxnSp macro="">
      <xdr:nvCxnSpPr>
        <xdr:cNvPr id="562" name="Connector: Elbow 351">
          <a:extLst>
            <a:ext uri="{FF2B5EF4-FFF2-40B4-BE49-F238E27FC236}">
              <a16:creationId xmlns:a16="http://schemas.microsoft.com/office/drawing/2014/main" id="{EDD3E0A3-5C64-4EA0-BCF5-E5B098AB841E}"/>
            </a:ext>
          </a:extLst>
        </xdr:cNvPr>
        <xdr:cNvCxnSpPr>
          <a:stCxn id="556" idx="3"/>
          <a:endCxn id="561" idx="3"/>
        </xdr:cNvCxnSpPr>
      </xdr:nvCxnSpPr>
      <xdr:spPr>
        <a:xfrm>
          <a:off x="14412686" y="10238015"/>
          <a:ext cx="473529" cy="59871"/>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141514</xdr:colOff>
      <xdr:row>72</xdr:row>
      <xdr:rowOff>0</xdr:rowOff>
    </xdr:from>
    <xdr:to>
      <xdr:col>23</xdr:col>
      <xdr:colOff>381000</xdr:colOff>
      <xdr:row>74</xdr:row>
      <xdr:rowOff>141515</xdr:rowOff>
    </xdr:to>
    <xdr:sp macro="" textlink="">
      <xdr:nvSpPr>
        <xdr:cNvPr id="567" name="Rectangle: Rounded Corners 566">
          <a:extLst>
            <a:ext uri="{FF2B5EF4-FFF2-40B4-BE49-F238E27FC236}">
              <a16:creationId xmlns:a16="http://schemas.microsoft.com/office/drawing/2014/main" id="{46121900-2963-4505-A296-FA772189BD2D}"/>
            </a:ext>
          </a:extLst>
        </xdr:cNvPr>
        <xdr:cNvSpPr/>
      </xdr:nvSpPr>
      <xdr:spPr>
        <a:xfrm>
          <a:off x="13552714" y="116586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22</xdr:col>
      <xdr:colOff>152400</xdr:colOff>
      <xdr:row>76</xdr:row>
      <xdr:rowOff>174171</xdr:rowOff>
    </xdr:from>
    <xdr:to>
      <xdr:col>23</xdr:col>
      <xdr:colOff>391886</xdr:colOff>
      <xdr:row>79</xdr:row>
      <xdr:rowOff>130629</xdr:rowOff>
    </xdr:to>
    <xdr:sp macro="" textlink="">
      <xdr:nvSpPr>
        <xdr:cNvPr id="568" name="Rectangle: Rounded Corners 567">
          <a:extLst>
            <a:ext uri="{FF2B5EF4-FFF2-40B4-BE49-F238E27FC236}">
              <a16:creationId xmlns:a16="http://schemas.microsoft.com/office/drawing/2014/main" id="{097037F9-2DBA-4E5C-8C0D-66F0DE9F54F2}"/>
            </a:ext>
          </a:extLst>
        </xdr:cNvPr>
        <xdr:cNvSpPr/>
      </xdr:nvSpPr>
      <xdr:spPr>
        <a:xfrm>
          <a:off x="13563600" y="125730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 RDS</a:t>
          </a:r>
        </a:p>
      </xdr:txBody>
    </xdr:sp>
    <xdr:clientData/>
  </xdr:twoCellAnchor>
  <xdr:twoCellAnchor>
    <xdr:from>
      <xdr:col>19</xdr:col>
      <xdr:colOff>610304</xdr:colOff>
      <xdr:row>76</xdr:row>
      <xdr:rowOff>51619</xdr:rowOff>
    </xdr:from>
    <xdr:to>
      <xdr:col>20</xdr:col>
      <xdr:colOff>311472</xdr:colOff>
      <xdr:row>77</xdr:row>
      <xdr:rowOff>127819</xdr:rowOff>
    </xdr:to>
    <xdr:sp macro="" textlink="">
      <xdr:nvSpPr>
        <xdr:cNvPr id="569" name="Oval 568">
          <a:extLst>
            <a:ext uri="{FF2B5EF4-FFF2-40B4-BE49-F238E27FC236}">
              <a16:creationId xmlns:a16="http://schemas.microsoft.com/office/drawing/2014/main" id="{EF31FAC7-4E8A-4EFD-B1C8-A6548E94DB1F}"/>
            </a:ext>
          </a:extLst>
        </xdr:cNvPr>
        <xdr:cNvSpPr/>
      </xdr:nvSpPr>
      <xdr:spPr>
        <a:xfrm>
          <a:off x="12286110" y="14062587"/>
          <a:ext cx="315685"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18</xdr:col>
      <xdr:colOff>525235</xdr:colOff>
      <xdr:row>76</xdr:row>
      <xdr:rowOff>181897</xdr:rowOff>
    </xdr:from>
    <xdr:to>
      <xdr:col>19</xdr:col>
      <xdr:colOff>610304</xdr:colOff>
      <xdr:row>76</xdr:row>
      <xdr:rowOff>181985</xdr:rowOff>
    </xdr:to>
    <xdr:cxnSp macro="">
      <xdr:nvCxnSpPr>
        <xdr:cNvPr id="570" name="Connector: Elbow 42">
          <a:extLst>
            <a:ext uri="{FF2B5EF4-FFF2-40B4-BE49-F238E27FC236}">
              <a16:creationId xmlns:a16="http://schemas.microsoft.com/office/drawing/2014/main" id="{E25E4084-2ED4-454E-8ABD-3A91961D77FE}"/>
            </a:ext>
          </a:extLst>
        </xdr:cNvPr>
        <xdr:cNvCxnSpPr>
          <a:cxnSpLocks/>
          <a:stCxn id="462" idx="3"/>
          <a:endCxn id="569" idx="2"/>
        </xdr:cNvCxnSpPr>
      </xdr:nvCxnSpPr>
      <xdr:spPr>
        <a:xfrm flipV="1">
          <a:off x="11586525" y="14192865"/>
          <a:ext cx="699585" cy="8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153630</xdr:colOff>
      <xdr:row>73</xdr:row>
      <xdr:rowOff>70758</xdr:rowOff>
    </xdr:from>
    <xdr:to>
      <xdr:col>22</xdr:col>
      <xdr:colOff>141514</xdr:colOff>
      <xdr:row>76</xdr:row>
      <xdr:rowOff>51619</xdr:rowOff>
    </xdr:to>
    <xdr:cxnSp macro="">
      <xdr:nvCxnSpPr>
        <xdr:cNvPr id="571" name="Connector: Elbow 570">
          <a:extLst>
            <a:ext uri="{FF2B5EF4-FFF2-40B4-BE49-F238E27FC236}">
              <a16:creationId xmlns:a16="http://schemas.microsoft.com/office/drawing/2014/main" id="{D477ABAD-A4A8-4660-870A-DAC7B5B5CA9B}"/>
            </a:ext>
          </a:extLst>
        </xdr:cNvPr>
        <xdr:cNvCxnSpPr>
          <a:stCxn id="569" idx="0"/>
          <a:endCxn id="567" idx="1"/>
        </xdr:cNvCxnSpPr>
      </xdr:nvCxnSpPr>
      <xdr:spPr>
        <a:xfrm rot="5400000" flipH="1" flipV="1">
          <a:off x="12785448" y="13187166"/>
          <a:ext cx="533926" cy="121691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153630</xdr:colOff>
      <xdr:row>77</xdr:row>
      <xdr:rowOff>127819</xdr:rowOff>
    </xdr:from>
    <xdr:to>
      <xdr:col>22</xdr:col>
      <xdr:colOff>152400</xdr:colOff>
      <xdr:row>78</xdr:row>
      <xdr:rowOff>60223</xdr:rowOff>
    </xdr:to>
    <xdr:cxnSp macro="">
      <xdr:nvCxnSpPr>
        <xdr:cNvPr id="572" name="Connector: Elbow 571">
          <a:extLst>
            <a:ext uri="{FF2B5EF4-FFF2-40B4-BE49-F238E27FC236}">
              <a16:creationId xmlns:a16="http://schemas.microsoft.com/office/drawing/2014/main" id="{5571399D-74A8-4404-95B8-5DA123ECCA8B}"/>
            </a:ext>
          </a:extLst>
        </xdr:cNvPr>
        <xdr:cNvCxnSpPr>
          <a:stCxn id="569" idx="4"/>
          <a:endCxn id="568" idx="1"/>
        </xdr:cNvCxnSpPr>
      </xdr:nvCxnSpPr>
      <xdr:spPr>
        <a:xfrm rot="16200000" flipH="1">
          <a:off x="12999475" y="13767620"/>
          <a:ext cx="116758" cy="12278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120622</xdr:colOff>
      <xdr:row>77</xdr:row>
      <xdr:rowOff>110612</xdr:rowOff>
    </xdr:from>
    <xdr:to>
      <xdr:col>24</xdr:col>
      <xdr:colOff>327451</xdr:colOff>
      <xdr:row>78</xdr:row>
      <xdr:rowOff>165041</xdr:rowOff>
    </xdr:to>
    <xdr:sp macro="" textlink="">
      <xdr:nvSpPr>
        <xdr:cNvPr id="573" name="Isosceles Triangle 572">
          <a:extLst>
            <a:ext uri="{FF2B5EF4-FFF2-40B4-BE49-F238E27FC236}">
              <a16:creationId xmlns:a16="http://schemas.microsoft.com/office/drawing/2014/main" id="{2CA24BA5-98AB-41C7-BB8D-745F95727F49}"/>
            </a:ext>
          </a:extLst>
        </xdr:cNvPr>
        <xdr:cNvSpPr/>
      </xdr:nvSpPr>
      <xdr:spPr>
        <a:xfrm rot="5400000">
          <a:off x="14853032" y="14321912"/>
          <a:ext cx="23878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391886</xdr:colOff>
      <xdr:row>78</xdr:row>
      <xdr:rowOff>45650</xdr:rowOff>
    </xdr:from>
    <xdr:to>
      <xdr:col>24</xdr:col>
      <xdr:colOff>120622</xdr:colOff>
      <xdr:row>78</xdr:row>
      <xdr:rowOff>60223</xdr:rowOff>
    </xdr:to>
    <xdr:cxnSp macro="">
      <xdr:nvCxnSpPr>
        <xdr:cNvPr id="574" name="Connector: Elbow 351">
          <a:extLst>
            <a:ext uri="{FF2B5EF4-FFF2-40B4-BE49-F238E27FC236}">
              <a16:creationId xmlns:a16="http://schemas.microsoft.com/office/drawing/2014/main" id="{4A8D55AE-EE3F-48BB-8ACD-F6C115F23CE0}"/>
            </a:ext>
          </a:extLst>
        </xdr:cNvPr>
        <xdr:cNvCxnSpPr>
          <a:stCxn id="568" idx="3"/>
          <a:endCxn id="573" idx="3"/>
        </xdr:cNvCxnSpPr>
      </xdr:nvCxnSpPr>
      <xdr:spPr>
        <a:xfrm flipV="1">
          <a:off x="14525757" y="14425327"/>
          <a:ext cx="343252" cy="14573"/>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141514</xdr:colOff>
      <xdr:row>94</xdr:row>
      <xdr:rowOff>0</xdr:rowOff>
    </xdr:from>
    <xdr:to>
      <xdr:col>23</xdr:col>
      <xdr:colOff>381000</xdr:colOff>
      <xdr:row>96</xdr:row>
      <xdr:rowOff>141515</xdr:rowOff>
    </xdr:to>
    <xdr:sp macro="" textlink="">
      <xdr:nvSpPr>
        <xdr:cNvPr id="579" name="Rectangle: Rounded Corners 578">
          <a:extLst>
            <a:ext uri="{FF2B5EF4-FFF2-40B4-BE49-F238E27FC236}">
              <a16:creationId xmlns:a16="http://schemas.microsoft.com/office/drawing/2014/main" id="{73F51D6E-92DB-4767-A308-75EF9BB14EAB}"/>
            </a:ext>
          </a:extLst>
        </xdr:cNvPr>
        <xdr:cNvSpPr/>
      </xdr:nvSpPr>
      <xdr:spPr>
        <a:xfrm>
          <a:off x="13552714" y="15729857"/>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RDS</a:t>
          </a:r>
        </a:p>
      </xdr:txBody>
    </xdr:sp>
    <xdr:clientData/>
  </xdr:twoCellAnchor>
  <xdr:twoCellAnchor>
    <xdr:from>
      <xdr:col>21</xdr:col>
      <xdr:colOff>607142</xdr:colOff>
      <xdr:row>100</xdr:row>
      <xdr:rowOff>112719</xdr:rowOff>
    </xdr:from>
    <xdr:to>
      <xdr:col>23</xdr:col>
      <xdr:colOff>232112</xdr:colOff>
      <xdr:row>103</xdr:row>
      <xdr:rowOff>69178</xdr:rowOff>
    </xdr:to>
    <xdr:sp macro="" textlink="">
      <xdr:nvSpPr>
        <xdr:cNvPr id="580" name="Rectangle: Rounded Corners 579">
          <a:extLst>
            <a:ext uri="{FF2B5EF4-FFF2-40B4-BE49-F238E27FC236}">
              <a16:creationId xmlns:a16="http://schemas.microsoft.com/office/drawing/2014/main" id="{5E9D9AF3-E963-4C96-B8BA-AD10E9EFE796}"/>
            </a:ext>
          </a:extLst>
        </xdr:cNvPr>
        <xdr:cNvSpPr/>
      </xdr:nvSpPr>
      <xdr:spPr>
        <a:xfrm>
          <a:off x="13511981" y="18548203"/>
          <a:ext cx="854002" cy="50952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no</a:t>
          </a:r>
          <a:r>
            <a:rPr lang="en-ZA" sz="1100" baseline="0">
              <a:solidFill>
                <a:sysClr val="windowText" lastClr="000000"/>
              </a:solidFill>
            </a:rPr>
            <a:t> RDS</a:t>
          </a:r>
          <a:endParaRPr lang="en-ZA" sz="1100">
            <a:solidFill>
              <a:sysClr val="windowText" lastClr="000000"/>
            </a:solidFill>
          </a:endParaRPr>
        </a:p>
      </xdr:txBody>
    </xdr:sp>
    <xdr:clientData/>
  </xdr:twoCellAnchor>
  <xdr:twoCellAnchor>
    <xdr:from>
      <xdr:col>20</xdr:col>
      <xdr:colOff>57238</xdr:colOff>
      <xdr:row>96</xdr:row>
      <xdr:rowOff>112720</xdr:rowOff>
    </xdr:from>
    <xdr:to>
      <xdr:col>20</xdr:col>
      <xdr:colOff>372923</xdr:colOff>
      <xdr:row>98</xdr:row>
      <xdr:rowOff>3864</xdr:rowOff>
    </xdr:to>
    <xdr:sp macro="" textlink="">
      <xdr:nvSpPr>
        <xdr:cNvPr id="581" name="Oval 580">
          <a:extLst>
            <a:ext uri="{FF2B5EF4-FFF2-40B4-BE49-F238E27FC236}">
              <a16:creationId xmlns:a16="http://schemas.microsoft.com/office/drawing/2014/main" id="{267B68F1-917B-45F9-8CB5-77CFC4C797C3}"/>
            </a:ext>
          </a:extLst>
        </xdr:cNvPr>
        <xdr:cNvSpPr/>
      </xdr:nvSpPr>
      <xdr:spPr>
        <a:xfrm>
          <a:off x="12347561" y="17810785"/>
          <a:ext cx="315685" cy="2598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48985</xdr:colOff>
      <xdr:row>97</xdr:row>
      <xdr:rowOff>35731</xdr:rowOff>
    </xdr:from>
    <xdr:to>
      <xdr:col>20</xdr:col>
      <xdr:colOff>57238</xdr:colOff>
      <xdr:row>97</xdr:row>
      <xdr:rowOff>58293</xdr:rowOff>
    </xdr:to>
    <xdr:cxnSp macro="">
      <xdr:nvCxnSpPr>
        <xdr:cNvPr id="582" name="Connector: Elbow 42">
          <a:extLst>
            <a:ext uri="{FF2B5EF4-FFF2-40B4-BE49-F238E27FC236}">
              <a16:creationId xmlns:a16="http://schemas.microsoft.com/office/drawing/2014/main" id="{3226D3FF-FC58-4557-A67B-658392C839F4}"/>
            </a:ext>
          </a:extLst>
        </xdr:cNvPr>
        <xdr:cNvCxnSpPr>
          <a:cxnSpLocks/>
          <a:stCxn id="475" idx="3"/>
          <a:endCxn id="581" idx="2"/>
        </xdr:cNvCxnSpPr>
      </xdr:nvCxnSpPr>
      <xdr:spPr>
        <a:xfrm>
          <a:off x="11724791" y="17918150"/>
          <a:ext cx="622770" cy="2256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215081</xdr:colOff>
      <xdr:row>95</xdr:row>
      <xdr:rowOff>70759</xdr:rowOff>
    </xdr:from>
    <xdr:to>
      <xdr:col>22</xdr:col>
      <xdr:colOff>141514</xdr:colOff>
      <xdr:row>96</xdr:row>
      <xdr:rowOff>112721</xdr:rowOff>
    </xdr:to>
    <xdr:cxnSp macro="">
      <xdr:nvCxnSpPr>
        <xdr:cNvPr id="583" name="Connector: Elbow 582">
          <a:extLst>
            <a:ext uri="{FF2B5EF4-FFF2-40B4-BE49-F238E27FC236}">
              <a16:creationId xmlns:a16="http://schemas.microsoft.com/office/drawing/2014/main" id="{A36153D1-D220-4990-941E-6F9D1A5FB7AF}"/>
            </a:ext>
          </a:extLst>
        </xdr:cNvPr>
        <xdr:cNvCxnSpPr>
          <a:stCxn id="581" idx="0"/>
          <a:endCxn id="579" idx="1"/>
        </xdr:cNvCxnSpPr>
      </xdr:nvCxnSpPr>
      <xdr:spPr>
        <a:xfrm rot="5400000" flipH="1" flipV="1">
          <a:off x="12969978" y="17119895"/>
          <a:ext cx="226317" cy="1155465"/>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215081</xdr:colOff>
      <xdr:row>98</xdr:row>
      <xdr:rowOff>3863</xdr:rowOff>
    </xdr:from>
    <xdr:to>
      <xdr:col>21</xdr:col>
      <xdr:colOff>607142</xdr:colOff>
      <xdr:row>101</xdr:row>
      <xdr:rowOff>183125</xdr:rowOff>
    </xdr:to>
    <xdr:cxnSp macro="">
      <xdr:nvCxnSpPr>
        <xdr:cNvPr id="584" name="Connector: Elbow 583">
          <a:extLst>
            <a:ext uri="{FF2B5EF4-FFF2-40B4-BE49-F238E27FC236}">
              <a16:creationId xmlns:a16="http://schemas.microsoft.com/office/drawing/2014/main" id="{ECBC1FEC-B35E-4248-B0B0-932AA2CA6A5D}"/>
            </a:ext>
          </a:extLst>
        </xdr:cNvPr>
        <xdr:cNvCxnSpPr>
          <a:stCxn id="581" idx="4"/>
          <a:endCxn id="580" idx="1"/>
        </xdr:cNvCxnSpPr>
      </xdr:nvCxnSpPr>
      <xdr:spPr>
        <a:xfrm rot="16200000" flipH="1">
          <a:off x="12642529" y="17933512"/>
          <a:ext cx="732327" cy="100657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145202</xdr:colOff>
      <xdr:row>101</xdr:row>
      <xdr:rowOff>86032</xdr:rowOff>
    </xdr:from>
    <xdr:to>
      <xdr:col>24</xdr:col>
      <xdr:colOff>352031</xdr:colOff>
      <xdr:row>102</xdr:row>
      <xdr:rowOff>140460</xdr:rowOff>
    </xdr:to>
    <xdr:sp macro="" textlink="">
      <xdr:nvSpPr>
        <xdr:cNvPr id="585" name="Isosceles Triangle 584">
          <a:extLst>
            <a:ext uri="{FF2B5EF4-FFF2-40B4-BE49-F238E27FC236}">
              <a16:creationId xmlns:a16="http://schemas.microsoft.com/office/drawing/2014/main" id="{CDA9F7FD-656C-4A53-A9F7-61BCA14356BB}"/>
            </a:ext>
          </a:extLst>
        </xdr:cNvPr>
        <xdr:cNvSpPr/>
      </xdr:nvSpPr>
      <xdr:spPr>
        <a:xfrm rot="5400000">
          <a:off x="14877612" y="18721848"/>
          <a:ext cx="238783"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232112</xdr:colOff>
      <xdr:row>101</xdr:row>
      <xdr:rowOff>183126</xdr:rowOff>
    </xdr:from>
    <xdr:to>
      <xdr:col>24</xdr:col>
      <xdr:colOff>145202</xdr:colOff>
      <xdr:row>102</xdr:row>
      <xdr:rowOff>21069</xdr:rowOff>
    </xdr:to>
    <xdr:cxnSp macro="">
      <xdr:nvCxnSpPr>
        <xdr:cNvPr id="586" name="Connector: Elbow 351">
          <a:extLst>
            <a:ext uri="{FF2B5EF4-FFF2-40B4-BE49-F238E27FC236}">
              <a16:creationId xmlns:a16="http://schemas.microsoft.com/office/drawing/2014/main" id="{058F064C-871C-4433-8627-D66EFE12D0DE}"/>
            </a:ext>
          </a:extLst>
        </xdr:cNvPr>
        <xdr:cNvCxnSpPr>
          <a:stCxn id="580" idx="3"/>
          <a:endCxn id="585" idx="3"/>
        </xdr:cNvCxnSpPr>
      </xdr:nvCxnSpPr>
      <xdr:spPr>
        <a:xfrm>
          <a:off x="14365983" y="18802965"/>
          <a:ext cx="527606" cy="2229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85768</xdr:colOff>
      <xdr:row>0</xdr:row>
      <xdr:rowOff>117373</xdr:rowOff>
    </xdr:from>
    <xdr:to>
      <xdr:col>26</xdr:col>
      <xdr:colOff>330170</xdr:colOff>
      <xdr:row>3</xdr:row>
      <xdr:rowOff>74532</xdr:rowOff>
    </xdr:to>
    <xdr:sp macro="" textlink="">
      <xdr:nvSpPr>
        <xdr:cNvPr id="593" name="Rectangle: Rounded Corners 592">
          <a:extLst>
            <a:ext uri="{FF2B5EF4-FFF2-40B4-BE49-F238E27FC236}">
              <a16:creationId xmlns:a16="http://schemas.microsoft.com/office/drawing/2014/main" id="{ACEE3B09-2719-4677-B128-DA7B08A65306}"/>
            </a:ext>
          </a:extLst>
        </xdr:cNvPr>
        <xdr:cNvSpPr/>
      </xdr:nvSpPr>
      <xdr:spPr>
        <a:xfrm>
          <a:off x="15448671" y="117373"/>
          <a:ext cx="858918" cy="510224"/>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25</xdr:col>
      <xdr:colOff>5706</xdr:colOff>
      <xdr:row>9</xdr:row>
      <xdr:rowOff>139144</xdr:rowOff>
    </xdr:from>
    <xdr:to>
      <xdr:col>26</xdr:col>
      <xdr:colOff>245192</xdr:colOff>
      <xdr:row>12</xdr:row>
      <xdr:rowOff>94127</xdr:rowOff>
    </xdr:to>
    <xdr:sp macro="" textlink="">
      <xdr:nvSpPr>
        <xdr:cNvPr id="594" name="Rectangle: Rounded Corners 593">
          <a:extLst>
            <a:ext uri="{FF2B5EF4-FFF2-40B4-BE49-F238E27FC236}">
              <a16:creationId xmlns:a16="http://schemas.microsoft.com/office/drawing/2014/main" id="{9DCAC7F0-7973-421B-85EC-68B4C81C458C}"/>
            </a:ext>
          </a:extLst>
        </xdr:cNvPr>
        <xdr:cNvSpPr/>
      </xdr:nvSpPr>
      <xdr:spPr>
        <a:xfrm>
          <a:off x="15368609" y="1798338"/>
          <a:ext cx="854002" cy="508047"/>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23</xdr:col>
      <xdr:colOff>196645</xdr:colOff>
      <xdr:row>4</xdr:row>
      <xdr:rowOff>174522</xdr:rowOff>
    </xdr:from>
    <xdr:to>
      <xdr:col>23</xdr:col>
      <xdr:colOff>512330</xdr:colOff>
      <xdr:row>6</xdr:row>
      <xdr:rowOff>66367</xdr:rowOff>
    </xdr:to>
    <xdr:sp macro="" textlink="">
      <xdr:nvSpPr>
        <xdr:cNvPr id="595" name="Oval 594">
          <a:extLst>
            <a:ext uri="{FF2B5EF4-FFF2-40B4-BE49-F238E27FC236}">
              <a16:creationId xmlns:a16="http://schemas.microsoft.com/office/drawing/2014/main" id="{3DBD1330-C3C5-45EF-BD83-36668971503E}"/>
            </a:ext>
          </a:extLst>
        </xdr:cNvPr>
        <xdr:cNvSpPr/>
      </xdr:nvSpPr>
      <xdr:spPr>
        <a:xfrm>
          <a:off x="14330516" y="911941"/>
          <a:ext cx="315685"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23</xdr:col>
      <xdr:colOff>354488</xdr:colOff>
      <xdr:row>2</xdr:row>
      <xdr:rowOff>3775</xdr:rowOff>
    </xdr:from>
    <xdr:to>
      <xdr:col>25</xdr:col>
      <xdr:colOff>85768</xdr:colOff>
      <xdr:row>4</xdr:row>
      <xdr:rowOff>174522</xdr:rowOff>
    </xdr:to>
    <xdr:cxnSp macro="">
      <xdr:nvCxnSpPr>
        <xdr:cNvPr id="596" name="Connector: Elbow 595">
          <a:extLst>
            <a:ext uri="{FF2B5EF4-FFF2-40B4-BE49-F238E27FC236}">
              <a16:creationId xmlns:a16="http://schemas.microsoft.com/office/drawing/2014/main" id="{18728C45-C045-49F3-8292-03F910D5DD9E}"/>
            </a:ext>
          </a:extLst>
        </xdr:cNvPr>
        <xdr:cNvCxnSpPr>
          <a:stCxn id="595" idx="0"/>
          <a:endCxn id="593" idx="1"/>
        </xdr:cNvCxnSpPr>
      </xdr:nvCxnSpPr>
      <xdr:spPr>
        <a:xfrm rot="5400000" flipH="1" flipV="1">
          <a:off x="14698787" y="162057"/>
          <a:ext cx="539456" cy="96031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354488</xdr:colOff>
      <xdr:row>6</xdr:row>
      <xdr:rowOff>66367</xdr:rowOff>
    </xdr:from>
    <xdr:to>
      <xdr:col>25</xdr:col>
      <xdr:colOff>5706</xdr:colOff>
      <xdr:row>11</xdr:row>
      <xdr:rowOff>24459</xdr:rowOff>
    </xdr:to>
    <xdr:cxnSp macro="">
      <xdr:nvCxnSpPr>
        <xdr:cNvPr id="597" name="Connector: Elbow 596">
          <a:extLst>
            <a:ext uri="{FF2B5EF4-FFF2-40B4-BE49-F238E27FC236}">
              <a16:creationId xmlns:a16="http://schemas.microsoft.com/office/drawing/2014/main" id="{9420A60D-3F5A-4D90-9F79-EBC1E20A0E4E}"/>
            </a:ext>
          </a:extLst>
        </xdr:cNvPr>
        <xdr:cNvCxnSpPr>
          <a:stCxn id="595" idx="4"/>
          <a:endCxn id="594" idx="1"/>
        </xdr:cNvCxnSpPr>
      </xdr:nvCxnSpPr>
      <xdr:spPr>
        <a:xfrm rot="16200000" flipH="1">
          <a:off x="14488551" y="1172304"/>
          <a:ext cx="879866" cy="88025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599067</xdr:colOff>
      <xdr:row>10</xdr:row>
      <xdr:rowOff>54606</xdr:rowOff>
    </xdr:from>
    <xdr:to>
      <xdr:col>27</xdr:col>
      <xdr:colOff>196296</xdr:colOff>
      <xdr:row>11</xdr:row>
      <xdr:rowOff>109034</xdr:rowOff>
    </xdr:to>
    <xdr:sp macro="" textlink="">
      <xdr:nvSpPr>
        <xdr:cNvPr id="598" name="Isosceles Triangle 597">
          <a:extLst>
            <a:ext uri="{FF2B5EF4-FFF2-40B4-BE49-F238E27FC236}">
              <a16:creationId xmlns:a16="http://schemas.microsoft.com/office/drawing/2014/main" id="{2F0300A9-539D-4E77-8D0E-CAC24CED1852}"/>
            </a:ext>
          </a:extLst>
        </xdr:cNvPr>
        <xdr:cNvSpPr/>
      </xdr:nvSpPr>
      <xdr:spPr>
        <a:xfrm rot="5400000">
          <a:off x="16562967" y="1911673"/>
          <a:ext cx="238783" cy="21174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26</xdr:col>
      <xdr:colOff>245192</xdr:colOff>
      <xdr:row>10</xdr:row>
      <xdr:rowOff>173998</xdr:rowOff>
    </xdr:from>
    <xdr:to>
      <xdr:col>26</xdr:col>
      <xdr:colOff>599067</xdr:colOff>
      <xdr:row>11</xdr:row>
      <xdr:rowOff>24459</xdr:rowOff>
    </xdr:to>
    <xdr:cxnSp macro="">
      <xdr:nvCxnSpPr>
        <xdr:cNvPr id="599" name="Connector: Elbow 351">
          <a:extLst>
            <a:ext uri="{FF2B5EF4-FFF2-40B4-BE49-F238E27FC236}">
              <a16:creationId xmlns:a16="http://schemas.microsoft.com/office/drawing/2014/main" id="{703225D6-7991-45A0-8D2E-8BDFF19DB05E}"/>
            </a:ext>
          </a:extLst>
        </xdr:cNvPr>
        <xdr:cNvCxnSpPr>
          <a:stCxn id="594" idx="3"/>
          <a:endCxn id="598" idx="3"/>
        </xdr:cNvCxnSpPr>
      </xdr:nvCxnSpPr>
      <xdr:spPr>
        <a:xfrm flipV="1">
          <a:off x="16222611" y="2017546"/>
          <a:ext cx="353875" cy="3481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571500</xdr:colOff>
      <xdr:row>5</xdr:row>
      <xdr:rowOff>89807</xdr:rowOff>
    </xdr:from>
    <xdr:to>
      <xdr:col>23</xdr:col>
      <xdr:colOff>196645</xdr:colOff>
      <xdr:row>5</xdr:row>
      <xdr:rowOff>120445</xdr:rowOff>
    </xdr:to>
    <xdr:cxnSp macro="">
      <xdr:nvCxnSpPr>
        <xdr:cNvPr id="600" name="Connector: Elbow 42">
          <a:extLst>
            <a:ext uri="{FF2B5EF4-FFF2-40B4-BE49-F238E27FC236}">
              <a16:creationId xmlns:a16="http://schemas.microsoft.com/office/drawing/2014/main" id="{9AD3ADAA-1F97-4BAE-B79D-635E2D83A36F}"/>
            </a:ext>
          </a:extLst>
        </xdr:cNvPr>
        <xdr:cNvCxnSpPr>
          <a:cxnSpLocks/>
          <a:stCxn id="520" idx="3"/>
          <a:endCxn id="595" idx="2"/>
        </xdr:cNvCxnSpPr>
      </xdr:nvCxnSpPr>
      <xdr:spPr>
        <a:xfrm>
          <a:off x="14090855" y="1011581"/>
          <a:ext cx="239661" cy="30638"/>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21596</xdr:colOff>
      <xdr:row>1</xdr:row>
      <xdr:rowOff>81841</xdr:rowOff>
    </xdr:from>
    <xdr:to>
      <xdr:col>27</xdr:col>
      <xdr:colOff>233341</xdr:colOff>
      <xdr:row>2</xdr:row>
      <xdr:rowOff>137744</xdr:rowOff>
    </xdr:to>
    <xdr:sp macro="" textlink="">
      <xdr:nvSpPr>
        <xdr:cNvPr id="603" name="Isosceles Triangle 602">
          <a:extLst>
            <a:ext uri="{FF2B5EF4-FFF2-40B4-BE49-F238E27FC236}">
              <a16:creationId xmlns:a16="http://schemas.microsoft.com/office/drawing/2014/main" id="{301D810B-FE0E-4015-914E-A43CEA0D7C81}"/>
            </a:ext>
          </a:extLst>
        </xdr:cNvPr>
        <xdr:cNvSpPr/>
      </xdr:nvSpPr>
      <xdr:spPr>
        <a:xfrm rot="5400000">
          <a:off x="16599275" y="280452"/>
          <a:ext cx="240258" cy="21174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26</xdr:col>
      <xdr:colOff>330170</xdr:colOff>
      <xdr:row>2</xdr:row>
      <xdr:rowOff>3775</xdr:rowOff>
    </xdr:from>
    <xdr:to>
      <xdr:col>27</xdr:col>
      <xdr:colOff>21597</xdr:colOff>
      <xdr:row>2</xdr:row>
      <xdr:rowOff>17615</xdr:rowOff>
    </xdr:to>
    <xdr:cxnSp macro="">
      <xdr:nvCxnSpPr>
        <xdr:cNvPr id="604" name="Connector: Elbow 351">
          <a:extLst>
            <a:ext uri="{FF2B5EF4-FFF2-40B4-BE49-F238E27FC236}">
              <a16:creationId xmlns:a16="http://schemas.microsoft.com/office/drawing/2014/main" id="{50DBC453-393F-47FB-AABC-5201B831A663}"/>
            </a:ext>
          </a:extLst>
        </xdr:cNvPr>
        <xdr:cNvCxnSpPr>
          <a:stCxn id="593" idx="3"/>
          <a:endCxn id="603" idx="3"/>
        </xdr:cNvCxnSpPr>
      </xdr:nvCxnSpPr>
      <xdr:spPr>
        <a:xfrm>
          <a:off x="16307589" y="372485"/>
          <a:ext cx="305943" cy="13840"/>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359228</xdr:colOff>
      <xdr:row>26</xdr:row>
      <xdr:rowOff>0</xdr:rowOff>
    </xdr:from>
    <xdr:to>
      <xdr:col>26</xdr:col>
      <xdr:colOff>598714</xdr:colOff>
      <xdr:row>28</xdr:row>
      <xdr:rowOff>141515</xdr:rowOff>
    </xdr:to>
    <xdr:sp macro="" textlink="">
      <xdr:nvSpPr>
        <xdr:cNvPr id="608" name="Rectangle: Rounded Corners 607">
          <a:extLst>
            <a:ext uri="{FF2B5EF4-FFF2-40B4-BE49-F238E27FC236}">
              <a16:creationId xmlns:a16="http://schemas.microsoft.com/office/drawing/2014/main" id="{07C3402F-9E65-4E3D-B303-352827749324}"/>
            </a:ext>
          </a:extLst>
        </xdr:cNvPr>
        <xdr:cNvSpPr/>
      </xdr:nvSpPr>
      <xdr:spPr>
        <a:xfrm>
          <a:off x="15599228" y="3701143"/>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25</xdr:col>
      <xdr:colOff>370114</xdr:colOff>
      <xdr:row>30</xdr:row>
      <xdr:rowOff>174172</xdr:rowOff>
    </xdr:from>
    <xdr:to>
      <xdr:col>27</xdr:col>
      <xdr:colOff>0</xdr:colOff>
      <xdr:row>33</xdr:row>
      <xdr:rowOff>130629</xdr:rowOff>
    </xdr:to>
    <xdr:sp macro="" textlink="">
      <xdr:nvSpPr>
        <xdr:cNvPr id="609" name="Rectangle: Rounded Corners 608">
          <a:extLst>
            <a:ext uri="{FF2B5EF4-FFF2-40B4-BE49-F238E27FC236}">
              <a16:creationId xmlns:a16="http://schemas.microsoft.com/office/drawing/2014/main" id="{0566FA43-7242-4446-94AF-DEDE1598D040}"/>
            </a:ext>
          </a:extLst>
        </xdr:cNvPr>
        <xdr:cNvSpPr/>
      </xdr:nvSpPr>
      <xdr:spPr>
        <a:xfrm>
          <a:off x="15610114" y="4615543"/>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24</xdr:col>
      <xdr:colOff>179439</xdr:colOff>
      <xdr:row>27</xdr:row>
      <xdr:rowOff>174522</xdr:rowOff>
    </xdr:from>
    <xdr:to>
      <xdr:col>24</xdr:col>
      <xdr:colOff>495124</xdr:colOff>
      <xdr:row>29</xdr:row>
      <xdr:rowOff>66367</xdr:rowOff>
    </xdr:to>
    <xdr:sp macro="" textlink="">
      <xdr:nvSpPr>
        <xdr:cNvPr id="610" name="Oval 609">
          <a:extLst>
            <a:ext uri="{FF2B5EF4-FFF2-40B4-BE49-F238E27FC236}">
              <a16:creationId xmlns:a16="http://schemas.microsoft.com/office/drawing/2014/main" id="{78BAB5C0-0367-4145-AA09-D88B52D344F0}"/>
            </a:ext>
          </a:extLst>
        </xdr:cNvPr>
        <xdr:cNvSpPr/>
      </xdr:nvSpPr>
      <xdr:spPr>
        <a:xfrm>
          <a:off x="14927826" y="5152103"/>
          <a:ext cx="315685" cy="26055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24</xdr:col>
      <xdr:colOff>337283</xdr:colOff>
      <xdr:row>27</xdr:row>
      <xdr:rowOff>70757</xdr:rowOff>
    </xdr:from>
    <xdr:to>
      <xdr:col>25</xdr:col>
      <xdr:colOff>359229</xdr:colOff>
      <xdr:row>27</xdr:row>
      <xdr:rowOff>174522</xdr:rowOff>
    </xdr:to>
    <xdr:cxnSp macro="">
      <xdr:nvCxnSpPr>
        <xdr:cNvPr id="611" name="Connector: Elbow 610">
          <a:extLst>
            <a:ext uri="{FF2B5EF4-FFF2-40B4-BE49-F238E27FC236}">
              <a16:creationId xmlns:a16="http://schemas.microsoft.com/office/drawing/2014/main" id="{06A6D37B-5438-4E8F-A0C2-45D748488FA4}"/>
            </a:ext>
          </a:extLst>
        </xdr:cNvPr>
        <xdr:cNvCxnSpPr>
          <a:stCxn id="610" idx="0"/>
          <a:endCxn id="608" idx="1"/>
        </xdr:cNvCxnSpPr>
      </xdr:nvCxnSpPr>
      <xdr:spPr>
        <a:xfrm rot="5400000" flipH="1" flipV="1">
          <a:off x="15352018" y="4781990"/>
          <a:ext cx="103765" cy="63646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337283</xdr:colOff>
      <xdr:row>29</xdr:row>
      <xdr:rowOff>66366</xdr:rowOff>
    </xdr:from>
    <xdr:to>
      <xdr:col>25</xdr:col>
      <xdr:colOff>370115</xdr:colOff>
      <xdr:row>32</xdr:row>
      <xdr:rowOff>60222</xdr:rowOff>
    </xdr:to>
    <xdr:cxnSp macro="">
      <xdr:nvCxnSpPr>
        <xdr:cNvPr id="612" name="Connector: Elbow 611">
          <a:extLst>
            <a:ext uri="{FF2B5EF4-FFF2-40B4-BE49-F238E27FC236}">
              <a16:creationId xmlns:a16="http://schemas.microsoft.com/office/drawing/2014/main" id="{0E048896-3E00-4568-A95C-5CFBD3DC11CD}"/>
            </a:ext>
          </a:extLst>
        </xdr:cNvPr>
        <xdr:cNvCxnSpPr>
          <a:stCxn id="610" idx="4"/>
          <a:endCxn id="609" idx="1"/>
        </xdr:cNvCxnSpPr>
      </xdr:nvCxnSpPr>
      <xdr:spPr>
        <a:xfrm rot="16200000" flipH="1">
          <a:off x="15135883" y="5362443"/>
          <a:ext cx="546921" cy="647348"/>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462644</xdr:colOff>
      <xdr:row>31</xdr:row>
      <xdr:rowOff>119742</xdr:rowOff>
    </xdr:from>
    <xdr:to>
      <xdr:col>28</xdr:col>
      <xdr:colOff>59873</xdr:colOff>
      <xdr:row>32</xdr:row>
      <xdr:rowOff>174170</xdr:rowOff>
    </xdr:to>
    <xdr:sp macro="" textlink="">
      <xdr:nvSpPr>
        <xdr:cNvPr id="613" name="Isosceles Triangle 612">
          <a:extLst>
            <a:ext uri="{FF2B5EF4-FFF2-40B4-BE49-F238E27FC236}">
              <a16:creationId xmlns:a16="http://schemas.microsoft.com/office/drawing/2014/main" id="{EBDD5750-B0F3-4608-832F-C04FA83D8862}"/>
            </a:ext>
          </a:extLst>
        </xdr:cNvPr>
        <xdr:cNvSpPr/>
      </xdr:nvSpPr>
      <xdr:spPr>
        <a:xfrm rot="5400000">
          <a:off x="16905516" y="4762499"/>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0</xdr:colOff>
      <xdr:row>32</xdr:row>
      <xdr:rowOff>54428</xdr:rowOff>
    </xdr:from>
    <xdr:to>
      <xdr:col>27</xdr:col>
      <xdr:colOff>462644</xdr:colOff>
      <xdr:row>32</xdr:row>
      <xdr:rowOff>59872</xdr:rowOff>
    </xdr:to>
    <xdr:cxnSp macro="">
      <xdr:nvCxnSpPr>
        <xdr:cNvPr id="614" name="Connector: Elbow 351">
          <a:extLst>
            <a:ext uri="{FF2B5EF4-FFF2-40B4-BE49-F238E27FC236}">
              <a16:creationId xmlns:a16="http://schemas.microsoft.com/office/drawing/2014/main" id="{5CEE1BB8-BBC8-450C-8E96-3CD7C7D8F931}"/>
            </a:ext>
          </a:extLst>
        </xdr:cNvPr>
        <xdr:cNvCxnSpPr>
          <a:stCxn id="609" idx="3"/>
          <a:endCxn id="613" idx="3"/>
        </xdr:cNvCxnSpPr>
      </xdr:nvCxnSpPr>
      <xdr:spPr>
        <a:xfrm flipV="1">
          <a:off x="16459200" y="4865914"/>
          <a:ext cx="462644"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331839</xdr:colOff>
      <xdr:row>28</xdr:row>
      <xdr:rowOff>120445</xdr:rowOff>
    </xdr:from>
    <xdr:to>
      <xdr:col>24</xdr:col>
      <xdr:colOff>179439</xdr:colOff>
      <xdr:row>29</xdr:row>
      <xdr:rowOff>9307</xdr:rowOff>
    </xdr:to>
    <xdr:cxnSp macro="">
      <xdr:nvCxnSpPr>
        <xdr:cNvPr id="615" name="Connector: Elbow 42">
          <a:extLst>
            <a:ext uri="{FF2B5EF4-FFF2-40B4-BE49-F238E27FC236}">
              <a16:creationId xmlns:a16="http://schemas.microsoft.com/office/drawing/2014/main" id="{F43A1EEB-2D0B-4F0B-98AE-978862ECAF21}"/>
            </a:ext>
          </a:extLst>
        </xdr:cNvPr>
        <xdr:cNvCxnSpPr>
          <a:cxnSpLocks/>
          <a:stCxn id="531" idx="3"/>
          <a:endCxn id="610" idx="2"/>
        </xdr:cNvCxnSpPr>
      </xdr:nvCxnSpPr>
      <xdr:spPr>
        <a:xfrm flipV="1">
          <a:off x="14465710" y="5282380"/>
          <a:ext cx="462116" cy="73217"/>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527957</xdr:colOff>
      <xdr:row>26</xdr:row>
      <xdr:rowOff>130628</xdr:rowOff>
    </xdr:from>
    <xdr:to>
      <xdr:col>28</xdr:col>
      <xdr:colOff>125186</xdr:colOff>
      <xdr:row>27</xdr:row>
      <xdr:rowOff>185056</xdr:rowOff>
    </xdr:to>
    <xdr:sp macro="" textlink="">
      <xdr:nvSpPr>
        <xdr:cNvPr id="616" name="Isosceles Triangle 615">
          <a:extLst>
            <a:ext uri="{FF2B5EF4-FFF2-40B4-BE49-F238E27FC236}">
              <a16:creationId xmlns:a16="http://schemas.microsoft.com/office/drawing/2014/main" id="{44CF6B5D-1A63-44F8-9954-E5CD3F299374}"/>
            </a:ext>
          </a:extLst>
        </xdr:cNvPr>
        <xdr:cNvSpPr/>
      </xdr:nvSpPr>
      <xdr:spPr>
        <a:xfrm rot="5400000">
          <a:off x="16970829" y="3848099"/>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26</xdr:col>
      <xdr:colOff>598714</xdr:colOff>
      <xdr:row>27</xdr:row>
      <xdr:rowOff>65314</xdr:rowOff>
    </xdr:from>
    <xdr:to>
      <xdr:col>27</xdr:col>
      <xdr:colOff>527957</xdr:colOff>
      <xdr:row>27</xdr:row>
      <xdr:rowOff>70758</xdr:rowOff>
    </xdr:to>
    <xdr:cxnSp macro="">
      <xdr:nvCxnSpPr>
        <xdr:cNvPr id="617" name="Connector: Elbow 351">
          <a:extLst>
            <a:ext uri="{FF2B5EF4-FFF2-40B4-BE49-F238E27FC236}">
              <a16:creationId xmlns:a16="http://schemas.microsoft.com/office/drawing/2014/main" id="{EDB67000-1AB3-4CEE-B3F4-AC49D6C722A8}"/>
            </a:ext>
          </a:extLst>
        </xdr:cNvPr>
        <xdr:cNvCxnSpPr>
          <a:stCxn id="608" idx="3"/>
          <a:endCxn id="616" idx="3"/>
        </xdr:cNvCxnSpPr>
      </xdr:nvCxnSpPr>
      <xdr:spPr>
        <a:xfrm flipV="1">
          <a:off x="16448314" y="3951514"/>
          <a:ext cx="538843"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359228</xdr:colOff>
      <xdr:row>40</xdr:row>
      <xdr:rowOff>0</xdr:rowOff>
    </xdr:from>
    <xdr:to>
      <xdr:col>26</xdr:col>
      <xdr:colOff>598714</xdr:colOff>
      <xdr:row>42</xdr:row>
      <xdr:rowOff>141515</xdr:rowOff>
    </xdr:to>
    <xdr:sp macro="" textlink="">
      <xdr:nvSpPr>
        <xdr:cNvPr id="619" name="Rectangle: Rounded Corners 618">
          <a:extLst>
            <a:ext uri="{FF2B5EF4-FFF2-40B4-BE49-F238E27FC236}">
              <a16:creationId xmlns:a16="http://schemas.microsoft.com/office/drawing/2014/main" id="{82739632-8F6E-4233-BD8F-6A41F8003987}"/>
            </a:ext>
          </a:extLst>
        </xdr:cNvPr>
        <xdr:cNvSpPr/>
      </xdr:nvSpPr>
      <xdr:spPr>
        <a:xfrm>
          <a:off x="15599228" y="6291943"/>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25</xdr:col>
      <xdr:colOff>370114</xdr:colOff>
      <xdr:row>44</xdr:row>
      <xdr:rowOff>174172</xdr:rowOff>
    </xdr:from>
    <xdr:to>
      <xdr:col>27</xdr:col>
      <xdr:colOff>0</xdr:colOff>
      <xdr:row>47</xdr:row>
      <xdr:rowOff>130629</xdr:rowOff>
    </xdr:to>
    <xdr:sp macro="" textlink="">
      <xdr:nvSpPr>
        <xdr:cNvPr id="620" name="Rectangle: Rounded Corners 619">
          <a:extLst>
            <a:ext uri="{FF2B5EF4-FFF2-40B4-BE49-F238E27FC236}">
              <a16:creationId xmlns:a16="http://schemas.microsoft.com/office/drawing/2014/main" id="{78A9EF75-0D66-43E3-80C2-AEE70D6F6693}"/>
            </a:ext>
          </a:extLst>
        </xdr:cNvPr>
        <xdr:cNvSpPr/>
      </xdr:nvSpPr>
      <xdr:spPr>
        <a:xfrm>
          <a:off x="15610114" y="7206343"/>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24</xdr:col>
      <xdr:colOff>191729</xdr:colOff>
      <xdr:row>43</xdr:row>
      <xdr:rowOff>162232</xdr:rowOff>
    </xdr:from>
    <xdr:to>
      <xdr:col>24</xdr:col>
      <xdr:colOff>507414</xdr:colOff>
      <xdr:row>45</xdr:row>
      <xdr:rowOff>54076</xdr:rowOff>
    </xdr:to>
    <xdr:sp macro="" textlink="">
      <xdr:nvSpPr>
        <xdr:cNvPr id="621" name="Oval 620">
          <a:extLst>
            <a:ext uri="{FF2B5EF4-FFF2-40B4-BE49-F238E27FC236}">
              <a16:creationId xmlns:a16="http://schemas.microsoft.com/office/drawing/2014/main" id="{698B9140-9C31-4F59-99B8-B2D342087E3A}"/>
            </a:ext>
          </a:extLst>
        </xdr:cNvPr>
        <xdr:cNvSpPr/>
      </xdr:nvSpPr>
      <xdr:spPr>
        <a:xfrm>
          <a:off x="14940116" y="8089490"/>
          <a:ext cx="315685" cy="26055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24</xdr:col>
      <xdr:colOff>349572</xdr:colOff>
      <xdr:row>41</xdr:row>
      <xdr:rowOff>70758</xdr:rowOff>
    </xdr:from>
    <xdr:to>
      <xdr:col>25</xdr:col>
      <xdr:colOff>359228</xdr:colOff>
      <xdr:row>43</xdr:row>
      <xdr:rowOff>162232</xdr:rowOff>
    </xdr:to>
    <xdr:cxnSp macro="">
      <xdr:nvCxnSpPr>
        <xdr:cNvPr id="622" name="Connector: Elbow 621">
          <a:extLst>
            <a:ext uri="{FF2B5EF4-FFF2-40B4-BE49-F238E27FC236}">
              <a16:creationId xmlns:a16="http://schemas.microsoft.com/office/drawing/2014/main" id="{D9304A90-220A-4F5A-AA77-8A87C72E5706}"/>
            </a:ext>
          </a:extLst>
        </xdr:cNvPr>
        <xdr:cNvCxnSpPr>
          <a:stCxn id="621" idx="0"/>
          <a:endCxn id="619" idx="1"/>
        </xdr:cNvCxnSpPr>
      </xdr:nvCxnSpPr>
      <xdr:spPr>
        <a:xfrm rot="5400000" flipH="1" flipV="1">
          <a:off x="15179953" y="7547312"/>
          <a:ext cx="460184" cy="62417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349572</xdr:colOff>
      <xdr:row>45</xdr:row>
      <xdr:rowOff>54076</xdr:rowOff>
    </xdr:from>
    <xdr:to>
      <xdr:col>25</xdr:col>
      <xdr:colOff>370114</xdr:colOff>
      <xdr:row>46</xdr:row>
      <xdr:rowOff>60223</xdr:rowOff>
    </xdr:to>
    <xdr:cxnSp macro="">
      <xdr:nvCxnSpPr>
        <xdr:cNvPr id="623" name="Connector: Elbow 622">
          <a:extLst>
            <a:ext uri="{FF2B5EF4-FFF2-40B4-BE49-F238E27FC236}">
              <a16:creationId xmlns:a16="http://schemas.microsoft.com/office/drawing/2014/main" id="{99779C7F-B30A-480C-AA92-441B571A14BC}"/>
            </a:ext>
          </a:extLst>
        </xdr:cNvPr>
        <xdr:cNvCxnSpPr>
          <a:stCxn id="621" idx="4"/>
          <a:endCxn id="620" idx="1"/>
        </xdr:cNvCxnSpPr>
      </xdr:nvCxnSpPr>
      <xdr:spPr>
        <a:xfrm rot="16200000" flipH="1">
          <a:off x="15320237" y="8127766"/>
          <a:ext cx="190502" cy="635058"/>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462644</xdr:colOff>
      <xdr:row>45</xdr:row>
      <xdr:rowOff>119742</xdr:rowOff>
    </xdr:from>
    <xdr:to>
      <xdr:col>28</xdr:col>
      <xdr:colOff>59873</xdr:colOff>
      <xdr:row>46</xdr:row>
      <xdr:rowOff>174170</xdr:rowOff>
    </xdr:to>
    <xdr:sp macro="" textlink="">
      <xdr:nvSpPr>
        <xdr:cNvPr id="624" name="Isosceles Triangle 623">
          <a:extLst>
            <a:ext uri="{FF2B5EF4-FFF2-40B4-BE49-F238E27FC236}">
              <a16:creationId xmlns:a16="http://schemas.microsoft.com/office/drawing/2014/main" id="{B260FA5A-88B6-47B5-8248-D4D35B040078}"/>
            </a:ext>
          </a:extLst>
        </xdr:cNvPr>
        <xdr:cNvSpPr/>
      </xdr:nvSpPr>
      <xdr:spPr>
        <a:xfrm rot="5400000">
          <a:off x="16905516" y="7353299"/>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0</xdr:colOff>
      <xdr:row>46</xdr:row>
      <xdr:rowOff>54428</xdr:rowOff>
    </xdr:from>
    <xdr:to>
      <xdr:col>27</xdr:col>
      <xdr:colOff>462644</xdr:colOff>
      <xdr:row>46</xdr:row>
      <xdr:rowOff>59872</xdr:rowOff>
    </xdr:to>
    <xdr:cxnSp macro="">
      <xdr:nvCxnSpPr>
        <xdr:cNvPr id="625" name="Connector: Elbow 351">
          <a:extLst>
            <a:ext uri="{FF2B5EF4-FFF2-40B4-BE49-F238E27FC236}">
              <a16:creationId xmlns:a16="http://schemas.microsoft.com/office/drawing/2014/main" id="{F556CBE5-2721-4CF6-92AB-6A118D76C81C}"/>
            </a:ext>
          </a:extLst>
        </xdr:cNvPr>
        <xdr:cNvCxnSpPr>
          <a:stCxn id="620" idx="3"/>
          <a:endCxn id="624" idx="3"/>
        </xdr:cNvCxnSpPr>
      </xdr:nvCxnSpPr>
      <xdr:spPr>
        <a:xfrm flipV="1">
          <a:off x="16459200" y="7456714"/>
          <a:ext cx="462644"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356419</xdr:colOff>
      <xdr:row>44</xdr:row>
      <xdr:rowOff>108154</xdr:rowOff>
    </xdr:from>
    <xdr:to>
      <xdr:col>24</xdr:col>
      <xdr:colOff>191729</xdr:colOff>
      <xdr:row>44</xdr:row>
      <xdr:rowOff>119919</xdr:rowOff>
    </xdr:to>
    <xdr:cxnSp macro="">
      <xdr:nvCxnSpPr>
        <xdr:cNvPr id="626" name="Connector: Elbow 42">
          <a:extLst>
            <a:ext uri="{FF2B5EF4-FFF2-40B4-BE49-F238E27FC236}">
              <a16:creationId xmlns:a16="http://schemas.microsoft.com/office/drawing/2014/main" id="{A561A566-3DBC-4F67-8EF8-9AB120C6B155}"/>
            </a:ext>
          </a:extLst>
        </xdr:cNvPr>
        <xdr:cNvCxnSpPr>
          <a:cxnSpLocks/>
          <a:stCxn id="543" idx="3"/>
          <a:endCxn id="621" idx="2"/>
        </xdr:cNvCxnSpPr>
      </xdr:nvCxnSpPr>
      <xdr:spPr>
        <a:xfrm flipV="1">
          <a:off x="14490290" y="8219767"/>
          <a:ext cx="449826" cy="1176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527957</xdr:colOff>
      <xdr:row>40</xdr:row>
      <xdr:rowOff>130628</xdr:rowOff>
    </xdr:from>
    <xdr:to>
      <xdr:col>28</xdr:col>
      <xdr:colOff>125186</xdr:colOff>
      <xdr:row>41</xdr:row>
      <xdr:rowOff>185056</xdr:rowOff>
    </xdr:to>
    <xdr:sp macro="" textlink="">
      <xdr:nvSpPr>
        <xdr:cNvPr id="627" name="Isosceles Triangle 626">
          <a:extLst>
            <a:ext uri="{FF2B5EF4-FFF2-40B4-BE49-F238E27FC236}">
              <a16:creationId xmlns:a16="http://schemas.microsoft.com/office/drawing/2014/main" id="{82F624A8-58A9-423C-9EE0-AD60CD146E60}"/>
            </a:ext>
          </a:extLst>
        </xdr:cNvPr>
        <xdr:cNvSpPr/>
      </xdr:nvSpPr>
      <xdr:spPr>
        <a:xfrm rot="5400000">
          <a:off x="16970829" y="6438899"/>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26</xdr:col>
      <xdr:colOff>598714</xdr:colOff>
      <xdr:row>41</xdr:row>
      <xdr:rowOff>65314</xdr:rowOff>
    </xdr:from>
    <xdr:to>
      <xdr:col>27</xdr:col>
      <xdr:colOff>527957</xdr:colOff>
      <xdr:row>41</xdr:row>
      <xdr:rowOff>70758</xdr:rowOff>
    </xdr:to>
    <xdr:cxnSp macro="">
      <xdr:nvCxnSpPr>
        <xdr:cNvPr id="628" name="Connector: Elbow 351">
          <a:extLst>
            <a:ext uri="{FF2B5EF4-FFF2-40B4-BE49-F238E27FC236}">
              <a16:creationId xmlns:a16="http://schemas.microsoft.com/office/drawing/2014/main" id="{73F9E7BE-CDA0-49DA-8D5C-64D76E08D505}"/>
            </a:ext>
          </a:extLst>
        </xdr:cNvPr>
        <xdr:cNvCxnSpPr>
          <a:stCxn id="619" idx="3"/>
          <a:endCxn id="627" idx="3"/>
        </xdr:cNvCxnSpPr>
      </xdr:nvCxnSpPr>
      <xdr:spPr>
        <a:xfrm flipV="1">
          <a:off x="16448314" y="6542314"/>
          <a:ext cx="538843"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359228</xdr:colOff>
      <xdr:row>55</xdr:row>
      <xdr:rowOff>0</xdr:rowOff>
    </xdr:from>
    <xdr:to>
      <xdr:col>27</xdr:col>
      <xdr:colOff>598714</xdr:colOff>
      <xdr:row>57</xdr:row>
      <xdr:rowOff>141515</xdr:rowOff>
    </xdr:to>
    <xdr:sp macro="" textlink="">
      <xdr:nvSpPr>
        <xdr:cNvPr id="630" name="Rectangle: Rounded Corners 629">
          <a:extLst>
            <a:ext uri="{FF2B5EF4-FFF2-40B4-BE49-F238E27FC236}">
              <a16:creationId xmlns:a16="http://schemas.microsoft.com/office/drawing/2014/main" id="{D711C2D5-ADD6-489B-9B8E-8163C7D17D64}"/>
            </a:ext>
          </a:extLst>
        </xdr:cNvPr>
        <xdr:cNvSpPr/>
      </xdr:nvSpPr>
      <xdr:spPr>
        <a:xfrm>
          <a:off x="16208828" y="90678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26</xdr:col>
      <xdr:colOff>370114</xdr:colOff>
      <xdr:row>59</xdr:row>
      <xdr:rowOff>174171</xdr:rowOff>
    </xdr:from>
    <xdr:to>
      <xdr:col>28</xdr:col>
      <xdr:colOff>0</xdr:colOff>
      <xdr:row>62</xdr:row>
      <xdr:rowOff>130629</xdr:rowOff>
    </xdr:to>
    <xdr:sp macro="" textlink="">
      <xdr:nvSpPr>
        <xdr:cNvPr id="631" name="Rectangle: Rounded Corners 630">
          <a:extLst>
            <a:ext uri="{FF2B5EF4-FFF2-40B4-BE49-F238E27FC236}">
              <a16:creationId xmlns:a16="http://schemas.microsoft.com/office/drawing/2014/main" id="{0F7623BF-D5E0-4941-960F-C402B1366E68}"/>
            </a:ext>
          </a:extLst>
        </xdr:cNvPr>
        <xdr:cNvSpPr/>
      </xdr:nvSpPr>
      <xdr:spPr>
        <a:xfrm>
          <a:off x="16219714" y="9982200"/>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25</xdr:col>
      <xdr:colOff>228600</xdr:colOff>
      <xdr:row>58</xdr:row>
      <xdr:rowOff>100778</xdr:rowOff>
    </xdr:from>
    <xdr:to>
      <xdr:col>25</xdr:col>
      <xdr:colOff>544285</xdr:colOff>
      <xdr:row>59</xdr:row>
      <xdr:rowOff>176979</xdr:rowOff>
    </xdr:to>
    <xdr:sp macro="" textlink="">
      <xdr:nvSpPr>
        <xdr:cNvPr id="632" name="Oval 631">
          <a:extLst>
            <a:ext uri="{FF2B5EF4-FFF2-40B4-BE49-F238E27FC236}">
              <a16:creationId xmlns:a16="http://schemas.microsoft.com/office/drawing/2014/main" id="{03F72466-88CB-4CF2-A130-2EC94BF02DD6}"/>
            </a:ext>
          </a:extLst>
        </xdr:cNvPr>
        <xdr:cNvSpPr/>
      </xdr:nvSpPr>
      <xdr:spPr>
        <a:xfrm>
          <a:off x="15591503" y="10793359"/>
          <a:ext cx="315685"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386442</xdr:colOff>
      <xdr:row>56</xdr:row>
      <xdr:rowOff>70759</xdr:rowOff>
    </xdr:from>
    <xdr:to>
      <xdr:col>26</xdr:col>
      <xdr:colOff>359227</xdr:colOff>
      <xdr:row>58</xdr:row>
      <xdr:rowOff>100779</xdr:rowOff>
    </xdr:to>
    <xdr:cxnSp macro="">
      <xdr:nvCxnSpPr>
        <xdr:cNvPr id="633" name="Connector: Elbow 632">
          <a:extLst>
            <a:ext uri="{FF2B5EF4-FFF2-40B4-BE49-F238E27FC236}">
              <a16:creationId xmlns:a16="http://schemas.microsoft.com/office/drawing/2014/main" id="{2FA97439-AB2C-4A0B-9FC7-446BB937D6CC}"/>
            </a:ext>
          </a:extLst>
        </xdr:cNvPr>
        <xdr:cNvCxnSpPr>
          <a:stCxn id="632" idx="0"/>
          <a:endCxn id="630" idx="1"/>
        </xdr:cNvCxnSpPr>
      </xdr:nvCxnSpPr>
      <xdr:spPr>
        <a:xfrm rot="5400000" flipH="1" flipV="1">
          <a:off x="15843631" y="10300344"/>
          <a:ext cx="398730" cy="587301"/>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386442</xdr:colOff>
      <xdr:row>59</xdr:row>
      <xdr:rowOff>176979</xdr:rowOff>
    </xdr:from>
    <xdr:to>
      <xdr:col>26</xdr:col>
      <xdr:colOff>370113</xdr:colOff>
      <xdr:row>61</xdr:row>
      <xdr:rowOff>60223</xdr:rowOff>
    </xdr:to>
    <xdr:cxnSp macro="">
      <xdr:nvCxnSpPr>
        <xdr:cNvPr id="634" name="Connector: Elbow 633">
          <a:extLst>
            <a:ext uri="{FF2B5EF4-FFF2-40B4-BE49-F238E27FC236}">
              <a16:creationId xmlns:a16="http://schemas.microsoft.com/office/drawing/2014/main" id="{800A8759-D13B-4887-89A8-E7C5FCE1E1E6}"/>
            </a:ext>
          </a:extLst>
        </xdr:cNvPr>
        <xdr:cNvCxnSpPr>
          <a:stCxn id="632" idx="4"/>
          <a:endCxn id="631" idx="1"/>
        </xdr:cNvCxnSpPr>
      </xdr:nvCxnSpPr>
      <xdr:spPr>
        <a:xfrm rot="16200000" flipH="1">
          <a:off x="15922462" y="10880797"/>
          <a:ext cx="251954" cy="598187"/>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462644</xdr:colOff>
      <xdr:row>60</xdr:row>
      <xdr:rowOff>119742</xdr:rowOff>
    </xdr:from>
    <xdr:to>
      <xdr:col>29</xdr:col>
      <xdr:colOff>59873</xdr:colOff>
      <xdr:row>61</xdr:row>
      <xdr:rowOff>174170</xdr:rowOff>
    </xdr:to>
    <xdr:sp macro="" textlink="">
      <xdr:nvSpPr>
        <xdr:cNvPr id="635" name="Isosceles Triangle 634">
          <a:extLst>
            <a:ext uri="{FF2B5EF4-FFF2-40B4-BE49-F238E27FC236}">
              <a16:creationId xmlns:a16="http://schemas.microsoft.com/office/drawing/2014/main" id="{FBDABE15-C74B-4CD5-A5C1-EF4BE14AD754}"/>
            </a:ext>
          </a:extLst>
        </xdr:cNvPr>
        <xdr:cNvSpPr/>
      </xdr:nvSpPr>
      <xdr:spPr>
        <a:xfrm rot="5400000">
          <a:off x="17515116" y="10129156"/>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28</xdr:col>
      <xdr:colOff>0</xdr:colOff>
      <xdr:row>61</xdr:row>
      <xdr:rowOff>54428</xdr:rowOff>
    </xdr:from>
    <xdr:to>
      <xdr:col>28</xdr:col>
      <xdr:colOff>462644</xdr:colOff>
      <xdr:row>61</xdr:row>
      <xdr:rowOff>59872</xdr:rowOff>
    </xdr:to>
    <xdr:cxnSp macro="">
      <xdr:nvCxnSpPr>
        <xdr:cNvPr id="636" name="Connector: Elbow 351">
          <a:extLst>
            <a:ext uri="{FF2B5EF4-FFF2-40B4-BE49-F238E27FC236}">
              <a16:creationId xmlns:a16="http://schemas.microsoft.com/office/drawing/2014/main" id="{8A540443-A329-4EE1-8B9E-8640DD9C8F7E}"/>
            </a:ext>
          </a:extLst>
        </xdr:cNvPr>
        <xdr:cNvCxnSpPr>
          <a:stCxn id="631" idx="3"/>
          <a:endCxn id="635" idx="3"/>
        </xdr:cNvCxnSpPr>
      </xdr:nvCxnSpPr>
      <xdr:spPr>
        <a:xfrm flipV="1">
          <a:off x="17068800" y="10232571"/>
          <a:ext cx="462644"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381000</xdr:colOff>
      <xdr:row>59</xdr:row>
      <xdr:rowOff>46702</xdr:rowOff>
    </xdr:from>
    <xdr:to>
      <xdr:col>25</xdr:col>
      <xdr:colOff>228600</xdr:colOff>
      <xdr:row>59</xdr:row>
      <xdr:rowOff>70758</xdr:rowOff>
    </xdr:to>
    <xdr:cxnSp macro="">
      <xdr:nvCxnSpPr>
        <xdr:cNvPr id="637" name="Connector: Elbow 42">
          <a:extLst>
            <a:ext uri="{FF2B5EF4-FFF2-40B4-BE49-F238E27FC236}">
              <a16:creationId xmlns:a16="http://schemas.microsoft.com/office/drawing/2014/main" id="{5433F9C3-0905-42C1-9A85-1FAEC99A96E4}"/>
            </a:ext>
          </a:extLst>
        </xdr:cNvPr>
        <xdr:cNvCxnSpPr>
          <a:cxnSpLocks/>
          <a:stCxn id="555" idx="3"/>
          <a:endCxn id="632" idx="2"/>
        </xdr:cNvCxnSpPr>
      </xdr:nvCxnSpPr>
      <xdr:spPr>
        <a:xfrm flipV="1">
          <a:off x="14514871" y="10923637"/>
          <a:ext cx="1076632" cy="2405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527957</xdr:colOff>
      <xdr:row>55</xdr:row>
      <xdr:rowOff>130628</xdr:rowOff>
    </xdr:from>
    <xdr:to>
      <xdr:col>29</xdr:col>
      <xdr:colOff>125186</xdr:colOff>
      <xdr:row>56</xdr:row>
      <xdr:rowOff>185056</xdr:rowOff>
    </xdr:to>
    <xdr:sp macro="" textlink="">
      <xdr:nvSpPr>
        <xdr:cNvPr id="638" name="Isosceles Triangle 637">
          <a:extLst>
            <a:ext uri="{FF2B5EF4-FFF2-40B4-BE49-F238E27FC236}">
              <a16:creationId xmlns:a16="http://schemas.microsoft.com/office/drawing/2014/main" id="{6BA8E569-B17E-470A-AE47-84DAD03BBFF6}"/>
            </a:ext>
          </a:extLst>
        </xdr:cNvPr>
        <xdr:cNvSpPr/>
      </xdr:nvSpPr>
      <xdr:spPr>
        <a:xfrm rot="5400000">
          <a:off x="17580429" y="9214756"/>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598714</xdr:colOff>
      <xdr:row>56</xdr:row>
      <xdr:rowOff>65314</xdr:rowOff>
    </xdr:from>
    <xdr:to>
      <xdr:col>28</xdr:col>
      <xdr:colOff>527957</xdr:colOff>
      <xdr:row>56</xdr:row>
      <xdr:rowOff>70758</xdr:rowOff>
    </xdr:to>
    <xdr:cxnSp macro="">
      <xdr:nvCxnSpPr>
        <xdr:cNvPr id="639" name="Connector: Elbow 351">
          <a:extLst>
            <a:ext uri="{FF2B5EF4-FFF2-40B4-BE49-F238E27FC236}">
              <a16:creationId xmlns:a16="http://schemas.microsoft.com/office/drawing/2014/main" id="{F85735C4-A948-46C8-9CD0-0D086BB44B2D}"/>
            </a:ext>
          </a:extLst>
        </xdr:cNvPr>
        <xdr:cNvCxnSpPr>
          <a:stCxn id="630" idx="3"/>
          <a:endCxn id="638" idx="3"/>
        </xdr:cNvCxnSpPr>
      </xdr:nvCxnSpPr>
      <xdr:spPr>
        <a:xfrm flipV="1">
          <a:off x="17057914" y="9318171"/>
          <a:ext cx="538843"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236325</xdr:colOff>
      <xdr:row>69</xdr:row>
      <xdr:rowOff>0</xdr:rowOff>
    </xdr:from>
    <xdr:to>
      <xdr:col>27</xdr:col>
      <xdr:colOff>475811</xdr:colOff>
      <xdr:row>71</xdr:row>
      <xdr:rowOff>141513</xdr:rowOff>
    </xdr:to>
    <xdr:sp macro="" textlink="">
      <xdr:nvSpPr>
        <xdr:cNvPr id="641" name="Rectangle: Rounded Corners 640">
          <a:extLst>
            <a:ext uri="{FF2B5EF4-FFF2-40B4-BE49-F238E27FC236}">
              <a16:creationId xmlns:a16="http://schemas.microsoft.com/office/drawing/2014/main" id="{9F36257A-1A6A-4137-805E-168A85C06471}"/>
            </a:ext>
          </a:extLst>
        </xdr:cNvPr>
        <xdr:cNvSpPr/>
      </xdr:nvSpPr>
      <xdr:spPr>
        <a:xfrm>
          <a:off x="16213744" y="12720484"/>
          <a:ext cx="854002" cy="510223"/>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26</xdr:col>
      <xdr:colOff>370114</xdr:colOff>
      <xdr:row>75</xdr:row>
      <xdr:rowOff>174171</xdr:rowOff>
    </xdr:from>
    <xdr:to>
      <xdr:col>28</xdr:col>
      <xdr:colOff>0</xdr:colOff>
      <xdr:row>78</xdr:row>
      <xdr:rowOff>130629</xdr:rowOff>
    </xdr:to>
    <xdr:sp macro="" textlink="">
      <xdr:nvSpPr>
        <xdr:cNvPr id="642" name="Rectangle: Rounded Corners 641">
          <a:extLst>
            <a:ext uri="{FF2B5EF4-FFF2-40B4-BE49-F238E27FC236}">
              <a16:creationId xmlns:a16="http://schemas.microsoft.com/office/drawing/2014/main" id="{5FC2939D-4662-46EA-A9CC-9EBB40FEC1DE}"/>
            </a:ext>
          </a:extLst>
        </xdr:cNvPr>
        <xdr:cNvSpPr/>
      </xdr:nvSpPr>
      <xdr:spPr>
        <a:xfrm>
          <a:off x="16219714" y="12943114"/>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24</xdr:col>
      <xdr:colOff>277761</xdr:colOff>
      <xdr:row>72</xdr:row>
      <xdr:rowOff>63909</xdr:rowOff>
    </xdr:from>
    <xdr:to>
      <xdr:col>24</xdr:col>
      <xdr:colOff>593446</xdr:colOff>
      <xdr:row>73</xdr:row>
      <xdr:rowOff>140109</xdr:rowOff>
    </xdr:to>
    <xdr:sp macro="" textlink="">
      <xdr:nvSpPr>
        <xdr:cNvPr id="643" name="Oval 642">
          <a:extLst>
            <a:ext uri="{FF2B5EF4-FFF2-40B4-BE49-F238E27FC236}">
              <a16:creationId xmlns:a16="http://schemas.microsoft.com/office/drawing/2014/main" id="{6316F5E0-E9CE-4A5E-B71F-A0E9C2367E3F}"/>
            </a:ext>
          </a:extLst>
        </xdr:cNvPr>
        <xdr:cNvSpPr/>
      </xdr:nvSpPr>
      <xdr:spPr>
        <a:xfrm>
          <a:off x="15026148" y="13337457"/>
          <a:ext cx="315685"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24</xdr:col>
      <xdr:colOff>435604</xdr:colOff>
      <xdr:row>70</xdr:row>
      <xdr:rowOff>70758</xdr:rowOff>
    </xdr:from>
    <xdr:to>
      <xdr:col>26</xdr:col>
      <xdr:colOff>236325</xdr:colOff>
      <xdr:row>72</xdr:row>
      <xdr:rowOff>63910</xdr:rowOff>
    </xdr:to>
    <xdr:cxnSp macro="">
      <xdr:nvCxnSpPr>
        <xdr:cNvPr id="644" name="Connector: Elbow 643">
          <a:extLst>
            <a:ext uri="{FF2B5EF4-FFF2-40B4-BE49-F238E27FC236}">
              <a16:creationId xmlns:a16="http://schemas.microsoft.com/office/drawing/2014/main" id="{0F1E6FC3-AA12-4825-97C5-D082D8C74ECD}"/>
            </a:ext>
          </a:extLst>
        </xdr:cNvPr>
        <xdr:cNvCxnSpPr>
          <a:stCxn id="643" idx="0"/>
          <a:endCxn id="641" idx="1"/>
        </xdr:cNvCxnSpPr>
      </xdr:nvCxnSpPr>
      <xdr:spPr>
        <a:xfrm rot="5400000" flipH="1" flipV="1">
          <a:off x="15517937" y="12641651"/>
          <a:ext cx="361861" cy="102975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435605</xdr:colOff>
      <xdr:row>73</xdr:row>
      <xdr:rowOff>140108</xdr:rowOff>
    </xdr:from>
    <xdr:to>
      <xdr:col>26</xdr:col>
      <xdr:colOff>370115</xdr:colOff>
      <xdr:row>77</xdr:row>
      <xdr:rowOff>60221</xdr:rowOff>
    </xdr:to>
    <xdr:cxnSp macro="">
      <xdr:nvCxnSpPr>
        <xdr:cNvPr id="645" name="Connector: Elbow 644">
          <a:extLst>
            <a:ext uri="{FF2B5EF4-FFF2-40B4-BE49-F238E27FC236}">
              <a16:creationId xmlns:a16="http://schemas.microsoft.com/office/drawing/2014/main" id="{5CFA451D-6B8B-4481-8E66-18892876F184}"/>
            </a:ext>
          </a:extLst>
        </xdr:cNvPr>
        <xdr:cNvCxnSpPr>
          <a:stCxn id="643" idx="4"/>
          <a:endCxn id="642" idx="1"/>
        </xdr:cNvCxnSpPr>
      </xdr:nvCxnSpPr>
      <xdr:spPr>
        <a:xfrm rot="16200000" flipH="1">
          <a:off x="15436996" y="13345007"/>
          <a:ext cx="657533" cy="116354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462644</xdr:colOff>
      <xdr:row>76</xdr:row>
      <xdr:rowOff>119742</xdr:rowOff>
    </xdr:from>
    <xdr:to>
      <xdr:col>29</xdr:col>
      <xdr:colOff>59873</xdr:colOff>
      <xdr:row>77</xdr:row>
      <xdr:rowOff>174170</xdr:rowOff>
    </xdr:to>
    <xdr:sp macro="" textlink="">
      <xdr:nvSpPr>
        <xdr:cNvPr id="646" name="Isosceles Triangle 645">
          <a:extLst>
            <a:ext uri="{FF2B5EF4-FFF2-40B4-BE49-F238E27FC236}">
              <a16:creationId xmlns:a16="http://schemas.microsoft.com/office/drawing/2014/main" id="{F6CEA434-179B-4D53-940E-4A434BF69769}"/>
            </a:ext>
          </a:extLst>
        </xdr:cNvPr>
        <xdr:cNvSpPr/>
      </xdr:nvSpPr>
      <xdr:spPr>
        <a:xfrm rot="5400000">
          <a:off x="17515116" y="13090070"/>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28</xdr:col>
      <xdr:colOff>0</xdr:colOff>
      <xdr:row>77</xdr:row>
      <xdr:rowOff>54428</xdr:rowOff>
    </xdr:from>
    <xdr:to>
      <xdr:col>28</xdr:col>
      <xdr:colOff>462644</xdr:colOff>
      <xdr:row>77</xdr:row>
      <xdr:rowOff>59872</xdr:rowOff>
    </xdr:to>
    <xdr:cxnSp macro="">
      <xdr:nvCxnSpPr>
        <xdr:cNvPr id="647" name="Connector: Elbow 351">
          <a:extLst>
            <a:ext uri="{FF2B5EF4-FFF2-40B4-BE49-F238E27FC236}">
              <a16:creationId xmlns:a16="http://schemas.microsoft.com/office/drawing/2014/main" id="{FDC0758B-9D79-4E73-83AD-FD2203E9D9E0}"/>
            </a:ext>
          </a:extLst>
        </xdr:cNvPr>
        <xdr:cNvCxnSpPr>
          <a:stCxn id="642" idx="3"/>
          <a:endCxn id="646" idx="3"/>
        </xdr:cNvCxnSpPr>
      </xdr:nvCxnSpPr>
      <xdr:spPr>
        <a:xfrm flipV="1">
          <a:off x="17068800" y="13193485"/>
          <a:ext cx="462644"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381000</xdr:colOff>
      <xdr:row>73</xdr:row>
      <xdr:rowOff>9832</xdr:rowOff>
    </xdr:from>
    <xdr:to>
      <xdr:col>24</xdr:col>
      <xdr:colOff>277761</xdr:colOff>
      <xdr:row>73</xdr:row>
      <xdr:rowOff>70758</xdr:rowOff>
    </xdr:to>
    <xdr:cxnSp macro="">
      <xdr:nvCxnSpPr>
        <xdr:cNvPr id="648" name="Connector: Elbow 42">
          <a:extLst>
            <a:ext uri="{FF2B5EF4-FFF2-40B4-BE49-F238E27FC236}">
              <a16:creationId xmlns:a16="http://schemas.microsoft.com/office/drawing/2014/main" id="{868FA42B-6C01-466F-ACE9-7530C560B725}"/>
            </a:ext>
          </a:extLst>
        </xdr:cNvPr>
        <xdr:cNvCxnSpPr>
          <a:cxnSpLocks/>
          <a:stCxn id="567" idx="3"/>
          <a:endCxn id="643" idx="2"/>
        </xdr:cNvCxnSpPr>
      </xdr:nvCxnSpPr>
      <xdr:spPr>
        <a:xfrm flipV="1">
          <a:off x="14514871" y="13467735"/>
          <a:ext cx="511277" cy="6092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478795</xdr:colOff>
      <xdr:row>69</xdr:row>
      <xdr:rowOff>130629</xdr:rowOff>
    </xdr:from>
    <xdr:to>
      <xdr:col>29</xdr:col>
      <xdr:colOff>76024</xdr:colOff>
      <xdr:row>71</xdr:row>
      <xdr:rowOff>701</xdr:rowOff>
    </xdr:to>
    <xdr:sp macro="" textlink="">
      <xdr:nvSpPr>
        <xdr:cNvPr id="649" name="Isosceles Triangle 648">
          <a:extLst>
            <a:ext uri="{FF2B5EF4-FFF2-40B4-BE49-F238E27FC236}">
              <a16:creationId xmlns:a16="http://schemas.microsoft.com/office/drawing/2014/main" id="{7B7EC8E7-2A69-4576-976B-3B03E400C70F}"/>
            </a:ext>
          </a:extLst>
        </xdr:cNvPr>
        <xdr:cNvSpPr/>
      </xdr:nvSpPr>
      <xdr:spPr>
        <a:xfrm rot="5400000">
          <a:off x="17671729" y="12864631"/>
          <a:ext cx="238782" cy="21174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475811</xdr:colOff>
      <xdr:row>70</xdr:row>
      <xdr:rowOff>65665</xdr:rowOff>
    </xdr:from>
    <xdr:to>
      <xdr:col>28</xdr:col>
      <xdr:colOff>478796</xdr:colOff>
      <xdr:row>70</xdr:row>
      <xdr:rowOff>70757</xdr:rowOff>
    </xdr:to>
    <xdr:cxnSp macro="">
      <xdr:nvCxnSpPr>
        <xdr:cNvPr id="650" name="Connector: Elbow 351">
          <a:extLst>
            <a:ext uri="{FF2B5EF4-FFF2-40B4-BE49-F238E27FC236}">
              <a16:creationId xmlns:a16="http://schemas.microsoft.com/office/drawing/2014/main" id="{32512082-546C-48A5-A076-FCBA4E19B50E}"/>
            </a:ext>
          </a:extLst>
        </xdr:cNvPr>
        <xdr:cNvCxnSpPr>
          <a:stCxn id="641" idx="3"/>
          <a:endCxn id="649" idx="3"/>
        </xdr:cNvCxnSpPr>
      </xdr:nvCxnSpPr>
      <xdr:spPr>
        <a:xfrm flipV="1">
          <a:off x="17067746" y="12970504"/>
          <a:ext cx="617502" cy="509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359228</xdr:colOff>
      <xdr:row>91</xdr:row>
      <xdr:rowOff>0</xdr:rowOff>
    </xdr:from>
    <xdr:to>
      <xdr:col>27</xdr:col>
      <xdr:colOff>598714</xdr:colOff>
      <xdr:row>93</xdr:row>
      <xdr:rowOff>141515</xdr:rowOff>
    </xdr:to>
    <xdr:sp macro="" textlink="">
      <xdr:nvSpPr>
        <xdr:cNvPr id="652" name="Rectangle: Rounded Corners 651">
          <a:extLst>
            <a:ext uri="{FF2B5EF4-FFF2-40B4-BE49-F238E27FC236}">
              <a16:creationId xmlns:a16="http://schemas.microsoft.com/office/drawing/2014/main" id="{5F7FF433-EFB1-4E9F-ADB9-1827EC4FE93C}"/>
            </a:ext>
          </a:extLst>
        </xdr:cNvPr>
        <xdr:cNvSpPr/>
      </xdr:nvSpPr>
      <xdr:spPr>
        <a:xfrm>
          <a:off x="16208828" y="15729857"/>
          <a:ext cx="849086" cy="511629"/>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Complications</a:t>
          </a:r>
          <a:r>
            <a:rPr lang="en-ZA" sz="1100" baseline="0">
              <a:solidFill>
                <a:sysClr val="windowText" lastClr="000000"/>
              </a:solidFill>
            </a:rPr>
            <a:t> in first 2 years</a:t>
          </a:r>
          <a:endParaRPr lang="en-ZA" sz="1100">
            <a:solidFill>
              <a:sysClr val="windowText" lastClr="000000"/>
            </a:solidFill>
          </a:endParaRPr>
        </a:p>
      </xdr:txBody>
    </xdr:sp>
    <xdr:clientData/>
  </xdr:twoCellAnchor>
  <xdr:twoCellAnchor>
    <xdr:from>
      <xdr:col>26</xdr:col>
      <xdr:colOff>271791</xdr:colOff>
      <xdr:row>97</xdr:row>
      <xdr:rowOff>75849</xdr:rowOff>
    </xdr:from>
    <xdr:to>
      <xdr:col>27</xdr:col>
      <xdr:colOff>516194</xdr:colOff>
      <xdr:row>100</xdr:row>
      <xdr:rowOff>32306</xdr:rowOff>
    </xdr:to>
    <xdr:sp macro="" textlink="">
      <xdr:nvSpPr>
        <xdr:cNvPr id="653" name="Rectangle: Rounded Corners 652">
          <a:extLst>
            <a:ext uri="{FF2B5EF4-FFF2-40B4-BE49-F238E27FC236}">
              <a16:creationId xmlns:a16="http://schemas.microsoft.com/office/drawing/2014/main" id="{7104C38F-B08F-4CE5-B002-D9334812E038}"/>
            </a:ext>
          </a:extLst>
        </xdr:cNvPr>
        <xdr:cNvSpPr/>
      </xdr:nvSpPr>
      <xdr:spPr>
        <a:xfrm>
          <a:off x="16249210" y="17958268"/>
          <a:ext cx="858919" cy="50952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Healthy</a:t>
          </a:r>
        </a:p>
      </xdr:txBody>
    </xdr:sp>
    <xdr:clientData/>
  </xdr:twoCellAnchor>
  <xdr:twoCellAnchor>
    <xdr:from>
      <xdr:col>25</xdr:col>
      <xdr:colOff>167148</xdr:colOff>
      <xdr:row>94</xdr:row>
      <xdr:rowOff>88490</xdr:rowOff>
    </xdr:from>
    <xdr:to>
      <xdr:col>25</xdr:col>
      <xdr:colOff>482833</xdr:colOff>
      <xdr:row>95</xdr:row>
      <xdr:rowOff>164690</xdr:rowOff>
    </xdr:to>
    <xdr:sp macro="" textlink="">
      <xdr:nvSpPr>
        <xdr:cNvPr id="654" name="Oval 653">
          <a:extLst>
            <a:ext uri="{FF2B5EF4-FFF2-40B4-BE49-F238E27FC236}">
              <a16:creationId xmlns:a16="http://schemas.microsoft.com/office/drawing/2014/main" id="{479E2282-BFA4-4E50-8DC3-81508C6A49B2}"/>
            </a:ext>
          </a:extLst>
        </xdr:cNvPr>
        <xdr:cNvSpPr/>
      </xdr:nvSpPr>
      <xdr:spPr>
        <a:xfrm>
          <a:off x="15530051" y="17417845"/>
          <a:ext cx="315685" cy="2605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25</xdr:col>
      <xdr:colOff>324990</xdr:colOff>
      <xdr:row>92</xdr:row>
      <xdr:rowOff>70759</xdr:rowOff>
    </xdr:from>
    <xdr:to>
      <xdr:col>26</xdr:col>
      <xdr:colOff>359227</xdr:colOff>
      <xdr:row>94</xdr:row>
      <xdr:rowOff>88491</xdr:rowOff>
    </xdr:to>
    <xdr:cxnSp macro="">
      <xdr:nvCxnSpPr>
        <xdr:cNvPr id="655" name="Connector: Elbow 654">
          <a:extLst>
            <a:ext uri="{FF2B5EF4-FFF2-40B4-BE49-F238E27FC236}">
              <a16:creationId xmlns:a16="http://schemas.microsoft.com/office/drawing/2014/main" id="{D06C9F84-3114-4714-9771-96D9CB7E11BB}"/>
            </a:ext>
          </a:extLst>
        </xdr:cNvPr>
        <xdr:cNvCxnSpPr>
          <a:stCxn id="654" idx="0"/>
          <a:endCxn id="652" idx="1"/>
        </xdr:cNvCxnSpPr>
      </xdr:nvCxnSpPr>
      <xdr:spPr>
        <a:xfrm rot="5400000" flipH="1" flipV="1">
          <a:off x="15819049" y="16900248"/>
          <a:ext cx="386442" cy="648753"/>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324992</xdr:colOff>
      <xdr:row>95</xdr:row>
      <xdr:rowOff>164689</xdr:rowOff>
    </xdr:from>
    <xdr:to>
      <xdr:col>26</xdr:col>
      <xdr:colOff>271792</xdr:colOff>
      <xdr:row>98</xdr:row>
      <xdr:rowOff>146254</xdr:rowOff>
    </xdr:to>
    <xdr:cxnSp macro="">
      <xdr:nvCxnSpPr>
        <xdr:cNvPr id="656" name="Connector: Elbow 655">
          <a:extLst>
            <a:ext uri="{FF2B5EF4-FFF2-40B4-BE49-F238E27FC236}">
              <a16:creationId xmlns:a16="http://schemas.microsoft.com/office/drawing/2014/main" id="{9EE7B8A7-F1F6-49F6-B0FC-6C2C1651D968}"/>
            </a:ext>
          </a:extLst>
        </xdr:cNvPr>
        <xdr:cNvCxnSpPr>
          <a:stCxn id="654" idx="4"/>
          <a:endCxn id="653" idx="1"/>
        </xdr:cNvCxnSpPr>
      </xdr:nvCxnSpPr>
      <xdr:spPr>
        <a:xfrm rot="16200000" flipH="1">
          <a:off x="15701238" y="17665056"/>
          <a:ext cx="534629" cy="561316"/>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462644</xdr:colOff>
      <xdr:row>98</xdr:row>
      <xdr:rowOff>70583</xdr:rowOff>
    </xdr:from>
    <xdr:to>
      <xdr:col>29</xdr:col>
      <xdr:colOff>59873</xdr:colOff>
      <xdr:row>99</xdr:row>
      <xdr:rowOff>125010</xdr:rowOff>
    </xdr:to>
    <xdr:sp macro="" textlink="">
      <xdr:nvSpPr>
        <xdr:cNvPr id="657" name="Isosceles Triangle 656">
          <a:extLst>
            <a:ext uri="{FF2B5EF4-FFF2-40B4-BE49-F238E27FC236}">
              <a16:creationId xmlns:a16="http://schemas.microsoft.com/office/drawing/2014/main" id="{F0089E3D-8BDC-4C38-8D32-3B4E93CB103D}"/>
            </a:ext>
          </a:extLst>
        </xdr:cNvPr>
        <xdr:cNvSpPr/>
      </xdr:nvSpPr>
      <xdr:spPr>
        <a:xfrm rot="5400000">
          <a:off x="17655578" y="18150875"/>
          <a:ext cx="238782" cy="21174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516194</xdr:colOff>
      <xdr:row>98</xdr:row>
      <xdr:rowOff>146255</xdr:rowOff>
    </xdr:from>
    <xdr:to>
      <xdr:col>28</xdr:col>
      <xdr:colOff>462645</xdr:colOff>
      <xdr:row>99</xdr:row>
      <xdr:rowOff>5619</xdr:rowOff>
    </xdr:to>
    <xdr:cxnSp macro="">
      <xdr:nvCxnSpPr>
        <xdr:cNvPr id="658" name="Connector: Elbow 351">
          <a:extLst>
            <a:ext uri="{FF2B5EF4-FFF2-40B4-BE49-F238E27FC236}">
              <a16:creationId xmlns:a16="http://schemas.microsoft.com/office/drawing/2014/main" id="{A01B03C3-097B-42BD-A2FD-EC19C500B777}"/>
            </a:ext>
          </a:extLst>
        </xdr:cNvPr>
        <xdr:cNvCxnSpPr>
          <a:stCxn id="653" idx="3"/>
          <a:endCxn id="657" idx="3"/>
        </xdr:cNvCxnSpPr>
      </xdr:nvCxnSpPr>
      <xdr:spPr>
        <a:xfrm>
          <a:off x="17108129" y="18213029"/>
          <a:ext cx="560968" cy="43719"/>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381000</xdr:colOff>
      <xdr:row>95</xdr:row>
      <xdr:rowOff>34413</xdr:rowOff>
    </xdr:from>
    <xdr:to>
      <xdr:col>25</xdr:col>
      <xdr:colOff>167148</xdr:colOff>
      <xdr:row>95</xdr:row>
      <xdr:rowOff>70758</xdr:rowOff>
    </xdr:to>
    <xdr:cxnSp macro="">
      <xdr:nvCxnSpPr>
        <xdr:cNvPr id="659" name="Connector: Elbow 42">
          <a:extLst>
            <a:ext uri="{FF2B5EF4-FFF2-40B4-BE49-F238E27FC236}">
              <a16:creationId xmlns:a16="http://schemas.microsoft.com/office/drawing/2014/main" id="{7DE5AEA3-DAF3-4862-AFE7-313DB23C839E}"/>
            </a:ext>
          </a:extLst>
        </xdr:cNvPr>
        <xdr:cNvCxnSpPr>
          <a:cxnSpLocks/>
          <a:stCxn id="579" idx="3"/>
          <a:endCxn id="654" idx="2"/>
        </xdr:cNvCxnSpPr>
      </xdr:nvCxnSpPr>
      <xdr:spPr>
        <a:xfrm flipV="1">
          <a:off x="14514871" y="17548123"/>
          <a:ext cx="1015180" cy="36345"/>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527957</xdr:colOff>
      <xdr:row>91</xdr:row>
      <xdr:rowOff>130628</xdr:rowOff>
    </xdr:from>
    <xdr:to>
      <xdr:col>29</xdr:col>
      <xdr:colOff>125186</xdr:colOff>
      <xdr:row>92</xdr:row>
      <xdr:rowOff>185056</xdr:rowOff>
    </xdr:to>
    <xdr:sp macro="" textlink="">
      <xdr:nvSpPr>
        <xdr:cNvPr id="660" name="Isosceles Triangle 659">
          <a:extLst>
            <a:ext uri="{FF2B5EF4-FFF2-40B4-BE49-F238E27FC236}">
              <a16:creationId xmlns:a16="http://schemas.microsoft.com/office/drawing/2014/main" id="{262EBC48-FBB7-49D4-81D6-21373B1F02AE}"/>
            </a:ext>
          </a:extLst>
        </xdr:cNvPr>
        <xdr:cNvSpPr/>
      </xdr:nvSpPr>
      <xdr:spPr>
        <a:xfrm rot="5400000">
          <a:off x="17580429" y="15876813"/>
          <a:ext cx="239485" cy="20682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27</xdr:col>
      <xdr:colOff>598714</xdr:colOff>
      <xdr:row>92</xdr:row>
      <xdr:rowOff>65314</xdr:rowOff>
    </xdr:from>
    <xdr:to>
      <xdr:col>28</xdr:col>
      <xdr:colOff>527957</xdr:colOff>
      <xdr:row>92</xdr:row>
      <xdr:rowOff>70758</xdr:rowOff>
    </xdr:to>
    <xdr:cxnSp macro="">
      <xdr:nvCxnSpPr>
        <xdr:cNvPr id="661" name="Connector: Elbow 351">
          <a:extLst>
            <a:ext uri="{FF2B5EF4-FFF2-40B4-BE49-F238E27FC236}">
              <a16:creationId xmlns:a16="http://schemas.microsoft.com/office/drawing/2014/main" id="{AE55A6C5-9E79-4586-A9B3-E37DA10FD6E0}"/>
            </a:ext>
          </a:extLst>
        </xdr:cNvPr>
        <xdr:cNvCxnSpPr>
          <a:stCxn id="652" idx="3"/>
          <a:endCxn id="660" idx="3"/>
        </xdr:cNvCxnSpPr>
      </xdr:nvCxnSpPr>
      <xdr:spPr>
        <a:xfrm flipV="1">
          <a:off x="17057914" y="15980228"/>
          <a:ext cx="538843" cy="5444"/>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186461</xdr:colOff>
      <xdr:row>46</xdr:row>
      <xdr:rowOff>7725</xdr:rowOff>
    </xdr:from>
    <xdr:to>
      <xdr:col>2</xdr:col>
      <xdr:colOff>425947</xdr:colOff>
      <xdr:row>48</xdr:row>
      <xdr:rowOff>148538</xdr:rowOff>
    </xdr:to>
    <xdr:sp macro="" textlink="">
      <xdr:nvSpPr>
        <xdr:cNvPr id="832" name="Rectangle: Rounded Corners 831">
          <a:extLst>
            <a:ext uri="{FF2B5EF4-FFF2-40B4-BE49-F238E27FC236}">
              <a16:creationId xmlns:a16="http://schemas.microsoft.com/office/drawing/2014/main" id="{BD798BF5-86D1-4EE8-B65B-AF033F76E765}"/>
            </a:ext>
          </a:extLst>
        </xdr:cNvPr>
        <xdr:cNvSpPr/>
      </xdr:nvSpPr>
      <xdr:spPr>
        <a:xfrm>
          <a:off x="800977" y="8488048"/>
          <a:ext cx="854002" cy="50952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PSG</a:t>
          </a:r>
        </a:p>
      </xdr:txBody>
    </xdr:sp>
    <xdr:clientData/>
  </xdr:twoCellAnchor>
  <xdr:twoCellAnchor>
    <xdr:from>
      <xdr:col>1</xdr:col>
      <xdr:colOff>583029</xdr:colOff>
      <xdr:row>48</xdr:row>
      <xdr:rowOff>148538</xdr:rowOff>
    </xdr:from>
    <xdr:to>
      <xdr:col>1</xdr:col>
      <xdr:colOff>613462</xdr:colOff>
      <xdr:row>65</xdr:row>
      <xdr:rowOff>72571</xdr:rowOff>
    </xdr:to>
    <xdr:cxnSp macro="">
      <xdr:nvCxnSpPr>
        <xdr:cNvPr id="834" name="Connector: Elbow 833">
          <a:extLst>
            <a:ext uri="{FF2B5EF4-FFF2-40B4-BE49-F238E27FC236}">
              <a16:creationId xmlns:a16="http://schemas.microsoft.com/office/drawing/2014/main" id="{01150A2D-B8F2-4CE7-8B40-7B2498DC3867}"/>
            </a:ext>
          </a:extLst>
        </xdr:cNvPr>
        <xdr:cNvCxnSpPr>
          <a:stCxn id="2" idx="0"/>
          <a:endCxn id="832" idx="2"/>
        </xdr:cNvCxnSpPr>
      </xdr:nvCxnSpPr>
      <xdr:spPr>
        <a:xfrm flipV="1">
          <a:off x="1197545" y="8997570"/>
          <a:ext cx="30433" cy="3058066"/>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166796</xdr:colOff>
      <xdr:row>80</xdr:row>
      <xdr:rowOff>98674</xdr:rowOff>
    </xdr:from>
    <xdr:to>
      <xdr:col>2</xdr:col>
      <xdr:colOff>406282</xdr:colOff>
      <xdr:row>83</xdr:row>
      <xdr:rowOff>55131</xdr:rowOff>
    </xdr:to>
    <xdr:sp macro="" textlink="">
      <xdr:nvSpPr>
        <xdr:cNvPr id="837" name="Rectangle: Rounded Corners 836">
          <a:extLst>
            <a:ext uri="{FF2B5EF4-FFF2-40B4-BE49-F238E27FC236}">
              <a16:creationId xmlns:a16="http://schemas.microsoft.com/office/drawing/2014/main" id="{9AB3CDA8-671A-4A22-BBFB-D1B159592A99}"/>
            </a:ext>
          </a:extLst>
        </xdr:cNvPr>
        <xdr:cNvSpPr/>
      </xdr:nvSpPr>
      <xdr:spPr>
        <a:xfrm>
          <a:off x="781312" y="14847061"/>
          <a:ext cx="854002" cy="509522"/>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solidFill>
                <a:sysClr val="windowText" lastClr="000000"/>
              </a:solidFill>
            </a:rPr>
            <a:t>Comparator</a:t>
          </a:r>
        </a:p>
      </xdr:txBody>
    </xdr:sp>
    <xdr:clientData/>
  </xdr:twoCellAnchor>
  <xdr:twoCellAnchor>
    <xdr:from>
      <xdr:col>1</xdr:col>
      <xdr:colOff>583029</xdr:colOff>
      <xdr:row>66</xdr:row>
      <xdr:rowOff>76200</xdr:rowOff>
    </xdr:from>
    <xdr:to>
      <xdr:col>1</xdr:col>
      <xdr:colOff>593797</xdr:colOff>
      <xdr:row>80</xdr:row>
      <xdr:rowOff>98674</xdr:rowOff>
    </xdr:to>
    <xdr:cxnSp macro="">
      <xdr:nvCxnSpPr>
        <xdr:cNvPr id="839" name="Connector: Elbow 838">
          <a:extLst>
            <a:ext uri="{FF2B5EF4-FFF2-40B4-BE49-F238E27FC236}">
              <a16:creationId xmlns:a16="http://schemas.microsoft.com/office/drawing/2014/main" id="{04142594-3BB8-408D-87CE-D1615347DB4B}"/>
            </a:ext>
          </a:extLst>
        </xdr:cNvPr>
        <xdr:cNvCxnSpPr>
          <a:cxnSpLocks/>
          <a:stCxn id="2" idx="2"/>
          <a:endCxn id="837" idx="0"/>
        </xdr:cNvCxnSpPr>
      </xdr:nvCxnSpPr>
      <xdr:spPr>
        <a:xfrm>
          <a:off x="1197545" y="12243619"/>
          <a:ext cx="10768" cy="2603442"/>
        </a:xfrm>
        <a:prstGeom prst="straightConnector1">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603250</xdr:colOff>
      <xdr:row>5</xdr:row>
      <xdr:rowOff>0</xdr:rowOff>
    </xdr:from>
    <xdr:to>
      <xdr:col>2</xdr:col>
      <xdr:colOff>12700</xdr:colOff>
      <xdr:row>100</xdr:row>
      <xdr:rowOff>158750</xdr:rowOff>
    </xdr:to>
    <xdr:cxnSp macro="">
      <xdr:nvCxnSpPr>
        <xdr:cNvPr id="3" name="Straight Arrow Connector 2">
          <a:extLst>
            <a:ext uri="{FF2B5EF4-FFF2-40B4-BE49-F238E27FC236}">
              <a16:creationId xmlns:a16="http://schemas.microsoft.com/office/drawing/2014/main" id="{00000000-0008-0000-1200-000003000000}"/>
            </a:ext>
          </a:extLst>
        </xdr:cNvPr>
        <xdr:cNvCxnSpPr/>
      </xdr:nvCxnSpPr>
      <xdr:spPr>
        <a:xfrm flipV="1">
          <a:off x="603250" y="952500"/>
          <a:ext cx="628650" cy="1825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103</xdr:row>
      <xdr:rowOff>169333</xdr:rowOff>
    </xdr:from>
    <xdr:to>
      <xdr:col>1</xdr:col>
      <xdr:colOff>603250</xdr:colOff>
      <xdr:row>145</xdr:row>
      <xdr:rowOff>148167</xdr:rowOff>
    </xdr:to>
    <xdr:cxnSp macro="">
      <xdr:nvCxnSpPr>
        <xdr:cNvPr id="5" name="Straight Arrow Connector 4">
          <a:extLst>
            <a:ext uri="{FF2B5EF4-FFF2-40B4-BE49-F238E27FC236}">
              <a16:creationId xmlns:a16="http://schemas.microsoft.com/office/drawing/2014/main" id="{00000000-0008-0000-1200-000005000000}"/>
            </a:ext>
          </a:extLst>
        </xdr:cNvPr>
        <xdr:cNvCxnSpPr/>
      </xdr:nvCxnSpPr>
      <xdr:spPr>
        <a:xfrm>
          <a:off x="603250" y="18520833"/>
          <a:ext cx="613833" cy="7535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78</xdr:row>
      <xdr:rowOff>158750</xdr:rowOff>
    </xdr:from>
    <xdr:to>
      <xdr:col>3</xdr:col>
      <xdr:colOff>603250</xdr:colOff>
      <xdr:row>146</xdr:row>
      <xdr:rowOff>10583</xdr:rowOff>
    </xdr:to>
    <xdr:cxnSp macro="">
      <xdr:nvCxnSpPr>
        <xdr:cNvPr id="7" name="Straight Arrow Connector 6">
          <a:extLst>
            <a:ext uri="{FF2B5EF4-FFF2-40B4-BE49-F238E27FC236}">
              <a16:creationId xmlns:a16="http://schemas.microsoft.com/office/drawing/2014/main" id="{00000000-0008-0000-1200-000007000000}"/>
            </a:ext>
          </a:extLst>
        </xdr:cNvPr>
        <xdr:cNvCxnSpPr/>
      </xdr:nvCxnSpPr>
      <xdr:spPr>
        <a:xfrm flipV="1">
          <a:off x="2307167" y="14012333"/>
          <a:ext cx="592666" cy="12086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148</xdr:row>
      <xdr:rowOff>10583</xdr:rowOff>
    </xdr:from>
    <xdr:to>
      <xdr:col>4</xdr:col>
      <xdr:colOff>63500</xdr:colOff>
      <xdr:row>299</xdr:row>
      <xdr:rowOff>158750</xdr:rowOff>
    </xdr:to>
    <xdr:cxnSp macro="">
      <xdr:nvCxnSpPr>
        <xdr:cNvPr id="9" name="Straight Arrow Connector 8">
          <a:extLst>
            <a:ext uri="{FF2B5EF4-FFF2-40B4-BE49-F238E27FC236}">
              <a16:creationId xmlns:a16="http://schemas.microsoft.com/office/drawing/2014/main" id="{00000000-0008-0000-1200-000009000000}"/>
            </a:ext>
          </a:extLst>
        </xdr:cNvPr>
        <xdr:cNvCxnSpPr/>
      </xdr:nvCxnSpPr>
      <xdr:spPr>
        <a:xfrm>
          <a:off x="2307167" y="28395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41</xdr:row>
      <xdr:rowOff>1</xdr:rowOff>
    </xdr:from>
    <xdr:to>
      <xdr:col>6</xdr:col>
      <xdr:colOff>0</xdr:colOff>
      <xdr:row>75</xdr:row>
      <xdr:rowOff>116417</xdr:rowOff>
    </xdr:to>
    <xdr:cxnSp macro="">
      <xdr:nvCxnSpPr>
        <xdr:cNvPr id="11" name="Straight Arrow Connector 10">
          <a:extLst>
            <a:ext uri="{FF2B5EF4-FFF2-40B4-BE49-F238E27FC236}">
              <a16:creationId xmlns:a16="http://schemas.microsoft.com/office/drawing/2014/main" id="{00000000-0008-0000-1200-00000B000000}"/>
            </a:ext>
          </a:extLst>
        </xdr:cNvPr>
        <xdr:cNvCxnSpPr/>
      </xdr:nvCxnSpPr>
      <xdr:spPr>
        <a:xfrm flipV="1">
          <a:off x="3735917" y="7376584"/>
          <a:ext cx="666750" cy="6233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78</xdr:row>
      <xdr:rowOff>169334</xdr:rowOff>
    </xdr:from>
    <xdr:to>
      <xdr:col>5</xdr:col>
      <xdr:colOff>571500</xdr:colOff>
      <xdr:row>148</xdr:row>
      <xdr:rowOff>0</xdr:rowOff>
    </xdr:to>
    <xdr:cxnSp macro="">
      <xdr:nvCxnSpPr>
        <xdr:cNvPr id="13" name="Straight Arrow Connector 12">
          <a:extLst>
            <a:ext uri="{FF2B5EF4-FFF2-40B4-BE49-F238E27FC236}">
              <a16:creationId xmlns:a16="http://schemas.microsoft.com/office/drawing/2014/main" id="{00000000-0008-0000-1200-00000D00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xdr:row>
      <xdr:rowOff>148167</xdr:rowOff>
    </xdr:from>
    <xdr:to>
      <xdr:col>7</xdr:col>
      <xdr:colOff>603250</xdr:colOff>
      <xdr:row>38</xdr:row>
      <xdr:rowOff>31750</xdr:rowOff>
    </xdr:to>
    <xdr:cxnSp macro="">
      <xdr:nvCxnSpPr>
        <xdr:cNvPr id="19" name="Straight Arrow Connector 18">
          <a:extLst>
            <a:ext uri="{FF2B5EF4-FFF2-40B4-BE49-F238E27FC236}">
              <a16:creationId xmlns:a16="http://schemas.microsoft.com/office/drawing/2014/main" id="{00000000-0008-0000-1200-000013000000}"/>
            </a:ext>
          </a:extLst>
        </xdr:cNvPr>
        <xdr:cNvCxnSpPr/>
      </xdr:nvCxnSpPr>
      <xdr:spPr>
        <a:xfrm flipV="1">
          <a:off x="5207000" y="2846917"/>
          <a:ext cx="603250" cy="402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41</xdr:row>
      <xdr:rowOff>10584</xdr:rowOff>
    </xdr:from>
    <xdr:to>
      <xdr:col>8</xdr:col>
      <xdr:colOff>21167</xdr:colOff>
      <xdr:row>69</xdr:row>
      <xdr:rowOff>148166</xdr:rowOff>
    </xdr:to>
    <xdr:cxnSp macro="">
      <xdr:nvCxnSpPr>
        <xdr:cNvPr id="21" name="Straight Arrow Connector 20">
          <a:extLst>
            <a:ext uri="{FF2B5EF4-FFF2-40B4-BE49-F238E27FC236}">
              <a16:creationId xmlns:a16="http://schemas.microsoft.com/office/drawing/2014/main" id="{00000000-0008-0000-1200-000015000000}"/>
            </a:ext>
          </a:extLst>
        </xdr:cNvPr>
        <xdr:cNvCxnSpPr/>
      </xdr:nvCxnSpPr>
      <xdr:spPr>
        <a:xfrm>
          <a:off x="5207000" y="7387167"/>
          <a:ext cx="635000" cy="535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8</xdr:row>
      <xdr:rowOff>137583</xdr:rowOff>
    </xdr:from>
    <xdr:to>
      <xdr:col>9</xdr:col>
      <xdr:colOff>603250</xdr:colOff>
      <xdr:row>14</xdr:row>
      <xdr:rowOff>21166</xdr:rowOff>
    </xdr:to>
    <xdr:cxnSp macro="">
      <xdr:nvCxnSpPr>
        <xdr:cNvPr id="23" name="Straight Arrow Connector 22">
          <a:extLst>
            <a:ext uri="{FF2B5EF4-FFF2-40B4-BE49-F238E27FC236}">
              <a16:creationId xmlns:a16="http://schemas.microsoft.com/office/drawing/2014/main" id="{00000000-0008-0000-1200-000017000000}"/>
            </a:ext>
          </a:extLst>
        </xdr:cNvPr>
        <xdr:cNvCxnSpPr/>
      </xdr:nvCxnSpPr>
      <xdr:spPr>
        <a:xfrm flipV="1">
          <a:off x="6434667" y="1397000"/>
          <a:ext cx="603250" cy="963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xdr:row>
      <xdr:rowOff>0</xdr:rowOff>
    </xdr:from>
    <xdr:to>
      <xdr:col>9</xdr:col>
      <xdr:colOff>582083</xdr:colOff>
      <xdr:row>25</xdr:row>
      <xdr:rowOff>10583</xdr:rowOff>
    </xdr:to>
    <xdr:cxnSp macro="">
      <xdr:nvCxnSpPr>
        <xdr:cNvPr id="25" name="Straight Arrow Connector 24">
          <a:extLst>
            <a:ext uri="{FF2B5EF4-FFF2-40B4-BE49-F238E27FC236}">
              <a16:creationId xmlns:a16="http://schemas.microsoft.com/office/drawing/2014/main" id="{00000000-0008-0000-1200-000019000000}"/>
            </a:ext>
          </a:extLst>
        </xdr:cNvPr>
        <xdr:cNvCxnSpPr/>
      </xdr:nvCxnSpPr>
      <xdr:spPr>
        <a:xfrm>
          <a:off x="6466417" y="2878667"/>
          <a:ext cx="550333" cy="1449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22</xdr:row>
      <xdr:rowOff>169333</xdr:rowOff>
    </xdr:from>
    <xdr:to>
      <xdr:col>11</xdr:col>
      <xdr:colOff>603250</xdr:colOff>
      <xdr:row>25</xdr:row>
      <xdr:rowOff>21167</xdr:rowOff>
    </xdr:to>
    <xdr:cxnSp macro="">
      <xdr:nvCxnSpPr>
        <xdr:cNvPr id="27" name="Straight Arrow Connector 26">
          <a:extLst>
            <a:ext uri="{FF2B5EF4-FFF2-40B4-BE49-F238E27FC236}">
              <a16:creationId xmlns:a16="http://schemas.microsoft.com/office/drawing/2014/main" id="{00000000-0008-0000-1200-00001B000000}"/>
            </a:ext>
          </a:extLst>
        </xdr:cNvPr>
        <xdr:cNvCxnSpPr/>
      </xdr:nvCxnSpPr>
      <xdr:spPr>
        <a:xfrm flipV="1">
          <a:off x="7683500" y="3947583"/>
          <a:ext cx="582083" cy="3915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28</xdr:row>
      <xdr:rowOff>42333</xdr:rowOff>
    </xdr:from>
    <xdr:to>
      <xdr:col>11</xdr:col>
      <xdr:colOff>603250</xdr:colOff>
      <xdr:row>40</xdr:row>
      <xdr:rowOff>10583</xdr:rowOff>
    </xdr:to>
    <xdr:cxnSp macro="">
      <xdr:nvCxnSpPr>
        <xdr:cNvPr id="29" name="Straight Arrow Connector 28">
          <a:extLst>
            <a:ext uri="{FF2B5EF4-FFF2-40B4-BE49-F238E27FC236}">
              <a16:creationId xmlns:a16="http://schemas.microsoft.com/office/drawing/2014/main" id="{00000000-0008-0000-1200-00001D000000}"/>
            </a:ext>
          </a:extLst>
        </xdr:cNvPr>
        <xdr:cNvCxnSpPr/>
      </xdr:nvCxnSpPr>
      <xdr:spPr>
        <a:xfrm>
          <a:off x="7672917" y="4900083"/>
          <a:ext cx="592666" cy="2307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18</xdr:row>
      <xdr:rowOff>21167</xdr:rowOff>
    </xdr:from>
    <xdr:to>
      <xdr:col>13</xdr:col>
      <xdr:colOff>592667</xdr:colOff>
      <xdr:row>20</xdr:row>
      <xdr:rowOff>0</xdr:rowOff>
    </xdr:to>
    <xdr:cxnSp macro="">
      <xdr:nvCxnSpPr>
        <xdr:cNvPr id="31" name="Straight Arrow Connector 30">
          <a:extLst>
            <a:ext uri="{FF2B5EF4-FFF2-40B4-BE49-F238E27FC236}">
              <a16:creationId xmlns:a16="http://schemas.microsoft.com/office/drawing/2014/main" id="{00000000-0008-0000-1200-00001F000000}"/>
            </a:ext>
          </a:extLst>
        </xdr:cNvPr>
        <xdr:cNvCxnSpPr/>
      </xdr:nvCxnSpPr>
      <xdr:spPr>
        <a:xfrm flipV="1">
          <a:off x="8879417" y="3079750"/>
          <a:ext cx="603250"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23</xdr:row>
      <xdr:rowOff>21166</xdr:rowOff>
    </xdr:from>
    <xdr:to>
      <xdr:col>13</xdr:col>
      <xdr:colOff>592667</xdr:colOff>
      <xdr:row>24</xdr:row>
      <xdr:rowOff>169334</xdr:rowOff>
    </xdr:to>
    <xdr:cxnSp macro="">
      <xdr:nvCxnSpPr>
        <xdr:cNvPr id="33" name="Straight Arrow Connector 32">
          <a:extLst>
            <a:ext uri="{FF2B5EF4-FFF2-40B4-BE49-F238E27FC236}">
              <a16:creationId xmlns:a16="http://schemas.microsoft.com/office/drawing/2014/main" id="{00000000-0008-0000-1200-000021000000}"/>
            </a:ext>
          </a:extLst>
        </xdr:cNvPr>
        <xdr:cNvCxnSpPr/>
      </xdr:nvCxnSpPr>
      <xdr:spPr>
        <a:xfrm>
          <a:off x="8868833" y="3979333"/>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38</xdr:row>
      <xdr:rowOff>21167</xdr:rowOff>
    </xdr:from>
    <xdr:to>
      <xdr:col>13</xdr:col>
      <xdr:colOff>592667</xdr:colOff>
      <xdr:row>40</xdr:row>
      <xdr:rowOff>63500</xdr:rowOff>
    </xdr:to>
    <xdr:cxnSp macro="">
      <xdr:nvCxnSpPr>
        <xdr:cNvPr id="35" name="Straight Arrow Connector 34">
          <a:extLst>
            <a:ext uri="{FF2B5EF4-FFF2-40B4-BE49-F238E27FC236}">
              <a16:creationId xmlns:a16="http://schemas.microsoft.com/office/drawing/2014/main" id="{00000000-0008-0000-1200-000023000000}"/>
            </a:ext>
          </a:extLst>
        </xdr:cNvPr>
        <xdr:cNvCxnSpPr/>
      </xdr:nvCxnSpPr>
      <xdr:spPr>
        <a:xfrm flipV="1">
          <a:off x="8890000" y="6858000"/>
          <a:ext cx="592667" cy="40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43</xdr:row>
      <xdr:rowOff>0</xdr:rowOff>
    </xdr:from>
    <xdr:to>
      <xdr:col>14</xdr:col>
      <xdr:colOff>10584</xdr:colOff>
      <xdr:row>51</xdr:row>
      <xdr:rowOff>148167</xdr:rowOff>
    </xdr:to>
    <xdr:cxnSp macro="">
      <xdr:nvCxnSpPr>
        <xdr:cNvPr id="37" name="Straight Arrow Connector 36">
          <a:extLst>
            <a:ext uri="{FF2B5EF4-FFF2-40B4-BE49-F238E27FC236}">
              <a16:creationId xmlns:a16="http://schemas.microsoft.com/office/drawing/2014/main" id="{00000000-0008-0000-1200-000025000000}"/>
            </a:ext>
          </a:extLst>
        </xdr:cNvPr>
        <xdr:cNvCxnSpPr/>
      </xdr:nvCxnSpPr>
      <xdr:spPr>
        <a:xfrm>
          <a:off x="8900583" y="7736417"/>
          <a:ext cx="613834" cy="1587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xdr:row>
      <xdr:rowOff>0</xdr:rowOff>
    </xdr:from>
    <xdr:to>
      <xdr:col>15</xdr:col>
      <xdr:colOff>603250</xdr:colOff>
      <xdr:row>15</xdr:row>
      <xdr:rowOff>31750</xdr:rowOff>
    </xdr:to>
    <xdr:cxnSp macro="">
      <xdr:nvCxnSpPr>
        <xdr:cNvPr id="39" name="Straight Arrow Connector 38">
          <a:extLst>
            <a:ext uri="{FF2B5EF4-FFF2-40B4-BE49-F238E27FC236}">
              <a16:creationId xmlns:a16="http://schemas.microsoft.com/office/drawing/2014/main" id="{00000000-0008-0000-1200-000027000000}"/>
            </a:ext>
          </a:extLst>
        </xdr:cNvPr>
        <xdr:cNvCxnSpPr/>
      </xdr:nvCxnSpPr>
      <xdr:spPr>
        <a:xfrm flipV="1">
          <a:off x="10646833" y="1619250"/>
          <a:ext cx="613834" cy="931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xdr:row>
      <xdr:rowOff>52917</xdr:rowOff>
    </xdr:from>
    <xdr:to>
      <xdr:col>15</xdr:col>
      <xdr:colOff>603250</xdr:colOff>
      <xdr:row>15</xdr:row>
      <xdr:rowOff>95250</xdr:rowOff>
    </xdr:to>
    <xdr:cxnSp macro="">
      <xdr:nvCxnSpPr>
        <xdr:cNvPr id="41" name="Straight Arrow Connector 40">
          <a:extLst>
            <a:ext uri="{FF2B5EF4-FFF2-40B4-BE49-F238E27FC236}">
              <a16:creationId xmlns:a16="http://schemas.microsoft.com/office/drawing/2014/main" id="{00000000-0008-0000-1200-000029000000}"/>
            </a:ext>
          </a:extLst>
        </xdr:cNvPr>
        <xdr:cNvCxnSpPr/>
      </xdr:nvCxnSpPr>
      <xdr:spPr>
        <a:xfrm flipV="1">
          <a:off x="10699750" y="2211917"/>
          <a:ext cx="560917" cy="402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xdr:row>
      <xdr:rowOff>158750</xdr:rowOff>
    </xdr:from>
    <xdr:to>
      <xdr:col>15</xdr:col>
      <xdr:colOff>582083</xdr:colOff>
      <xdr:row>16</xdr:row>
      <xdr:rowOff>137583</xdr:rowOff>
    </xdr:to>
    <xdr:cxnSp macro="">
      <xdr:nvCxnSpPr>
        <xdr:cNvPr id="43" name="Straight Arrow Connector 42">
          <a:extLst>
            <a:ext uri="{FF2B5EF4-FFF2-40B4-BE49-F238E27FC236}">
              <a16:creationId xmlns:a16="http://schemas.microsoft.com/office/drawing/2014/main" id="{00000000-0008-0000-1200-00002B000000}"/>
            </a:ext>
          </a:extLst>
        </xdr:cNvPr>
        <xdr:cNvCxnSpPr/>
      </xdr:nvCxnSpPr>
      <xdr:spPr>
        <a:xfrm>
          <a:off x="10720917" y="2677583"/>
          <a:ext cx="518583" cy="158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xdr:row>
      <xdr:rowOff>105834</xdr:rowOff>
    </xdr:from>
    <xdr:to>
      <xdr:col>16</xdr:col>
      <xdr:colOff>0</xdr:colOff>
      <xdr:row>19</xdr:row>
      <xdr:rowOff>84667</xdr:rowOff>
    </xdr:to>
    <xdr:cxnSp macro="">
      <xdr:nvCxnSpPr>
        <xdr:cNvPr id="45" name="Straight Arrow Connector 44">
          <a:extLst>
            <a:ext uri="{FF2B5EF4-FFF2-40B4-BE49-F238E27FC236}">
              <a16:creationId xmlns:a16="http://schemas.microsoft.com/office/drawing/2014/main" id="{00000000-0008-0000-1200-00002D000000}"/>
            </a:ext>
          </a:extLst>
        </xdr:cNvPr>
        <xdr:cNvCxnSpPr/>
      </xdr:nvCxnSpPr>
      <xdr:spPr>
        <a:xfrm>
          <a:off x="10625667" y="2624667"/>
          <a:ext cx="645583" cy="698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23</xdr:row>
      <xdr:rowOff>52916</xdr:rowOff>
    </xdr:from>
    <xdr:to>
      <xdr:col>16</xdr:col>
      <xdr:colOff>0</xdr:colOff>
      <xdr:row>25</xdr:row>
      <xdr:rowOff>0</xdr:rowOff>
    </xdr:to>
    <xdr:cxnSp macro="">
      <xdr:nvCxnSpPr>
        <xdr:cNvPr id="48" name="Straight Arrow Connector 47">
          <a:extLst>
            <a:ext uri="{FF2B5EF4-FFF2-40B4-BE49-F238E27FC236}">
              <a16:creationId xmlns:a16="http://schemas.microsoft.com/office/drawing/2014/main" id="{00000000-0008-0000-1200-000030000000}"/>
            </a:ext>
          </a:extLst>
        </xdr:cNvPr>
        <xdr:cNvCxnSpPr/>
      </xdr:nvCxnSpPr>
      <xdr:spPr>
        <a:xfrm flipV="1">
          <a:off x="10646833" y="4011083"/>
          <a:ext cx="624417" cy="3069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25</xdr:row>
      <xdr:rowOff>21167</xdr:rowOff>
    </xdr:from>
    <xdr:to>
      <xdr:col>15</xdr:col>
      <xdr:colOff>582083</xdr:colOff>
      <xdr:row>26</xdr:row>
      <xdr:rowOff>42333</xdr:rowOff>
    </xdr:to>
    <xdr:cxnSp macro="">
      <xdr:nvCxnSpPr>
        <xdr:cNvPr id="50" name="Straight Arrow Connector 49">
          <a:extLst>
            <a:ext uri="{FF2B5EF4-FFF2-40B4-BE49-F238E27FC236}">
              <a16:creationId xmlns:a16="http://schemas.microsoft.com/office/drawing/2014/main" id="{00000000-0008-0000-1200-000032000000}"/>
            </a:ext>
          </a:extLst>
        </xdr:cNvPr>
        <xdr:cNvCxnSpPr/>
      </xdr:nvCxnSpPr>
      <xdr:spPr>
        <a:xfrm>
          <a:off x="10668000" y="4339167"/>
          <a:ext cx="571500" cy="201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25</xdr:row>
      <xdr:rowOff>21167</xdr:rowOff>
    </xdr:from>
    <xdr:to>
      <xdr:col>16</xdr:col>
      <xdr:colOff>42333</xdr:colOff>
      <xdr:row>30</xdr:row>
      <xdr:rowOff>21168</xdr:rowOff>
    </xdr:to>
    <xdr:cxnSp macro="">
      <xdr:nvCxnSpPr>
        <xdr:cNvPr id="52" name="Straight Arrow Connector 51">
          <a:extLst>
            <a:ext uri="{FF2B5EF4-FFF2-40B4-BE49-F238E27FC236}">
              <a16:creationId xmlns:a16="http://schemas.microsoft.com/office/drawing/2014/main" id="{00000000-0008-0000-1200-000034000000}"/>
            </a:ext>
          </a:extLst>
        </xdr:cNvPr>
        <xdr:cNvCxnSpPr/>
      </xdr:nvCxnSpPr>
      <xdr:spPr>
        <a:xfrm>
          <a:off x="10636250" y="4339167"/>
          <a:ext cx="677333" cy="8995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25</xdr:row>
      <xdr:rowOff>31750</xdr:rowOff>
    </xdr:from>
    <xdr:to>
      <xdr:col>16</xdr:col>
      <xdr:colOff>42334</xdr:colOff>
      <xdr:row>32</xdr:row>
      <xdr:rowOff>63501</xdr:rowOff>
    </xdr:to>
    <xdr:cxnSp macro="">
      <xdr:nvCxnSpPr>
        <xdr:cNvPr id="54" name="Straight Arrow Connector 53">
          <a:extLst>
            <a:ext uri="{FF2B5EF4-FFF2-40B4-BE49-F238E27FC236}">
              <a16:creationId xmlns:a16="http://schemas.microsoft.com/office/drawing/2014/main" id="{00000000-0008-0000-1200-000036000000}"/>
            </a:ext>
          </a:extLst>
        </xdr:cNvPr>
        <xdr:cNvCxnSpPr/>
      </xdr:nvCxnSpPr>
      <xdr:spPr>
        <a:xfrm>
          <a:off x="10646833" y="4349750"/>
          <a:ext cx="666751"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62</xdr:row>
      <xdr:rowOff>42333</xdr:rowOff>
    </xdr:from>
    <xdr:to>
      <xdr:col>9</xdr:col>
      <xdr:colOff>592666</xdr:colOff>
      <xdr:row>70</xdr:row>
      <xdr:rowOff>42333</xdr:rowOff>
    </xdr:to>
    <xdr:cxnSp macro="">
      <xdr:nvCxnSpPr>
        <xdr:cNvPr id="56" name="Straight Arrow Connector 55">
          <a:extLst>
            <a:ext uri="{FF2B5EF4-FFF2-40B4-BE49-F238E27FC236}">
              <a16:creationId xmlns:a16="http://schemas.microsoft.com/office/drawing/2014/main" id="{00000000-0008-0000-1200-000038000000}"/>
            </a:ext>
          </a:extLst>
        </xdr:cNvPr>
        <xdr:cNvCxnSpPr/>
      </xdr:nvCxnSpPr>
      <xdr:spPr>
        <a:xfrm flipV="1">
          <a:off x="6445250" y="7239000"/>
          <a:ext cx="582083" cy="143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72</xdr:row>
      <xdr:rowOff>169334</xdr:rowOff>
    </xdr:from>
    <xdr:to>
      <xdr:col>9</xdr:col>
      <xdr:colOff>603250</xdr:colOff>
      <xdr:row>81</xdr:row>
      <xdr:rowOff>31750</xdr:rowOff>
    </xdr:to>
    <xdr:cxnSp macro="">
      <xdr:nvCxnSpPr>
        <xdr:cNvPr id="58" name="Straight Arrow Connector 57">
          <a:extLst>
            <a:ext uri="{FF2B5EF4-FFF2-40B4-BE49-F238E27FC236}">
              <a16:creationId xmlns:a16="http://schemas.microsoft.com/office/drawing/2014/main" id="{00000000-0008-0000-1200-00003A000000}"/>
            </a:ext>
          </a:extLst>
        </xdr:cNvPr>
        <xdr:cNvCxnSpPr/>
      </xdr:nvCxnSpPr>
      <xdr:spPr>
        <a:xfrm>
          <a:off x="6466417" y="9165167"/>
          <a:ext cx="571500" cy="148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78</xdr:row>
      <xdr:rowOff>158750</xdr:rowOff>
    </xdr:from>
    <xdr:to>
      <xdr:col>11</xdr:col>
      <xdr:colOff>571500</xdr:colOff>
      <xdr:row>81</xdr:row>
      <xdr:rowOff>0</xdr:rowOff>
    </xdr:to>
    <xdr:cxnSp macro="">
      <xdr:nvCxnSpPr>
        <xdr:cNvPr id="60" name="Straight Arrow Connector 59">
          <a:extLst>
            <a:ext uri="{FF2B5EF4-FFF2-40B4-BE49-F238E27FC236}">
              <a16:creationId xmlns:a16="http://schemas.microsoft.com/office/drawing/2014/main" id="{00000000-0008-0000-1200-00003C000000}"/>
            </a:ext>
          </a:extLst>
        </xdr:cNvPr>
        <xdr:cNvCxnSpPr/>
      </xdr:nvCxnSpPr>
      <xdr:spPr>
        <a:xfrm flipV="1">
          <a:off x="7620000" y="10234083"/>
          <a:ext cx="613833" cy="381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36</xdr:row>
      <xdr:rowOff>0</xdr:rowOff>
    </xdr:from>
    <xdr:to>
      <xdr:col>15</xdr:col>
      <xdr:colOff>603250</xdr:colOff>
      <xdr:row>38</xdr:row>
      <xdr:rowOff>1</xdr:rowOff>
    </xdr:to>
    <xdr:cxnSp macro="">
      <xdr:nvCxnSpPr>
        <xdr:cNvPr id="74" name="Straight Arrow Connector 73">
          <a:extLst>
            <a:ext uri="{FF2B5EF4-FFF2-40B4-BE49-F238E27FC236}">
              <a16:creationId xmlns:a16="http://schemas.microsoft.com/office/drawing/2014/main" id="{00000000-0008-0000-1200-00004A000000}"/>
            </a:ext>
          </a:extLst>
        </xdr:cNvPr>
        <xdr:cNvCxnSpPr/>
      </xdr:nvCxnSpPr>
      <xdr:spPr>
        <a:xfrm flipV="1">
          <a:off x="10636250" y="6477000"/>
          <a:ext cx="624417" cy="35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38</xdr:row>
      <xdr:rowOff>10584</xdr:rowOff>
    </xdr:from>
    <xdr:to>
      <xdr:col>15</xdr:col>
      <xdr:colOff>592666</xdr:colOff>
      <xdr:row>39</xdr:row>
      <xdr:rowOff>95250</xdr:rowOff>
    </xdr:to>
    <xdr:cxnSp macro="">
      <xdr:nvCxnSpPr>
        <xdr:cNvPr id="76" name="Straight Arrow Connector 75">
          <a:extLst>
            <a:ext uri="{FF2B5EF4-FFF2-40B4-BE49-F238E27FC236}">
              <a16:creationId xmlns:a16="http://schemas.microsoft.com/office/drawing/2014/main" id="{00000000-0008-0000-1200-00004C000000}"/>
            </a:ext>
          </a:extLst>
        </xdr:cNvPr>
        <xdr:cNvCxnSpPr/>
      </xdr:nvCxnSpPr>
      <xdr:spPr>
        <a:xfrm>
          <a:off x="10689167" y="6847417"/>
          <a:ext cx="560916" cy="26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38</xdr:row>
      <xdr:rowOff>10584</xdr:rowOff>
    </xdr:from>
    <xdr:to>
      <xdr:col>15</xdr:col>
      <xdr:colOff>560916</xdr:colOff>
      <xdr:row>42</xdr:row>
      <xdr:rowOff>52917</xdr:rowOff>
    </xdr:to>
    <xdr:cxnSp macro="">
      <xdr:nvCxnSpPr>
        <xdr:cNvPr id="78" name="Straight Arrow Connector 77">
          <a:extLst>
            <a:ext uri="{FF2B5EF4-FFF2-40B4-BE49-F238E27FC236}">
              <a16:creationId xmlns:a16="http://schemas.microsoft.com/office/drawing/2014/main" id="{00000000-0008-0000-1200-00004E000000}"/>
            </a:ext>
          </a:extLst>
        </xdr:cNvPr>
        <xdr:cNvCxnSpPr/>
      </xdr:nvCxnSpPr>
      <xdr:spPr>
        <a:xfrm>
          <a:off x="10668000" y="6847417"/>
          <a:ext cx="550333" cy="762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38</xdr:row>
      <xdr:rowOff>31750</xdr:rowOff>
    </xdr:from>
    <xdr:to>
      <xdr:col>16</xdr:col>
      <xdr:colOff>21167</xdr:colOff>
      <xdr:row>45</xdr:row>
      <xdr:rowOff>95250</xdr:rowOff>
    </xdr:to>
    <xdr:cxnSp macro="">
      <xdr:nvCxnSpPr>
        <xdr:cNvPr id="80" name="Straight Arrow Connector 79">
          <a:extLst>
            <a:ext uri="{FF2B5EF4-FFF2-40B4-BE49-F238E27FC236}">
              <a16:creationId xmlns:a16="http://schemas.microsoft.com/office/drawing/2014/main" id="{00000000-0008-0000-1200-000050000000}"/>
            </a:ext>
          </a:extLst>
        </xdr:cNvPr>
        <xdr:cNvCxnSpPr/>
      </xdr:nvCxnSpPr>
      <xdr:spPr>
        <a:xfrm>
          <a:off x="10699750" y="6868583"/>
          <a:ext cx="592667" cy="13229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52</xdr:row>
      <xdr:rowOff>0</xdr:rowOff>
    </xdr:from>
    <xdr:to>
      <xdr:col>16</xdr:col>
      <xdr:colOff>0</xdr:colOff>
      <xdr:row>52</xdr:row>
      <xdr:rowOff>42334</xdr:rowOff>
    </xdr:to>
    <xdr:cxnSp macro="">
      <xdr:nvCxnSpPr>
        <xdr:cNvPr id="82" name="Straight Arrow Connector 81">
          <a:extLst>
            <a:ext uri="{FF2B5EF4-FFF2-40B4-BE49-F238E27FC236}">
              <a16:creationId xmlns:a16="http://schemas.microsoft.com/office/drawing/2014/main" id="{00000000-0008-0000-1200-000052000000}"/>
            </a:ext>
          </a:extLst>
        </xdr:cNvPr>
        <xdr:cNvCxnSpPr/>
      </xdr:nvCxnSpPr>
      <xdr:spPr>
        <a:xfrm>
          <a:off x="10678583" y="9355667"/>
          <a:ext cx="592667"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52</xdr:row>
      <xdr:rowOff>21166</xdr:rowOff>
    </xdr:from>
    <xdr:to>
      <xdr:col>15</xdr:col>
      <xdr:colOff>560916</xdr:colOff>
      <xdr:row>55</xdr:row>
      <xdr:rowOff>84667</xdr:rowOff>
    </xdr:to>
    <xdr:cxnSp macro="">
      <xdr:nvCxnSpPr>
        <xdr:cNvPr id="84" name="Straight Arrow Connector 83">
          <a:extLst>
            <a:ext uri="{FF2B5EF4-FFF2-40B4-BE49-F238E27FC236}">
              <a16:creationId xmlns:a16="http://schemas.microsoft.com/office/drawing/2014/main" id="{00000000-0008-0000-1200-000054000000}"/>
            </a:ext>
          </a:extLst>
        </xdr:cNvPr>
        <xdr:cNvCxnSpPr/>
      </xdr:nvCxnSpPr>
      <xdr:spPr>
        <a:xfrm>
          <a:off x="10731500" y="9376833"/>
          <a:ext cx="486833" cy="603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52</xdr:row>
      <xdr:rowOff>52916</xdr:rowOff>
    </xdr:from>
    <xdr:to>
      <xdr:col>15</xdr:col>
      <xdr:colOff>592666</xdr:colOff>
      <xdr:row>58</xdr:row>
      <xdr:rowOff>63501</xdr:rowOff>
    </xdr:to>
    <xdr:cxnSp macro="">
      <xdr:nvCxnSpPr>
        <xdr:cNvPr id="86" name="Straight Arrow Connector 85">
          <a:extLst>
            <a:ext uri="{FF2B5EF4-FFF2-40B4-BE49-F238E27FC236}">
              <a16:creationId xmlns:a16="http://schemas.microsoft.com/office/drawing/2014/main" id="{00000000-0008-0000-1200-000056000000}"/>
            </a:ext>
          </a:extLst>
        </xdr:cNvPr>
        <xdr:cNvCxnSpPr/>
      </xdr:nvCxnSpPr>
      <xdr:spPr>
        <a:xfrm>
          <a:off x="10689167" y="9408583"/>
          <a:ext cx="560916" cy="10900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66</xdr:row>
      <xdr:rowOff>116416</xdr:rowOff>
    </xdr:from>
    <xdr:to>
      <xdr:col>15</xdr:col>
      <xdr:colOff>592666</xdr:colOff>
      <xdr:row>69</xdr:row>
      <xdr:rowOff>158750</xdr:rowOff>
    </xdr:to>
    <xdr:cxnSp macro="">
      <xdr:nvCxnSpPr>
        <xdr:cNvPr id="110" name="Straight Arrow Connector 109">
          <a:extLst>
            <a:ext uri="{FF2B5EF4-FFF2-40B4-BE49-F238E27FC236}">
              <a16:creationId xmlns:a16="http://schemas.microsoft.com/office/drawing/2014/main" id="{00000000-0008-0000-1200-00006E000000}"/>
            </a:ext>
          </a:extLst>
        </xdr:cNvPr>
        <xdr:cNvCxnSpPr/>
      </xdr:nvCxnSpPr>
      <xdr:spPr>
        <a:xfrm flipV="1">
          <a:off x="10678583" y="12170833"/>
          <a:ext cx="571500" cy="582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68</xdr:row>
      <xdr:rowOff>95250</xdr:rowOff>
    </xdr:from>
    <xdr:to>
      <xdr:col>15</xdr:col>
      <xdr:colOff>582083</xdr:colOff>
      <xdr:row>70</xdr:row>
      <xdr:rowOff>52917</xdr:rowOff>
    </xdr:to>
    <xdr:cxnSp macro="">
      <xdr:nvCxnSpPr>
        <xdr:cNvPr id="112" name="Straight Arrow Connector 111">
          <a:extLst>
            <a:ext uri="{FF2B5EF4-FFF2-40B4-BE49-F238E27FC236}">
              <a16:creationId xmlns:a16="http://schemas.microsoft.com/office/drawing/2014/main" id="{00000000-0008-0000-1200-000070000000}"/>
            </a:ext>
          </a:extLst>
        </xdr:cNvPr>
        <xdr:cNvCxnSpPr/>
      </xdr:nvCxnSpPr>
      <xdr:spPr>
        <a:xfrm flipV="1">
          <a:off x="10720917" y="14848417"/>
          <a:ext cx="518583" cy="317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70</xdr:row>
      <xdr:rowOff>116417</xdr:rowOff>
    </xdr:from>
    <xdr:to>
      <xdr:col>15</xdr:col>
      <xdr:colOff>592666</xdr:colOff>
      <xdr:row>74</xdr:row>
      <xdr:rowOff>95250</xdr:rowOff>
    </xdr:to>
    <xdr:cxnSp macro="">
      <xdr:nvCxnSpPr>
        <xdr:cNvPr id="116" name="Straight Arrow Connector 115">
          <a:extLst>
            <a:ext uri="{FF2B5EF4-FFF2-40B4-BE49-F238E27FC236}">
              <a16:creationId xmlns:a16="http://schemas.microsoft.com/office/drawing/2014/main" id="{00000000-0008-0000-1200-000074000000}"/>
            </a:ext>
          </a:extLst>
        </xdr:cNvPr>
        <xdr:cNvCxnSpPr/>
      </xdr:nvCxnSpPr>
      <xdr:spPr>
        <a:xfrm>
          <a:off x="10710333" y="15229417"/>
          <a:ext cx="539750" cy="698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81</xdr:row>
      <xdr:rowOff>116416</xdr:rowOff>
    </xdr:from>
    <xdr:to>
      <xdr:col>16</xdr:col>
      <xdr:colOff>0</xdr:colOff>
      <xdr:row>88</xdr:row>
      <xdr:rowOff>74084</xdr:rowOff>
    </xdr:to>
    <xdr:cxnSp macro="">
      <xdr:nvCxnSpPr>
        <xdr:cNvPr id="122" name="Straight Arrow Connector 121">
          <a:extLst>
            <a:ext uri="{FF2B5EF4-FFF2-40B4-BE49-F238E27FC236}">
              <a16:creationId xmlns:a16="http://schemas.microsoft.com/office/drawing/2014/main" id="{00000000-0008-0000-1200-00007A000000}"/>
            </a:ext>
          </a:extLst>
        </xdr:cNvPr>
        <xdr:cNvCxnSpPr/>
      </xdr:nvCxnSpPr>
      <xdr:spPr>
        <a:xfrm>
          <a:off x="10689167" y="14869583"/>
          <a:ext cx="582083" cy="1217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49</xdr:row>
      <xdr:rowOff>52917</xdr:rowOff>
    </xdr:from>
    <xdr:to>
      <xdr:col>15</xdr:col>
      <xdr:colOff>603250</xdr:colOff>
      <xdr:row>51</xdr:row>
      <xdr:rowOff>148167</xdr:rowOff>
    </xdr:to>
    <xdr:cxnSp macro="">
      <xdr:nvCxnSpPr>
        <xdr:cNvPr id="138" name="Straight Arrow Connector 137">
          <a:extLst>
            <a:ext uri="{FF2B5EF4-FFF2-40B4-BE49-F238E27FC236}">
              <a16:creationId xmlns:a16="http://schemas.microsoft.com/office/drawing/2014/main" id="{00000000-0008-0000-1200-00008A000000}"/>
            </a:ext>
          </a:extLst>
        </xdr:cNvPr>
        <xdr:cNvCxnSpPr/>
      </xdr:nvCxnSpPr>
      <xdr:spPr>
        <a:xfrm flipV="1">
          <a:off x="10699750" y="8868834"/>
          <a:ext cx="560917" cy="45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84</xdr:row>
      <xdr:rowOff>42333</xdr:rowOff>
    </xdr:from>
    <xdr:to>
      <xdr:col>11</xdr:col>
      <xdr:colOff>603250</xdr:colOff>
      <xdr:row>97</xdr:row>
      <xdr:rowOff>10583</xdr:rowOff>
    </xdr:to>
    <xdr:cxnSp macro="">
      <xdr:nvCxnSpPr>
        <xdr:cNvPr id="153" name="Straight Arrow Connector 152">
          <a:extLst>
            <a:ext uri="{FF2B5EF4-FFF2-40B4-BE49-F238E27FC236}">
              <a16:creationId xmlns:a16="http://schemas.microsoft.com/office/drawing/2014/main" id="{00000000-0008-0000-1200-000099000000}"/>
            </a:ext>
          </a:extLst>
        </xdr:cNvPr>
        <xdr:cNvCxnSpPr/>
      </xdr:nvCxnSpPr>
      <xdr:spPr>
        <a:xfrm>
          <a:off x="7672917" y="4900083"/>
          <a:ext cx="592666" cy="2307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74</xdr:row>
      <xdr:rowOff>21167</xdr:rowOff>
    </xdr:from>
    <xdr:to>
      <xdr:col>13</xdr:col>
      <xdr:colOff>592667</xdr:colOff>
      <xdr:row>76</xdr:row>
      <xdr:rowOff>0</xdr:rowOff>
    </xdr:to>
    <xdr:cxnSp macro="">
      <xdr:nvCxnSpPr>
        <xdr:cNvPr id="154" name="Straight Arrow Connector 153">
          <a:extLst>
            <a:ext uri="{FF2B5EF4-FFF2-40B4-BE49-F238E27FC236}">
              <a16:creationId xmlns:a16="http://schemas.microsoft.com/office/drawing/2014/main" id="{00000000-0008-0000-1200-00009A000000}"/>
            </a:ext>
          </a:extLst>
        </xdr:cNvPr>
        <xdr:cNvCxnSpPr/>
      </xdr:nvCxnSpPr>
      <xdr:spPr>
        <a:xfrm flipV="1">
          <a:off x="8879417" y="3079750"/>
          <a:ext cx="603250"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79</xdr:row>
      <xdr:rowOff>21166</xdr:rowOff>
    </xdr:from>
    <xdr:to>
      <xdr:col>13</xdr:col>
      <xdr:colOff>592667</xdr:colOff>
      <xdr:row>80</xdr:row>
      <xdr:rowOff>169334</xdr:rowOff>
    </xdr:to>
    <xdr:cxnSp macro="">
      <xdr:nvCxnSpPr>
        <xdr:cNvPr id="155" name="Straight Arrow Connector 154">
          <a:extLst>
            <a:ext uri="{FF2B5EF4-FFF2-40B4-BE49-F238E27FC236}">
              <a16:creationId xmlns:a16="http://schemas.microsoft.com/office/drawing/2014/main" id="{00000000-0008-0000-1200-00009B000000}"/>
            </a:ext>
          </a:extLst>
        </xdr:cNvPr>
        <xdr:cNvCxnSpPr/>
      </xdr:nvCxnSpPr>
      <xdr:spPr>
        <a:xfrm>
          <a:off x="8868833" y="3979333"/>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95</xdr:row>
      <xdr:rowOff>21167</xdr:rowOff>
    </xdr:from>
    <xdr:to>
      <xdr:col>13</xdr:col>
      <xdr:colOff>592667</xdr:colOff>
      <xdr:row>97</xdr:row>
      <xdr:rowOff>63500</xdr:rowOff>
    </xdr:to>
    <xdr:cxnSp macro="">
      <xdr:nvCxnSpPr>
        <xdr:cNvPr id="156" name="Straight Arrow Connector 155">
          <a:extLst>
            <a:ext uri="{FF2B5EF4-FFF2-40B4-BE49-F238E27FC236}">
              <a16:creationId xmlns:a16="http://schemas.microsoft.com/office/drawing/2014/main" id="{00000000-0008-0000-1200-00009C000000}"/>
            </a:ext>
          </a:extLst>
        </xdr:cNvPr>
        <xdr:cNvCxnSpPr/>
      </xdr:nvCxnSpPr>
      <xdr:spPr>
        <a:xfrm flipV="1">
          <a:off x="8890000" y="6858000"/>
          <a:ext cx="592667" cy="40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100</xdr:row>
      <xdr:rowOff>0</xdr:rowOff>
    </xdr:from>
    <xdr:to>
      <xdr:col>14</xdr:col>
      <xdr:colOff>10584</xdr:colOff>
      <xdr:row>108</xdr:row>
      <xdr:rowOff>148167</xdr:rowOff>
    </xdr:to>
    <xdr:cxnSp macro="">
      <xdr:nvCxnSpPr>
        <xdr:cNvPr id="157" name="Straight Arrow Connector 156">
          <a:extLst>
            <a:ext uri="{FF2B5EF4-FFF2-40B4-BE49-F238E27FC236}">
              <a16:creationId xmlns:a16="http://schemas.microsoft.com/office/drawing/2014/main" id="{00000000-0008-0000-1200-00009D000000}"/>
            </a:ext>
          </a:extLst>
        </xdr:cNvPr>
        <xdr:cNvCxnSpPr/>
      </xdr:nvCxnSpPr>
      <xdr:spPr>
        <a:xfrm>
          <a:off x="8900583" y="7736417"/>
          <a:ext cx="613834" cy="1587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70</xdr:row>
      <xdr:rowOff>95250</xdr:rowOff>
    </xdr:from>
    <xdr:to>
      <xdr:col>15</xdr:col>
      <xdr:colOff>582083</xdr:colOff>
      <xdr:row>72</xdr:row>
      <xdr:rowOff>137583</xdr:rowOff>
    </xdr:to>
    <xdr:cxnSp macro="">
      <xdr:nvCxnSpPr>
        <xdr:cNvPr id="160" name="Straight Arrow Connector 159">
          <a:extLst>
            <a:ext uri="{FF2B5EF4-FFF2-40B4-BE49-F238E27FC236}">
              <a16:creationId xmlns:a16="http://schemas.microsoft.com/office/drawing/2014/main" id="{00000000-0008-0000-1200-0000A0000000}"/>
            </a:ext>
          </a:extLst>
        </xdr:cNvPr>
        <xdr:cNvCxnSpPr/>
      </xdr:nvCxnSpPr>
      <xdr:spPr>
        <a:xfrm>
          <a:off x="10710333" y="12869333"/>
          <a:ext cx="529167" cy="40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79</xdr:row>
      <xdr:rowOff>52916</xdr:rowOff>
    </xdr:from>
    <xdr:to>
      <xdr:col>16</xdr:col>
      <xdr:colOff>0</xdr:colOff>
      <xdr:row>81</xdr:row>
      <xdr:rowOff>0</xdr:rowOff>
    </xdr:to>
    <xdr:cxnSp macro="">
      <xdr:nvCxnSpPr>
        <xdr:cNvPr id="162" name="Straight Arrow Connector 161">
          <a:extLst>
            <a:ext uri="{FF2B5EF4-FFF2-40B4-BE49-F238E27FC236}">
              <a16:creationId xmlns:a16="http://schemas.microsoft.com/office/drawing/2014/main" id="{00000000-0008-0000-1200-0000A2000000}"/>
            </a:ext>
          </a:extLst>
        </xdr:cNvPr>
        <xdr:cNvCxnSpPr/>
      </xdr:nvCxnSpPr>
      <xdr:spPr>
        <a:xfrm flipV="1">
          <a:off x="10646833" y="4011083"/>
          <a:ext cx="624417" cy="3069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81</xdr:row>
      <xdr:rowOff>21167</xdr:rowOff>
    </xdr:from>
    <xdr:to>
      <xdr:col>15</xdr:col>
      <xdr:colOff>592666</xdr:colOff>
      <xdr:row>82</xdr:row>
      <xdr:rowOff>84667</xdr:rowOff>
    </xdr:to>
    <xdr:cxnSp macro="">
      <xdr:nvCxnSpPr>
        <xdr:cNvPr id="164" name="Straight Arrow Connector 163">
          <a:extLst>
            <a:ext uri="{FF2B5EF4-FFF2-40B4-BE49-F238E27FC236}">
              <a16:creationId xmlns:a16="http://schemas.microsoft.com/office/drawing/2014/main" id="{00000000-0008-0000-1200-0000A4000000}"/>
            </a:ext>
          </a:extLst>
        </xdr:cNvPr>
        <xdr:cNvCxnSpPr/>
      </xdr:nvCxnSpPr>
      <xdr:spPr>
        <a:xfrm>
          <a:off x="10636250" y="14774334"/>
          <a:ext cx="613833" cy="24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81</xdr:row>
      <xdr:rowOff>0</xdr:rowOff>
    </xdr:from>
    <xdr:to>
      <xdr:col>16</xdr:col>
      <xdr:colOff>0</xdr:colOff>
      <xdr:row>85</xdr:row>
      <xdr:rowOff>42334</xdr:rowOff>
    </xdr:to>
    <xdr:cxnSp macro="">
      <xdr:nvCxnSpPr>
        <xdr:cNvPr id="165" name="Straight Arrow Connector 164">
          <a:extLst>
            <a:ext uri="{FF2B5EF4-FFF2-40B4-BE49-F238E27FC236}">
              <a16:creationId xmlns:a16="http://schemas.microsoft.com/office/drawing/2014/main" id="{00000000-0008-0000-1200-0000A5000000}"/>
            </a:ext>
          </a:extLst>
        </xdr:cNvPr>
        <xdr:cNvCxnSpPr/>
      </xdr:nvCxnSpPr>
      <xdr:spPr>
        <a:xfrm>
          <a:off x="10636250" y="14753167"/>
          <a:ext cx="635000" cy="762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93</xdr:row>
      <xdr:rowOff>0</xdr:rowOff>
    </xdr:from>
    <xdr:to>
      <xdr:col>15</xdr:col>
      <xdr:colOff>603250</xdr:colOff>
      <xdr:row>95</xdr:row>
      <xdr:rowOff>1</xdr:rowOff>
    </xdr:to>
    <xdr:cxnSp macro="">
      <xdr:nvCxnSpPr>
        <xdr:cNvPr id="166" name="Straight Arrow Connector 165">
          <a:extLst>
            <a:ext uri="{FF2B5EF4-FFF2-40B4-BE49-F238E27FC236}">
              <a16:creationId xmlns:a16="http://schemas.microsoft.com/office/drawing/2014/main" id="{00000000-0008-0000-1200-0000A6000000}"/>
            </a:ext>
          </a:extLst>
        </xdr:cNvPr>
        <xdr:cNvCxnSpPr/>
      </xdr:nvCxnSpPr>
      <xdr:spPr>
        <a:xfrm flipV="1">
          <a:off x="10636250" y="6477000"/>
          <a:ext cx="624417" cy="35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95</xdr:row>
      <xdr:rowOff>10584</xdr:rowOff>
    </xdr:from>
    <xdr:to>
      <xdr:col>15</xdr:col>
      <xdr:colOff>592666</xdr:colOff>
      <xdr:row>96</xdr:row>
      <xdr:rowOff>95250</xdr:rowOff>
    </xdr:to>
    <xdr:cxnSp macro="">
      <xdr:nvCxnSpPr>
        <xdr:cNvPr id="167" name="Straight Arrow Connector 166">
          <a:extLst>
            <a:ext uri="{FF2B5EF4-FFF2-40B4-BE49-F238E27FC236}">
              <a16:creationId xmlns:a16="http://schemas.microsoft.com/office/drawing/2014/main" id="{00000000-0008-0000-1200-0000A7000000}"/>
            </a:ext>
          </a:extLst>
        </xdr:cNvPr>
        <xdr:cNvCxnSpPr/>
      </xdr:nvCxnSpPr>
      <xdr:spPr>
        <a:xfrm>
          <a:off x="10689167" y="6847417"/>
          <a:ext cx="560916" cy="26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95</xdr:row>
      <xdr:rowOff>10584</xdr:rowOff>
    </xdr:from>
    <xdr:to>
      <xdr:col>15</xdr:col>
      <xdr:colOff>560916</xdr:colOff>
      <xdr:row>99</xdr:row>
      <xdr:rowOff>52917</xdr:rowOff>
    </xdr:to>
    <xdr:cxnSp macro="">
      <xdr:nvCxnSpPr>
        <xdr:cNvPr id="168" name="Straight Arrow Connector 167">
          <a:extLst>
            <a:ext uri="{FF2B5EF4-FFF2-40B4-BE49-F238E27FC236}">
              <a16:creationId xmlns:a16="http://schemas.microsoft.com/office/drawing/2014/main" id="{00000000-0008-0000-1200-0000A8000000}"/>
            </a:ext>
          </a:extLst>
        </xdr:cNvPr>
        <xdr:cNvCxnSpPr/>
      </xdr:nvCxnSpPr>
      <xdr:spPr>
        <a:xfrm>
          <a:off x="10668000" y="6847417"/>
          <a:ext cx="550333" cy="762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95</xdr:row>
      <xdr:rowOff>31750</xdr:rowOff>
    </xdr:from>
    <xdr:to>
      <xdr:col>16</xdr:col>
      <xdr:colOff>21167</xdr:colOff>
      <xdr:row>102</xdr:row>
      <xdr:rowOff>95250</xdr:rowOff>
    </xdr:to>
    <xdr:cxnSp macro="">
      <xdr:nvCxnSpPr>
        <xdr:cNvPr id="169" name="Straight Arrow Connector 168">
          <a:extLst>
            <a:ext uri="{FF2B5EF4-FFF2-40B4-BE49-F238E27FC236}">
              <a16:creationId xmlns:a16="http://schemas.microsoft.com/office/drawing/2014/main" id="{00000000-0008-0000-1200-0000A9000000}"/>
            </a:ext>
          </a:extLst>
        </xdr:cNvPr>
        <xdr:cNvCxnSpPr/>
      </xdr:nvCxnSpPr>
      <xdr:spPr>
        <a:xfrm>
          <a:off x="10699750" y="6868583"/>
          <a:ext cx="592667" cy="13229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109</xdr:row>
      <xdr:rowOff>0</xdr:rowOff>
    </xdr:from>
    <xdr:to>
      <xdr:col>16</xdr:col>
      <xdr:colOff>0</xdr:colOff>
      <xdr:row>109</xdr:row>
      <xdr:rowOff>42334</xdr:rowOff>
    </xdr:to>
    <xdr:cxnSp macro="">
      <xdr:nvCxnSpPr>
        <xdr:cNvPr id="170" name="Straight Arrow Connector 169">
          <a:extLst>
            <a:ext uri="{FF2B5EF4-FFF2-40B4-BE49-F238E27FC236}">
              <a16:creationId xmlns:a16="http://schemas.microsoft.com/office/drawing/2014/main" id="{00000000-0008-0000-1200-0000AA000000}"/>
            </a:ext>
          </a:extLst>
        </xdr:cNvPr>
        <xdr:cNvCxnSpPr/>
      </xdr:nvCxnSpPr>
      <xdr:spPr>
        <a:xfrm>
          <a:off x="10678583" y="9355667"/>
          <a:ext cx="592667"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109</xdr:row>
      <xdr:rowOff>21166</xdr:rowOff>
    </xdr:from>
    <xdr:to>
      <xdr:col>15</xdr:col>
      <xdr:colOff>560916</xdr:colOff>
      <xdr:row>112</xdr:row>
      <xdr:rowOff>84667</xdr:rowOff>
    </xdr:to>
    <xdr:cxnSp macro="">
      <xdr:nvCxnSpPr>
        <xdr:cNvPr id="171" name="Straight Arrow Connector 170">
          <a:extLst>
            <a:ext uri="{FF2B5EF4-FFF2-40B4-BE49-F238E27FC236}">
              <a16:creationId xmlns:a16="http://schemas.microsoft.com/office/drawing/2014/main" id="{00000000-0008-0000-1200-0000AB000000}"/>
            </a:ext>
          </a:extLst>
        </xdr:cNvPr>
        <xdr:cNvCxnSpPr/>
      </xdr:nvCxnSpPr>
      <xdr:spPr>
        <a:xfrm>
          <a:off x="10731500" y="9376833"/>
          <a:ext cx="486833" cy="603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xdr:row>
      <xdr:rowOff>52916</xdr:rowOff>
    </xdr:from>
    <xdr:to>
      <xdr:col>15</xdr:col>
      <xdr:colOff>592666</xdr:colOff>
      <xdr:row>115</xdr:row>
      <xdr:rowOff>63501</xdr:rowOff>
    </xdr:to>
    <xdr:cxnSp macro="">
      <xdr:nvCxnSpPr>
        <xdr:cNvPr id="172" name="Straight Arrow Connector 171">
          <a:extLst>
            <a:ext uri="{FF2B5EF4-FFF2-40B4-BE49-F238E27FC236}">
              <a16:creationId xmlns:a16="http://schemas.microsoft.com/office/drawing/2014/main" id="{00000000-0008-0000-1200-0000AC000000}"/>
            </a:ext>
          </a:extLst>
        </xdr:cNvPr>
        <xdr:cNvCxnSpPr/>
      </xdr:nvCxnSpPr>
      <xdr:spPr>
        <a:xfrm>
          <a:off x="10689167" y="9408583"/>
          <a:ext cx="560916" cy="10900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xdr:row>
      <xdr:rowOff>52917</xdr:rowOff>
    </xdr:from>
    <xdr:to>
      <xdr:col>15</xdr:col>
      <xdr:colOff>603250</xdr:colOff>
      <xdr:row>108</xdr:row>
      <xdr:rowOff>148167</xdr:rowOff>
    </xdr:to>
    <xdr:cxnSp macro="">
      <xdr:nvCxnSpPr>
        <xdr:cNvPr id="173" name="Straight Arrow Connector 172">
          <a:extLst>
            <a:ext uri="{FF2B5EF4-FFF2-40B4-BE49-F238E27FC236}">
              <a16:creationId xmlns:a16="http://schemas.microsoft.com/office/drawing/2014/main" id="{00000000-0008-0000-1200-0000AD000000}"/>
            </a:ext>
          </a:extLst>
        </xdr:cNvPr>
        <xdr:cNvCxnSpPr/>
      </xdr:nvCxnSpPr>
      <xdr:spPr>
        <a:xfrm flipV="1">
          <a:off x="10699750" y="8868834"/>
          <a:ext cx="560917" cy="45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xdr:row>
      <xdr:rowOff>95250</xdr:rowOff>
    </xdr:from>
    <xdr:to>
      <xdr:col>8</xdr:col>
      <xdr:colOff>21167</xdr:colOff>
      <xdr:row>182</xdr:row>
      <xdr:rowOff>148166</xdr:rowOff>
    </xdr:to>
    <xdr:cxnSp macro="">
      <xdr:nvCxnSpPr>
        <xdr:cNvPr id="261" name="Straight Arrow Connector 260">
          <a:extLst>
            <a:ext uri="{FF2B5EF4-FFF2-40B4-BE49-F238E27FC236}">
              <a16:creationId xmlns:a16="http://schemas.microsoft.com/office/drawing/2014/main" id="{00000000-0008-0000-1200-00000501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121</xdr:row>
      <xdr:rowOff>137583</xdr:rowOff>
    </xdr:from>
    <xdr:to>
      <xdr:col>9</xdr:col>
      <xdr:colOff>603250</xdr:colOff>
      <xdr:row>127</xdr:row>
      <xdr:rowOff>21166</xdr:rowOff>
    </xdr:to>
    <xdr:cxnSp macro="">
      <xdr:nvCxnSpPr>
        <xdr:cNvPr id="262" name="Straight Arrow Connector 261">
          <a:extLst>
            <a:ext uri="{FF2B5EF4-FFF2-40B4-BE49-F238E27FC236}">
              <a16:creationId xmlns:a16="http://schemas.microsoft.com/office/drawing/2014/main" id="{00000000-0008-0000-1200-00000601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130</xdr:row>
      <xdr:rowOff>0</xdr:rowOff>
    </xdr:from>
    <xdr:to>
      <xdr:col>9</xdr:col>
      <xdr:colOff>582083</xdr:colOff>
      <xdr:row>138</xdr:row>
      <xdr:rowOff>10583</xdr:rowOff>
    </xdr:to>
    <xdr:cxnSp macro="">
      <xdr:nvCxnSpPr>
        <xdr:cNvPr id="263" name="Straight Arrow Connector 262">
          <a:extLst>
            <a:ext uri="{FF2B5EF4-FFF2-40B4-BE49-F238E27FC236}">
              <a16:creationId xmlns:a16="http://schemas.microsoft.com/office/drawing/2014/main" id="{00000000-0008-0000-1200-00000701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135</xdr:row>
      <xdr:rowOff>169333</xdr:rowOff>
    </xdr:from>
    <xdr:to>
      <xdr:col>11</xdr:col>
      <xdr:colOff>603250</xdr:colOff>
      <xdr:row>138</xdr:row>
      <xdr:rowOff>21167</xdr:rowOff>
    </xdr:to>
    <xdr:cxnSp macro="">
      <xdr:nvCxnSpPr>
        <xdr:cNvPr id="264" name="Straight Arrow Connector 263">
          <a:extLst>
            <a:ext uri="{FF2B5EF4-FFF2-40B4-BE49-F238E27FC236}">
              <a16:creationId xmlns:a16="http://schemas.microsoft.com/office/drawing/2014/main" id="{00000000-0008-0000-1200-00000801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141</xdr:row>
      <xdr:rowOff>42333</xdr:rowOff>
    </xdr:from>
    <xdr:to>
      <xdr:col>11</xdr:col>
      <xdr:colOff>603250</xdr:colOff>
      <xdr:row>153</xdr:row>
      <xdr:rowOff>10583</xdr:rowOff>
    </xdr:to>
    <xdr:cxnSp macro="">
      <xdr:nvCxnSpPr>
        <xdr:cNvPr id="265" name="Straight Arrow Connector 264">
          <a:extLst>
            <a:ext uri="{FF2B5EF4-FFF2-40B4-BE49-F238E27FC236}">
              <a16:creationId xmlns:a16="http://schemas.microsoft.com/office/drawing/2014/main" id="{00000000-0008-0000-1200-00000901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xdr:row>
      <xdr:rowOff>21167</xdr:rowOff>
    </xdr:from>
    <xdr:to>
      <xdr:col>13</xdr:col>
      <xdr:colOff>592667</xdr:colOff>
      <xdr:row>133</xdr:row>
      <xdr:rowOff>0</xdr:rowOff>
    </xdr:to>
    <xdr:cxnSp macro="">
      <xdr:nvCxnSpPr>
        <xdr:cNvPr id="266" name="Straight Arrow Connector 265">
          <a:extLst>
            <a:ext uri="{FF2B5EF4-FFF2-40B4-BE49-F238E27FC236}">
              <a16:creationId xmlns:a16="http://schemas.microsoft.com/office/drawing/2014/main" id="{00000000-0008-0000-1200-00000A01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136</xdr:row>
      <xdr:rowOff>21166</xdr:rowOff>
    </xdr:from>
    <xdr:to>
      <xdr:col>13</xdr:col>
      <xdr:colOff>592667</xdr:colOff>
      <xdr:row>137</xdr:row>
      <xdr:rowOff>169334</xdr:rowOff>
    </xdr:to>
    <xdr:cxnSp macro="">
      <xdr:nvCxnSpPr>
        <xdr:cNvPr id="267" name="Straight Arrow Connector 266">
          <a:extLst>
            <a:ext uri="{FF2B5EF4-FFF2-40B4-BE49-F238E27FC236}">
              <a16:creationId xmlns:a16="http://schemas.microsoft.com/office/drawing/2014/main" id="{00000000-0008-0000-1200-00000B01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151</xdr:row>
      <xdr:rowOff>21167</xdr:rowOff>
    </xdr:from>
    <xdr:to>
      <xdr:col>13</xdr:col>
      <xdr:colOff>592667</xdr:colOff>
      <xdr:row>153</xdr:row>
      <xdr:rowOff>63500</xdr:rowOff>
    </xdr:to>
    <xdr:cxnSp macro="">
      <xdr:nvCxnSpPr>
        <xdr:cNvPr id="268" name="Straight Arrow Connector 267">
          <a:extLst>
            <a:ext uri="{FF2B5EF4-FFF2-40B4-BE49-F238E27FC236}">
              <a16:creationId xmlns:a16="http://schemas.microsoft.com/office/drawing/2014/main" id="{00000000-0008-0000-1200-00000C01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xdr:row>
      <xdr:rowOff>0</xdr:rowOff>
    </xdr:from>
    <xdr:to>
      <xdr:col>14</xdr:col>
      <xdr:colOff>10584</xdr:colOff>
      <xdr:row>164</xdr:row>
      <xdr:rowOff>148167</xdr:rowOff>
    </xdr:to>
    <xdr:cxnSp macro="">
      <xdr:nvCxnSpPr>
        <xdr:cNvPr id="269" name="Straight Arrow Connector 268">
          <a:extLst>
            <a:ext uri="{FF2B5EF4-FFF2-40B4-BE49-F238E27FC236}">
              <a16:creationId xmlns:a16="http://schemas.microsoft.com/office/drawing/2014/main" id="{00000000-0008-0000-1200-00000D01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123</xdr:row>
      <xdr:rowOff>0</xdr:rowOff>
    </xdr:from>
    <xdr:to>
      <xdr:col>15</xdr:col>
      <xdr:colOff>603250</xdr:colOff>
      <xdr:row>128</xdr:row>
      <xdr:rowOff>31750</xdr:rowOff>
    </xdr:to>
    <xdr:cxnSp macro="">
      <xdr:nvCxnSpPr>
        <xdr:cNvPr id="270" name="Straight Arrow Connector 269">
          <a:extLst>
            <a:ext uri="{FF2B5EF4-FFF2-40B4-BE49-F238E27FC236}">
              <a16:creationId xmlns:a16="http://schemas.microsoft.com/office/drawing/2014/main" id="{00000000-0008-0000-1200-00000E01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126</xdr:row>
      <xdr:rowOff>52917</xdr:rowOff>
    </xdr:from>
    <xdr:to>
      <xdr:col>15</xdr:col>
      <xdr:colOff>603250</xdr:colOff>
      <xdr:row>128</xdr:row>
      <xdr:rowOff>95250</xdr:rowOff>
    </xdr:to>
    <xdr:cxnSp macro="">
      <xdr:nvCxnSpPr>
        <xdr:cNvPr id="271" name="Straight Arrow Connector 270">
          <a:extLst>
            <a:ext uri="{FF2B5EF4-FFF2-40B4-BE49-F238E27FC236}">
              <a16:creationId xmlns:a16="http://schemas.microsoft.com/office/drawing/2014/main" id="{00000000-0008-0000-1200-00000F01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128</xdr:row>
      <xdr:rowOff>158750</xdr:rowOff>
    </xdr:from>
    <xdr:to>
      <xdr:col>15</xdr:col>
      <xdr:colOff>582083</xdr:colOff>
      <xdr:row>129</xdr:row>
      <xdr:rowOff>137583</xdr:rowOff>
    </xdr:to>
    <xdr:cxnSp macro="">
      <xdr:nvCxnSpPr>
        <xdr:cNvPr id="272" name="Straight Arrow Connector 271">
          <a:extLst>
            <a:ext uri="{FF2B5EF4-FFF2-40B4-BE49-F238E27FC236}">
              <a16:creationId xmlns:a16="http://schemas.microsoft.com/office/drawing/2014/main" id="{00000000-0008-0000-1200-00001001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128</xdr:row>
      <xdr:rowOff>105834</xdr:rowOff>
    </xdr:from>
    <xdr:to>
      <xdr:col>16</xdr:col>
      <xdr:colOff>0</xdr:colOff>
      <xdr:row>132</xdr:row>
      <xdr:rowOff>84667</xdr:rowOff>
    </xdr:to>
    <xdr:cxnSp macro="">
      <xdr:nvCxnSpPr>
        <xdr:cNvPr id="273" name="Straight Arrow Connector 272">
          <a:extLst>
            <a:ext uri="{FF2B5EF4-FFF2-40B4-BE49-F238E27FC236}">
              <a16:creationId xmlns:a16="http://schemas.microsoft.com/office/drawing/2014/main" id="{00000000-0008-0000-1200-00001101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xdr:row>
      <xdr:rowOff>52916</xdr:rowOff>
    </xdr:from>
    <xdr:to>
      <xdr:col>16</xdr:col>
      <xdr:colOff>0</xdr:colOff>
      <xdr:row>138</xdr:row>
      <xdr:rowOff>0</xdr:rowOff>
    </xdr:to>
    <xdr:cxnSp macro="">
      <xdr:nvCxnSpPr>
        <xdr:cNvPr id="274" name="Straight Arrow Connector 273">
          <a:extLst>
            <a:ext uri="{FF2B5EF4-FFF2-40B4-BE49-F238E27FC236}">
              <a16:creationId xmlns:a16="http://schemas.microsoft.com/office/drawing/2014/main" id="{00000000-0008-0000-1200-00001201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xdr:row>
      <xdr:rowOff>21167</xdr:rowOff>
    </xdr:from>
    <xdr:to>
      <xdr:col>15</xdr:col>
      <xdr:colOff>582083</xdr:colOff>
      <xdr:row>139</xdr:row>
      <xdr:rowOff>42333</xdr:rowOff>
    </xdr:to>
    <xdr:cxnSp macro="">
      <xdr:nvCxnSpPr>
        <xdr:cNvPr id="275" name="Straight Arrow Connector 274">
          <a:extLst>
            <a:ext uri="{FF2B5EF4-FFF2-40B4-BE49-F238E27FC236}">
              <a16:creationId xmlns:a16="http://schemas.microsoft.com/office/drawing/2014/main" id="{00000000-0008-0000-1200-00001301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xdr:row>
      <xdr:rowOff>21167</xdr:rowOff>
    </xdr:from>
    <xdr:to>
      <xdr:col>16</xdr:col>
      <xdr:colOff>42333</xdr:colOff>
      <xdr:row>143</xdr:row>
      <xdr:rowOff>21168</xdr:rowOff>
    </xdr:to>
    <xdr:cxnSp macro="">
      <xdr:nvCxnSpPr>
        <xdr:cNvPr id="276" name="Straight Arrow Connector 275">
          <a:extLst>
            <a:ext uri="{FF2B5EF4-FFF2-40B4-BE49-F238E27FC236}">
              <a16:creationId xmlns:a16="http://schemas.microsoft.com/office/drawing/2014/main" id="{00000000-0008-0000-1200-00001401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xdr:row>
      <xdr:rowOff>31750</xdr:rowOff>
    </xdr:from>
    <xdr:to>
      <xdr:col>16</xdr:col>
      <xdr:colOff>42334</xdr:colOff>
      <xdr:row>145</xdr:row>
      <xdr:rowOff>63501</xdr:rowOff>
    </xdr:to>
    <xdr:cxnSp macro="">
      <xdr:nvCxnSpPr>
        <xdr:cNvPr id="277" name="Straight Arrow Connector 276">
          <a:extLst>
            <a:ext uri="{FF2B5EF4-FFF2-40B4-BE49-F238E27FC236}">
              <a16:creationId xmlns:a16="http://schemas.microsoft.com/office/drawing/2014/main" id="{00000000-0008-0000-1200-000015010000}"/>
            </a:ext>
          </a:extLst>
        </xdr:cNvPr>
        <xdr:cNvCxnSpPr/>
      </xdr:nvCxnSpPr>
      <xdr:spPr>
        <a:xfrm>
          <a:off x="10541000" y="460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xdr:row>
      <xdr:rowOff>42333</xdr:rowOff>
    </xdr:from>
    <xdr:to>
      <xdr:col>9</xdr:col>
      <xdr:colOff>592666</xdr:colOff>
      <xdr:row>183</xdr:row>
      <xdr:rowOff>42333</xdr:rowOff>
    </xdr:to>
    <xdr:cxnSp macro="">
      <xdr:nvCxnSpPr>
        <xdr:cNvPr id="278" name="Straight Arrow Connector 277">
          <a:extLst>
            <a:ext uri="{FF2B5EF4-FFF2-40B4-BE49-F238E27FC236}">
              <a16:creationId xmlns:a16="http://schemas.microsoft.com/office/drawing/2014/main" id="{00000000-0008-0000-1200-00001601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185</xdr:row>
      <xdr:rowOff>169334</xdr:rowOff>
    </xdr:from>
    <xdr:to>
      <xdr:col>9</xdr:col>
      <xdr:colOff>603250</xdr:colOff>
      <xdr:row>194</xdr:row>
      <xdr:rowOff>31750</xdr:rowOff>
    </xdr:to>
    <xdr:cxnSp macro="">
      <xdr:nvCxnSpPr>
        <xdr:cNvPr id="279" name="Straight Arrow Connector 278">
          <a:extLst>
            <a:ext uri="{FF2B5EF4-FFF2-40B4-BE49-F238E27FC236}">
              <a16:creationId xmlns:a16="http://schemas.microsoft.com/office/drawing/2014/main" id="{00000000-0008-0000-1200-00001701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191</xdr:row>
      <xdr:rowOff>158750</xdr:rowOff>
    </xdr:from>
    <xdr:to>
      <xdr:col>11</xdr:col>
      <xdr:colOff>571500</xdr:colOff>
      <xdr:row>194</xdr:row>
      <xdr:rowOff>0</xdr:rowOff>
    </xdr:to>
    <xdr:cxnSp macro="">
      <xdr:nvCxnSpPr>
        <xdr:cNvPr id="280" name="Straight Arrow Connector 279">
          <a:extLst>
            <a:ext uri="{FF2B5EF4-FFF2-40B4-BE49-F238E27FC236}">
              <a16:creationId xmlns:a16="http://schemas.microsoft.com/office/drawing/2014/main" id="{00000000-0008-0000-1200-00001801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xdr:row>
      <xdr:rowOff>0</xdr:rowOff>
    </xdr:from>
    <xdr:to>
      <xdr:col>15</xdr:col>
      <xdr:colOff>603250</xdr:colOff>
      <xdr:row>151</xdr:row>
      <xdr:rowOff>1</xdr:rowOff>
    </xdr:to>
    <xdr:cxnSp macro="">
      <xdr:nvCxnSpPr>
        <xdr:cNvPr id="281" name="Straight Arrow Connector 280">
          <a:extLst>
            <a:ext uri="{FF2B5EF4-FFF2-40B4-BE49-F238E27FC236}">
              <a16:creationId xmlns:a16="http://schemas.microsoft.com/office/drawing/2014/main" id="{00000000-0008-0000-1200-000019010000}"/>
            </a:ext>
          </a:extLst>
        </xdr:cNvPr>
        <xdr:cNvCxnSpPr/>
      </xdr:nvCxnSpPr>
      <xdr:spPr>
        <a:xfrm flipV="1">
          <a:off x="11765781" y="27524364"/>
          <a:ext cx="625378" cy="3694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151</xdr:row>
      <xdr:rowOff>10584</xdr:rowOff>
    </xdr:from>
    <xdr:to>
      <xdr:col>15</xdr:col>
      <xdr:colOff>592666</xdr:colOff>
      <xdr:row>152</xdr:row>
      <xdr:rowOff>95250</xdr:rowOff>
    </xdr:to>
    <xdr:cxnSp macro="">
      <xdr:nvCxnSpPr>
        <xdr:cNvPr id="282" name="Straight Arrow Connector 281">
          <a:extLst>
            <a:ext uri="{FF2B5EF4-FFF2-40B4-BE49-F238E27FC236}">
              <a16:creationId xmlns:a16="http://schemas.microsoft.com/office/drawing/2014/main" id="{00000000-0008-0000-1200-00001A01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151</xdr:row>
      <xdr:rowOff>10584</xdr:rowOff>
    </xdr:from>
    <xdr:to>
      <xdr:col>15</xdr:col>
      <xdr:colOff>560916</xdr:colOff>
      <xdr:row>155</xdr:row>
      <xdr:rowOff>52917</xdr:rowOff>
    </xdr:to>
    <xdr:cxnSp macro="">
      <xdr:nvCxnSpPr>
        <xdr:cNvPr id="283" name="Straight Arrow Connector 282">
          <a:extLst>
            <a:ext uri="{FF2B5EF4-FFF2-40B4-BE49-F238E27FC236}">
              <a16:creationId xmlns:a16="http://schemas.microsoft.com/office/drawing/2014/main" id="{00000000-0008-0000-1200-00001B01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xdr:row>
      <xdr:rowOff>31750</xdr:rowOff>
    </xdr:from>
    <xdr:to>
      <xdr:col>16</xdr:col>
      <xdr:colOff>21167</xdr:colOff>
      <xdr:row>158</xdr:row>
      <xdr:rowOff>95250</xdr:rowOff>
    </xdr:to>
    <xdr:cxnSp macro="">
      <xdr:nvCxnSpPr>
        <xdr:cNvPr id="284" name="Straight Arrow Connector 283">
          <a:extLst>
            <a:ext uri="{FF2B5EF4-FFF2-40B4-BE49-F238E27FC236}">
              <a16:creationId xmlns:a16="http://schemas.microsoft.com/office/drawing/2014/main" id="{00000000-0008-0000-1200-00001C01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165</xdr:row>
      <xdr:rowOff>0</xdr:rowOff>
    </xdr:from>
    <xdr:to>
      <xdr:col>16</xdr:col>
      <xdr:colOff>0</xdr:colOff>
      <xdr:row>165</xdr:row>
      <xdr:rowOff>42334</xdr:rowOff>
    </xdr:to>
    <xdr:cxnSp macro="">
      <xdr:nvCxnSpPr>
        <xdr:cNvPr id="285" name="Straight Arrow Connector 284">
          <a:extLst>
            <a:ext uri="{FF2B5EF4-FFF2-40B4-BE49-F238E27FC236}">
              <a16:creationId xmlns:a16="http://schemas.microsoft.com/office/drawing/2014/main" id="{00000000-0008-0000-1200-00001D01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165</xdr:row>
      <xdr:rowOff>21166</xdr:rowOff>
    </xdr:from>
    <xdr:to>
      <xdr:col>15</xdr:col>
      <xdr:colOff>560916</xdr:colOff>
      <xdr:row>168</xdr:row>
      <xdr:rowOff>84667</xdr:rowOff>
    </xdr:to>
    <xdr:cxnSp macro="">
      <xdr:nvCxnSpPr>
        <xdr:cNvPr id="286" name="Straight Arrow Connector 285">
          <a:extLst>
            <a:ext uri="{FF2B5EF4-FFF2-40B4-BE49-F238E27FC236}">
              <a16:creationId xmlns:a16="http://schemas.microsoft.com/office/drawing/2014/main" id="{00000000-0008-0000-1200-00001E01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165</xdr:row>
      <xdr:rowOff>52916</xdr:rowOff>
    </xdr:from>
    <xdr:to>
      <xdr:col>15</xdr:col>
      <xdr:colOff>592666</xdr:colOff>
      <xdr:row>171</xdr:row>
      <xdr:rowOff>63501</xdr:rowOff>
    </xdr:to>
    <xdr:cxnSp macro="">
      <xdr:nvCxnSpPr>
        <xdr:cNvPr id="287" name="Straight Arrow Connector 286">
          <a:extLst>
            <a:ext uri="{FF2B5EF4-FFF2-40B4-BE49-F238E27FC236}">
              <a16:creationId xmlns:a16="http://schemas.microsoft.com/office/drawing/2014/main" id="{00000000-0008-0000-1200-00001F01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179</xdr:row>
      <xdr:rowOff>116416</xdr:rowOff>
    </xdr:from>
    <xdr:to>
      <xdr:col>15</xdr:col>
      <xdr:colOff>592666</xdr:colOff>
      <xdr:row>182</xdr:row>
      <xdr:rowOff>158750</xdr:rowOff>
    </xdr:to>
    <xdr:cxnSp macro="">
      <xdr:nvCxnSpPr>
        <xdr:cNvPr id="288" name="Straight Arrow Connector 287">
          <a:extLst>
            <a:ext uri="{FF2B5EF4-FFF2-40B4-BE49-F238E27FC236}">
              <a16:creationId xmlns:a16="http://schemas.microsoft.com/office/drawing/2014/main" id="{00000000-0008-0000-1200-00002001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181</xdr:row>
      <xdr:rowOff>95250</xdr:rowOff>
    </xdr:from>
    <xdr:to>
      <xdr:col>15</xdr:col>
      <xdr:colOff>582083</xdr:colOff>
      <xdr:row>183</xdr:row>
      <xdr:rowOff>52917</xdr:rowOff>
    </xdr:to>
    <xdr:cxnSp macro="">
      <xdr:nvCxnSpPr>
        <xdr:cNvPr id="289" name="Straight Arrow Connector 288">
          <a:extLst>
            <a:ext uri="{FF2B5EF4-FFF2-40B4-BE49-F238E27FC236}">
              <a16:creationId xmlns:a16="http://schemas.microsoft.com/office/drawing/2014/main" id="{00000000-0008-0000-1200-00002101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183</xdr:row>
      <xdr:rowOff>116417</xdr:rowOff>
    </xdr:from>
    <xdr:to>
      <xdr:col>15</xdr:col>
      <xdr:colOff>592666</xdr:colOff>
      <xdr:row>187</xdr:row>
      <xdr:rowOff>95250</xdr:rowOff>
    </xdr:to>
    <xdr:cxnSp macro="">
      <xdr:nvCxnSpPr>
        <xdr:cNvPr id="290" name="Straight Arrow Connector 289">
          <a:extLst>
            <a:ext uri="{FF2B5EF4-FFF2-40B4-BE49-F238E27FC236}">
              <a16:creationId xmlns:a16="http://schemas.microsoft.com/office/drawing/2014/main" id="{00000000-0008-0000-1200-00002201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194</xdr:row>
      <xdr:rowOff>116416</xdr:rowOff>
    </xdr:from>
    <xdr:to>
      <xdr:col>16</xdr:col>
      <xdr:colOff>0</xdr:colOff>
      <xdr:row>201</xdr:row>
      <xdr:rowOff>74084</xdr:rowOff>
    </xdr:to>
    <xdr:cxnSp macro="">
      <xdr:nvCxnSpPr>
        <xdr:cNvPr id="291" name="Straight Arrow Connector 290">
          <a:extLst>
            <a:ext uri="{FF2B5EF4-FFF2-40B4-BE49-F238E27FC236}">
              <a16:creationId xmlns:a16="http://schemas.microsoft.com/office/drawing/2014/main" id="{00000000-0008-0000-1200-00002301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xdr:row>
      <xdr:rowOff>52917</xdr:rowOff>
    </xdr:from>
    <xdr:to>
      <xdr:col>15</xdr:col>
      <xdr:colOff>603250</xdr:colOff>
      <xdr:row>164</xdr:row>
      <xdr:rowOff>148167</xdr:rowOff>
    </xdr:to>
    <xdr:cxnSp macro="">
      <xdr:nvCxnSpPr>
        <xdr:cNvPr id="292" name="Straight Arrow Connector 291">
          <a:extLst>
            <a:ext uri="{FF2B5EF4-FFF2-40B4-BE49-F238E27FC236}">
              <a16:creationId xmlns:a16="http://schemas.microsoft.com/office/drawing/2014/main" id="{00000000-0008-0000-1200-00002401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197</xdr:row>
      <xdr:rowOff>42333</xdr:rowOff>
    </xdr:from>
    <xdr:to>
      <xdr:col>11</xdr:col>
      <xdr:colOff>603250</xdr:colOff>
      <xdr:row>209</xdr:row>
      <xdr:rowOff>10583</xdr:rowOff>
    </xdr:to>
    <xdr:cxnSp macro="">
      <xdr:nvCxnSpPr>
        <xdr:cNvPr id="293" name="Straight Arrow Connector 292">
          <a:extLst>
            <a:ext uri="{FF2B5EF4-FFF2-40B4-BE49-F238E27FC236}">
              <a16:creationId xmlns:a16="http://schemas.microsoft.com/office/drawing/2014/main" id="{00000000-0008-0000-1200-00002501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187</xdr:row>
      <xdr:rowOff>21167</xdr:rowOff>
    </xdr:from>
    <xdr:to>
      <xdr:col>13</xdr:col>
      <xdr:colOff>592667</xdr:colOff>
      <xdr:row>189</xdr:row>
      <xdr:rowOff>0</xdr:rowOff>
    </xdr:to>
    <xdr:cxnSp macro="">
      <xdr:nvCxnSpPr>
        <xdr:cNvPr id="294" name="Straight Arrow Connector 293">
          <a:extLst>
            <a:ext uri="{FF2B5EF4-FFF2-40B4-BE49-F238E27FC236}">
              <a16:creationId xmlns:a16="http://schemas.microsoft.com/office/drawing/2014/main" id="{00000000-0008-0000-1200-00002601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192</xdr:row>
      <xdr:rowOff>21166</xdr:rowOff>
    </xdr:from>
    <xdr:to>
      <xdr:col>13</xdr:col>
      <xdr:colOff>592667</xdr:colOff>
      <xdr:row>193</xdr:row>
      <xdr:rowOff>169334</xdr:rowOff>
    </xdr:to>
    <xdr:cxnSp macro="">
      <xdr:nvCxnSpPr>
        <xdr:cNvPr id="295" name="Straight Arrow Connector 294">
          <a:extLst>
            <a:ext uri="{FF2B5EF4-FFF2-40B4-BE49-F238E27FC236}">
              <a16:creationId xmlns:a16="http://schemas.microsoft.com/office/drawing/2014/main" id="{00000000-0008-0000-1200-00002701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207</xdr:row>
      <xdr:rowOff>21167</xdr:rowOff>
    </xdr:from>
    <xdr:to>
      <xdr:col>13</xdr:col>
      <xdr:colOff>592667</xdr:colOff>
      <xdr:row>209</xdr:row>
      <xdr:rowOff>63500</xdr:rowOff>
    </xdr:to>
    <xdr:cxnSp macro="">
      <xdr:nvCxnSpPr>
        <xdr:cNvPr id="296" name="Straight Arrow Connector 295">
          <a:extLst>
            <a:ext uri="{FF2B5EF4-FFF2-40B4-BE49-F238E27FC236}">
              <a16:creationId xmlns:a16="http://schemas.microsoft.com/office/drawing/2014/main" id="{00000000-0008-0000-1200-00002801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212</xdr:row>
      <xdr:rowOff>0</xdr:rowOff>
    </xdr:from>
    <xdr:to>
      <xdr:col>14</xdr:col>
      <xdr:colOff>10584</xdr:colOff>
      <xdr:row>220</xdr:row>
      <xdr:rowOff>148167</xdr:rowOff>
    </xdr:to>
    <xdr:cxnSp macro="">
      <xdr:nvCxnSpPr>
        <xdr:cNvPr id="297" name="Straight Arrow Connector 296">
          <a:extLst>
            <a:ext uri="{FF2B5EF4-FFF2-40B4-BE49-F238E27FC236}">
              <a16:creationId xmlns:a16="http://schemas.microsoft.com/office/drawing/2014/main" id="{00000000-0008-0000-1200-00002901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183</xdr:row>
      <xdr:rowOff>95250</xdr:rowOff>
    </xdr:from>
    <xdr:to>
      <xdr:col>15</xdr:col>
      <xdr:colOff>582083</xdr:colOff>
      <xdr:row>185</xdr:row>
      <xdr:rowOff>137583</xdr:rowOff>
    </xdr:to>
    <xdr:cxnSp macro="">
      <xdr:nvCxnSpPr>
        <xdr:cNvPr id="298" name="Straight Arrow Connector 297">
          <a:extLst>
            <a:ext uri="{FF2B5EF4-FFF2-40B4-BE49-F238E27FC236}">
              <a16:creationId xmlns:a16="http://schemas.microsoft.com/office/drawing/2014/main" id="{00000000-0008-0000-1200-00002A01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192</xdr:row>
      <xdr:rowOff>52916</xdr:rowOff>
    </xdr:from>
    <xdr:to>
      <xdr:col>16</xdr:col>
      <xdr:colOff>0</xdr:colOff>
      <xdr:row>194</xdr:row>
      <xdr:rowOff>0</xdr:rowOff>
    </xdr:to>
    <xdr:cxnSp macro="">
      <xdr:nvCxnSpPr>
        <xdr:cNvPr id="299" name="Straight Arrow Connector 298">
          <a:extLst>
            <a:ext uri="{FF2B5EF4-FFF2-40B4-BE49-F238E27FC236}">
              <a16:creationId xmlns:a16="http://schemas.microsoft.com/office/drawing/2014/main" id="{00000000-0008-0000-1200-00002B01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194</xdr:row>
      <xdr:rowOff>0</xdr:rowOff>
    </xdr:from>
    <xdr:to>
      <xdr:col>16</xdr:col>
      <xdr:colOff>0</xdr:colOff>
      <xdr:row>198</xdr:row>
      <xdr:rowOff>42334</xdr:rowOff>
    </xdr:to>
    <xdr:cxnSp macro="">
      <xdr:nvCxnSpPr>
        <xdr:cNvPr id="301" name="Straight Arrow Connector 300">
          <a:extLst>
            <a:ext uri="{FF2B5EF4-FFF2-40B4-BE49-F238E27FC236}">
              <a16:creationId xmlns:a16="http://schemas.microsoft.com/office/drawing/2014/main" id="{00000000-0008-0000-1200-00002D01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205</xdr:row>
      <xdr:rowOff>0</xdr:rowOff>
    </xdr:from>
    <xdr:to>
      <xdr:col>15</xdr:col>
      <xdr:colOff>603250</xdr:colOff>
      <xdr:row>207</xdr:row>
      <xdr:rowOff>1</xdr:rowOff>
    </xdr:to>
    <xdr:cxnSp macro="">
      <xdr:nvCxnSpPr>
        <xdr:cNvPr id="302" name="Straight Arrow Connector 301">
          <a:extLst>
            <a:ext uri="{FF2B5EF4-FFF2-40B4-BE49-F238E27FC236}">
              <a16:creationId xmlns:a16="http://schemas.microsoft.com/office/drawing/2014/main" id="{00000000-0008-0000-1200-00002E01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207</xdr:row>
      <xdr:rowOff>10584</xdr:rowOff>
    </xdr:from>
    <xdr:to>
      <xdr:col>15</xdr:col>
      <xdr:colOff>592666</xdr:colOff>
      <xdr:row>208</xdr:row>
      <xdr:rowOff>95250</xdr:rowOff>
    </xdr:to>
    <xdr:cxnSp macro="">
      <xdr:nvCxnSpPr>
        <xdr:cNvPr id="303" name="Straight Arrow Connector 302">
          <a:extLst>
            <a:ext uri="{FF2B5EF4-FFF2-40B4-BE49-F238E27FC236}">
              <a16:creationId xmlns:a16="http://schemas.microsoft.com/office/drawing/2014/main" id="{00000000-0008-0000-1200-00002F01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207</xdr:row>
      <xdr:rowOff>10584</xdr:rowOff>
    </xdr:from>
    <xdr:to>
      <xdr:col>15</xdr:col>
      <xdr:colOff>560916</xdr:colOff>
      <xdr:row>211</xdr:row>
      <xdr:rowOff>52917</xdr:rowOff>
    </xdr:to>
    <xdr:cxnSp macro="">
      <xdr:nvCxnSpPr>
        <xdr:cNvPr id="304" name="Straight Arrow Connector 303">
          <a:extLst>
            <a:ext uri="{FF2B5EF4-FFF2-40B4-BE49-F238E27FC236}">
              <a16:creationId xmlns:a16="http://schemas.microsoft.com/office/drawing/2014/main" id="{00000000-0008-0000-1200-00003001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207</xdr:row>
      <xdr:rowOff>31750</xdr:rowOff>
    </xdr:from>
    <xdr:to>
      <xdr:col>16</xdr:col>
      <xdr:colOff>21167</xdr:colOff>
      <xdr:row>214</xdr:row>
      <xdr:rowOff>95250</xdr:rowOff>
    </xdr:to>
    <xdr:cxnSp macro="">
      <xdr:nvCxnSpPr>
        <xdr:cNvPr id="305" name="Straight Arrow Connector 304">
          <a:extLst>
            <a:ext uri="{FF2B5EF4-FFF2-40B4-BE49-F238E27FC236}">
              <a16:creationId xmlns:a16="http://schemas.microsoft.com/office/drawing/2014/main" id="{00000000-0008-0000-1200-00003101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221</xdr:row>
      <xdr:rowOff>0</xdr:rowOff>
    </xdr:from>
    <xdr:to>
      <xdr:col>16</xdr:col>
      <xdr:colOff>0</xdr:colOff>
      <xdr:row>221</xdr:row>
      <xdr:rowOff>42334</xdr:rowOff>
    </xdr:to>
    <xdr:cxnSp macro="">
      <xdr:nvCxnSpPr>
        <xdr:cNvPr id="306" name="Straight Arrow Connector 305">
          <a:extLst>
            <a:ext uri="{FF2B5EF4-FFF2-40B4-BE49-F238E27FC236}">
              <a16:creationId xmlns:a16="http://schemas.microsoft.com/office/drawing/2014/main" id="{00000000-0008-0000-1200-00003201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221</xdr:row>
      <xdr:rowOff>21166</xdr:rowOff>
    </xdr:from>
    <xdr:to>
      <xdr:col>15</xdr:col>
      <xdr:colOff>560916</xdr:colOff>
      <xdr:row>224</xdr:row>
      <xdr:rowOff>84667</xdr:rowOff>
    </xdr:to>
    <xdr:cxnSp macro="">
      <xdr:nvCxnSpPr>
        <xdr:cNvPr id="307" name="Straight Arrow Connector 306">
          <a:extLst>
            <a:ext uri="{FF2B5EF4-FFF2-40B4-BE49-F238E27FC236}">
              <a16:creationId xmlns:a16="http://schemas.microsoft.com/office/drawing/2014/main" id="{00000000-0008-0000-1200-00003301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221</xdr:row>
      <xdr:rowOff>52916</xdr:rowOff>
    </xdr:from>
    <xdr:to>
      <xdr:col>15</xdr:col>
      <xdr:colOff>592666</xdr:colOff>
      <xdr:row>227</xdr:row>
      <xdr:rowOff>63501</xdr:rowOff>
    </xdr:to>
    <xdr:cxnSp macro="">
      <xdr:nvCxnSpPr>
        <xdr:cNvPr id="308" name="Straight Arrow Connector 307">
          <a:extLst>
            <a:ext uri="{FF2B5EF4-FFF2-40B4-BE49-F238E27FC236}">
              <a16:creationId xmlns:a16="http://schemas.microsoft.com/office/drawing/2014/main" id="{00000000-0008-0000-1200-00003401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218</xdr:row>
      <xdr:rowOff>52917</xdr:rowOff>
    </xdr:from>
    <xdr:to>
      <xdr:col>15</xdr:col>
      <xdr:colOff>603250</xdr:colOff>
      <xdr:row>220</xdr:row>
      <xdr:rowOff>148167</xdr:rowOff>
    </xdr:to>
    <xdr:cxnSp macro="">
      <xdr:nvCxnSpPr>
        <xdr:cNvPr id="309" name="Straight Arrow Connector 308">
          <a:extLst>
            <a:ext uri="{FF2B5EF4-FFF2-40B4-BE49-F238E27FC236}">
              <a16:creationId xmlns:a16="http://schemas.microsoft.com/office/drawing/2014/main" id="{00000000-0008-0000-1200-00003501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129</xdr:row>
      <xdr:rowOff>127000</xdr:rowOff>
    </xdr:from>
    <xdr:to>
      <xdr:col>8</xdr:col>
      <xdr:colOff>63500</xdr:colOff>
      <xdr:row>148</xdr:row>
      <xdr:rowOff>0</xdr:rowOff>
    </xdr:to>
    <xdr:cxnSp macro="">
      <xdr:nvCxnSpPr>
        <xdr:cNvPr id="312" name="Straight Arrow Connector 311">
          <a:extLst>
            <a:ext uri="{FF2B5EF4-FFF2-40B4-BE49-F238E27FC236}">
              <a16:creationId xmlns:a16="http://schemas.microsoft.com/office/drawing/2014/main" id="{00000000-0008-0000-1200-00003801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266</xdr:row>
      <xdr:rowOff>1</xdr:rowOff>
    </xdr:from>
    <xdr:to>
      <xdr:col>6</xdr:col>
      <xdr:colOff>0</xdr:colOff>
      <xdr:row>300</xdr:row>
      <xdr:rowOff>116417</xdr:rowOff>
    </xdr:to>
    <xdr:cxnSp macro="">
      <xdr:nvCxnSpPr>
        <xdr:cNvPr id="313" name="Straight Arrow Connector 312">
          <a:extLst>
            <a:ext uri="{FF2B5EF4-FFF2-40B4-BE49-F238E27FC236}">
              <a16:creationId xmlns:a16="http://schemas.microsoft.com/office/drawing/2014/main" id="{00000000-0008-0000-1200-000039010000}"/>
            </a:ext>
          </a:extLst>
        </xdr:cNvPr>
        <xdr:cNvCxnSpPr/>
      </xdr:nvCxnSpPr>
      <xdr:spPr>
        <a:xfrm flipV="1">
          <a:off x="3714750" y="7810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303</xdr:row>
      <xdr:rowOff>169334</xdr:rowOff>
    </xdr:from>
    <xdr:to>
      <xdr:col>5</xdr:col>
      <xdr:colOff>571500</xdr:colOff>
      <xdr:row>372</xdr:row>
      <xdr:rowOff>0</xdr:rowOff>
    </xdr:to>
    <xdr:cxnSp macro="">
      <xdr:nvCxnSpPr>
        <xdr:cNvPr id="314" name="Straight Arrow Connector 313">
          <a:extLst>
            <a:ext uri="{FF2B5EF4-FFF2-40B4-BE49-F238E27FC236}">
              <a16:creationId xmlns:a16="http://schemas.microsoft.com/office/drawing/2014/main" id="{00000000-0008-0000-1200-00003A01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241</xdr:row>
      <xdr:rowOff>148167</xdr:rowOff>
    </xdr:from>
    <xdr:to>
      <xdr:col>7</xdr:col>
      <xdr:colOff>603250</xdr:colOff>
      <xdr:row>263</xdr:row>
      <xdr:rowOff>31750</xdr:rowOff>
    </xdr:to>
    <xdr:cxnSp macro="">
      <xdr:nvCxnSpPr>
        <xdr:cNvPr id="315" name="Straight Arrow Connector 314">
          <a:extLst>
            <a:ext uri="{FF2B5EF4-FFF2-40B4-BE49-F238E27FC236}">
              <a16:creationId xmlns:a16="http://schemas.microsoft.com/office/drawing/2014/main" id="{00000000-0008-0000-1200-00003B010000}"/>
            </a:ext>
          </a:extLst>
        </xdr:cNvPr>
        <xdr:cNvCxnSpPr/>
      </xdr:nvCxnSpPr>
      <xdr:spPr>
        <a:xfrm flipV="1">
          <a:off x="517525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266</xdr:row>
      <xdr:rowOff>10584</xdr:rowOff>
    </xdr:from>
    <xdr:to>
      <xdr:col>8</xdr:col>
      <xdr:colOff>21167</xdr:colOff>
      <xdr:row>294</xdr:row>
      <xdr:rowOff>148166</xdr:rowOff>
    </xdr:to>
    <xdr:cxnSp macro="">
      <xdr:nvCxnSpPr>
        <xdr:cNvPr id="316" name="Straight Arrow Connector 315">
          <a:extLst>
            <a:ext uri="{FF2B5EF4-FFF2-40B4-BE49-F238E27FC236}">
              <a16:creationId xmlns:a16="http://schemas.microsoft.com/office/drawing/2014/main" id="{00000000-0008-0000-1200-00003C010000}"/>
            </a:ext>
          </a:extLst>
        </xdr:cNvPr>
        <xdr:cNvCxnSpPr/>
      </xdr:nvCxnSpPr>
      <xdr:spPr>
        <a:xfrm>
          <a:off x="5175250" y="7821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233</xdr:row>
      <xdr:rowOff>137583</xdr:rowOff>
    </xdr:from>
    <xdr:to>
      <xdr:col>9</xdr:col>
      <xdr:colOff>603250</xdr:colOff>
      <xdr:row>239</xdr:row>
      <xdr:rowOff>21166</xdr:rowOff>
    </xdr:to>
    <xdr:cxnSp macro="">
      <xdr:nvCxnSpPr>
        <xdr:cNvPr id="317" name="Straight Arrow Connector 316">
          <a:extLst>
            <a:ext uri="{FF2B5EF4-FFF2-40B4-BE49-F238E27FC236}">
              <a16:creationId xmlns:a16="http://schemas.microsoft.com/office/drawing/2014/main" id="{00000000-0008-0000-1200-00003D01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242</xdr:row>
      <xdr:rowOff>0</xdr:rowOff>
    </xdr:from>
    <xdr:to>
      <xdr:col>9</xdr:col>
      <xdr:colOff>582083</xdr:colOff>
      <xdr:row>250</xdr:row>
      <xdr:rowOff>10583</xdr:rowOff>
    </xdr:to>
    <xdr:cxnSp macro="">
      <xdr:nvCxnSpPr>
        <xdr:cNvPr id="318" name="Straight Arrow Connector 317">
          <a:extLst>
            <a:ext uri="{FF2B5EF4-FFF2-40B4-BE49-F238E27FC236}">
              <a16:creationId xmlns:a16="http://schemas.microsoft.com/office/drawing/2014/main" id="{00000000-0008-0000-1200-00003E01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247</xdr:row>
      <xdr:rowOff>169333</xdr:rowOff>
    </xdr:from>
    <xdr:to>
      <xdr:col>11</xdr:col>
      <xdr:colOff>603250</xdr:colOff>
      <xdr:row>250</xdr:row>
      <xdr:rowOff>21167</xdr:rowOff>
    </xdr:to>
    <xdr:cxnSp macro="">
      <xdr:nvCxnSpPr>
        <xdr:cNvPr id="319" name="Straight Arrow Connector 318">
          <a:extLst>
            <a:ext uri="{FF2B5EF4-FFF2-40B4-BE49-F238E27FC236}">
              <a16:creationId xmlns:a16="http://schemas.microsoft.com/office/drawing/2014/main" id="{00000000-0008-0000-1200-00003F01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253</xdr:row>
      <xdr:rowOff>42333</xdr:rowOff>
    </xdr:from>
    <xdr:to>
      <xdr:col>11</xdr:col>
      <xdr:colOff>603250</xdr:colOff>
      <xdr:row>265</xdr:row>
      <xdr:rowOff>10583</xdr:rowOff>
    </xdr:to>
    <xdr:cxnSp macro="">
      <xdr:nvCxnSpPr>
        <xdr:cNvPr id="320" name="Straight Arrow Connector 319">
          <a:extLst>
            <a:ext uri="{FF2B5EF4-FFF2-40B4-BE49-F238E27FC236}">
              <a16:creationId xmlns:a16="http://schemas.microsoft.com/office/drawing/2014/main" id="{00000000-0008-0000-1200-00004001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243</xdr:row>
      <xdr:rowOff>21167</xdr:rowOff>
    </xdr:from>
    <xdr:to>
      <xdr:col>13</xdr:col>
      <xdr:colOff>592667</xdr:colOff>
      <xdr:row>245</xdr:row>
      <xdr:rowOff>0</xdr:rowOff>
    </xdr:to>
    <xdr:cxnSp macro="">
      <xdr:nvCxnSpPr>
        <xdr:cNvPr id="321" name="Straight Arrow Connector 320">
          <a:extLst>
            <a:ext uri="{FF2B5EF4-FFF2-40B4-BE49-F238E27FC236}">
              <a16:creationId xmlns:a16="http://schemas.microsoft.com/office/drawing/2014/main" id="{00000000-0008-0000-1200-00004101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248</xdr:row>
      <xdr:rowOff>21166</xdr:rowOff>
    </xdr:from>
    <xdr:to>
      <xdr:col>13</xdr:col>
      <xdr:colOff>592667</xdr:colOff>
      <xdr:row>249</xdr:row>
      <xdr:rowOff>169334</xdr:rowOff>
    </xdr:to>
    <xdr:cxnSp macro="">
      <xdr:nvCxnSpPr>
        <xdr:cNvPr id="322" name="Straight Arrow Connector 321">
          <a:extLst>
            <a:ext uri="{FF2B5EF4-FFF2-40B4-BE49-F238E27FC236}">
              <a16:creationId xmlns:a16="http://schemas.microsoft.com/office/drawing/2014/main" id="{00000000-0008-0000-1200-00004201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263</xdr:row>
      <xdr:rowOff>21167</xdr:rowOff>
    </xdr:from>
    <xdr:to>
      <xdr:col>13</xdr:col>
      <xdr:colOff>592667</xdr:colOff>
      <xdr:row>265</xdr:row>
      <xdr:rowOff>63500</xdr:rowOff>
    </xdr:to>
    <xdr:cxnSp macro="">
      <xdr:nvCxnSpPr>
        <xdr:cNvPr id="323" name="Straight Arrow Connector 322">
          <a:extLst>
            <a:ext uri="{FF2B5EF4-FFF2-40B4-BE49-F238E27FC236}">
              <a16:creationId xmlns:a16="http://schemas.microsoft.com/office/drawing/2014/main" id="{00000000-0008-0000-1200-00004301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268</xdr:row>
      <xdr:rowOff>0</xdr:rowOff>
    </xdr:from>
    <xdr:to>
      <xdr:col>14</xdr:col>
      <xdr:colOff>10584</xdr:colOff>
      <xdr:row>276</xdr:row>
      <xdr:rowOff>148167</xdr:rowOff>
    </xdr:to>
    <xdr:cxnSp macro="">
      <xdr:nvCxnSpPr>
        <xdr:cNvPr id="324" name="Straight Arrow Connector 323">
          <a:extLst>
            <a:ext uri="{FF2B5EF4-FFF2-40B4-BE49-F238E27FC236}">
              <a16:creationId xmlns:a16="http://schemas.microsoft.com/office/drawing/2014/main" id="{00000000-0008-0000-1200-00004401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235</xdr:row>
      <xdr:rowOff>0</xdr:rowOff>
    </xdr:from>
    <xdr:to>
      <xdr:col>15</xdr:col>
      <xdr:colOff>603250</xdr:colOff>
      <xdr:row>240</xdr:row>
      <xdr:rowOff>31750</xdr:rowOff>
    </xdr:to>
    <xdr:cxnSp macro="">
      <xdr:nvCxnSpPr>
        <xdr:cNvPr id="325" name="Straight Arrow Connector 324">
          <a:extLst>
            <a:ext uri="{FF2B5EF4-FFF2-40B4-BE49-F238E27FC236}">
              <a16:creationId xmlns:a16="http://schemas.microsoft.com/office/drawing/2014/main" id="{00000000-0008-0000-1200-00004501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238</xdr:row>
      <xdr:rowOff>52917</xdr:rowOff>
    </xdr:from>
    <xdr:to>
      <xdr:col>15</xdr:col>
      <xdr:colOff>603250</xdr:colOff>
      <xdr:row>240</xdr:row>
      <xdr:rowOff>95250</xdr:rowOff>
    </xdr:to>
    <xdr:cxnSp macro="">
      <xdr:nvCxnSpPr>
        <xdr:cNvPr id="326" name="Straight Arrow Connector 325">
          <a:extLst>
            <a:ext uri="{FF2B5EF4-FFF2-40B4-BE49-F238E27FC236}">
              <a16:creationId xmlns:a16="http://schemas.microsoft.com/office/drawing/2014/main" id="{00000000-0008-0000-1200-00004601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240</xdr:row>
      <xdr:rowOff>158750</xdr:rowOff>
    </xdr:from>
    <xdr:to>
      <xdr:col>15</xdr:col>
      <xdr:colOff>582083</xdr:colOff>
      <xdr:row>241</xdr:row>
      <xdr:rowOff>137583</xdr:rowOff>
    </xdr:to>
    <xdr:cxnSp macro="">
      <xdr:nvCxnSpPr>
        <xdr:cNvPr id="327" name="Straight Arrow Connector 326">
          <a:extLst>
            <a:ext uri="{FF2B5EF4-FFF2-40B4-BE49-F238E27FC236}">
              <a16:creationId xmlns:a16="http://schemas.microsoft.com/office/drawing/2014/main" id="{00000000-0008-0000-1200-00004701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240</xdr:row>
      <xdr:rowOff>105834</xdr:rowOff>
    </xdr:from>
    <xdr:to>
      <xdr:col>16</xdr:col>
      <xdr:colOff>0</xdr:colOff>
      <xdr:row>244</xdr:row>
      <xdr:rowOff>84667</xdr:rowOff>
    </xdr:to>
    <xdr:cxnSp macro="">
      <xdr:nvCxnSpPr>
        <xdr:cNvPr id="328" name="Straight Arrow Connector 327">
          <a:extLst>
            <a:ext uri="{FF2B5EF4-FFF2-40B4-BE49-F238E27FC236}">
              <a16:creationId xmlns:a16="http://schemas.microsoft.com/office/drawing/2014/main" id="{00000000-0008-0000-1200-00004801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248</xdr:row>
      <xdr:rowOff>52916</xdr:rowOff>
    </xdr:from>
    <xdr:to>
      <xdr:col>16</xdr:col>
      <xdr:colOff>0</xdr:colOff>
      <xdr:row>250</xdr:row>
      <xdr:rowOff>0</xdr:rowOff>
    </xdr:to>
    <xdr:cxnSp macro="">
      <xdr:nvCxnSpPr>
        <xdr:cNvPr id="329" name="Straight Arrow Connector 328">
          <a:extLst>
            <a:ext uri="{FF2B5EF4-FFF2-40B4-BE49-F238E27FC236}">
              <a16:creationId xmlns:a16="http://schemas.microsoft.com/office/drawing/2014/main" id="{00000000-0008-0000-1200-00004901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250</xdr:row>
      <xdr:rowOff>21167</xdr:rowOff>
    </xdr:from>
    <xdr:to>
      <xdr:col>15</xdr:col>
      <xdr:colOff>582083</xdr:colOff>
      <xdr:row>251</xdr:row>
      <xdr:rowOff>42333</xdr:rowOff>
    </xdr:to>
    <xdr:cxnSp macro="">
      <xdr:nvCxnSpPr>
        <xdr:cNvPr id="330" name="Straight Arrow Connector 329">
          <a:extLst>
            <a:ext uri="{FF2B5EF4-FFF2-40B4-BE49-F238E27FC236}">
              <a16:creationId xmlns:a16="http://schemas.microsoft.com/office/drawing/2014/main" id="{00000000-0008-0000-1200-00004A01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250</xdr:row>
      <xdr:rowOff>21167</xdr:rowOff>
    </xdr:from>
    <xdr:to>
      <xdr:col>16</xdr:col>
      <xdr:colOff>42333</xdr:colOff>
      <xdr:row>255</xdr:row>
      <xdr:rowOff>21168</xdr:rowOff>
    </xdr:to>
    <xdr:cxnSp macro="">
      <xdr:nvCxnSpPr>
        <xdr:cNvPr id="331" name="Straight Arrow Connector 330">
          <a:extLst>
            <a:ext uri="{FF2B5EF4-FFF2-40B4-BE49-F238E27FC236}">
              <a16:creationId xmlns:a16="http://schemas.microsoft.com/office/drawing/2014/main" id="{00000000-0008-0000-1200-00004B01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287</xdr:row>
      <xdr:rowOff>42333</xdr:rowOff>
    </xdr:from>
    <xdr:to>
      <xdr:col>9</xdr:col>
      <xdr:colOff>592666</xdr:colOff>
      <xdr:row>295</xdr:row>
      <xdr:rowOff>42333</xdr:rowOff>
    </xdr:to>
    <xdr:cxnSp macro="">
      <xdr:nvCxnSpPr>
        <xdr:cNvPr id="333" name="Straight Arrow Connector 332">
          <a:extLst>
            <a:ext uri="{FF2B5EF4-FFF2-40B4-BE49-F238E27FC236}">
              <a16:creationId xmlns:a16="http://schemas.microsoft.com/office/drawing/2014/main" id="{00000000-0008-0000-1200-00004D01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297</xdr:row>
      <xdr:rowOff>169334</xdr:rowOff>
    </xdr:from>
    <xdr:to>
      <xdr:col>9</xdr:col>
      <xdr:colOff>603250</xdr:colOff>
      <xdr:row>306</xdr:row>
      <xdr:rowOff>31750</xdr:rowOff>
    </xdr:to>
    <xdr:cxnSp macro="">
      <xdr:nvCxnSpPr>
        <xdr:cNvPr id="334" name="Straight Arrow Connector 333">
          <a:extLst>
            <a:ext uri="{FF2B5EF4-FFF2-40B4-BE49-F238E27FC236}">
              <a16:creationId xmlns:a16="http://schemas.microsoft.com/office/drawing/2014/main" id="{00000000-0008-0000-1200-00004E01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303</xdr:row>
      <xdr:rowOff>158750</xdr:rowOff>
    </xdr:from>
    <xdr:to>
      <xdr:col>11</xdr:col>
      <xdr:colOff>571500</xdr:colOff>
      <xdr:row>306</xdr:row>
      <xdr:rowOff>0</xdr:rowOff>
    </xdr:to>
    <xdr:cxnSp macro="">
      <xdr:nvCxnSpPr>
        <xdr:cNvPr id="335" name="Straight Arrow Connector 334">
          <a:extLst>
            <a:ext uri="{FF2B5EF4-FFF2-40B4-BE49-F238E27FC236}">
              <a16:creationId xmlns:a16="http://schemas.microsoft.com/office/drawing/2014/main" id="{00000000-0008-0000-1200-00004F01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261</xdr:row>
      <xdr:rowOff>0</xdr:rowOff>
    </xdr:from>
    <xdr:to>
      <xdr:col>15</xdr:col>
      <xdr:colOff>603250</xdr:colOff>
      <xdr:row>263</xdr:row>
      <xdr:rowOff>1</xdr:rowOff>
    </xdr:to>
    <xdr:cxnSp macro="">
      <xdr:nvCxnSpPr>
        <xdr:cNvPr id="336" name="Straight Arrow Connector 335">
          <a:extLst>
            <a:ext uri="{FF2B5EF4-FFF2-40B4-BE49-F238E27FC236}">
              <a16:creationId xmlns:a16="http://schemas.microsoft.com/office/drawing/2014/main" id="{00000000-0008-0000-1200-000050010000}"/>
            </a:ext>
          </a:extLst>
        </xdr:cNvPr>
        <xdr:cNvCxnSpPr/>
      </xdr:nvCxnSpPr>
      <xdr:spPr>
        <a:xfrm flipV="1">
          <a:off x="10530417"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263</xdr:row>
      <xdr:rowOff>10584</xdr:rowOff>
    </xdr:from>
    <xdr:to>
      <xdr:col>15</xdr:col>
      <xdr:colOff>592666</xdr:colOff>
      <xdr:row>264</xdr:row>
      <xdr:rowOff>95250</xdr:rowOff>
    </xdr:to>
    <xdr:cxnSp macro="">
      <xdr:nvCxnSpPr>
        <xdr:cNvPr id="337" name="Straight Arrow Connector 336">
          <a:extLst>
            <a:ext uri="{FF2B5EF4-FFF2-40B4-BE49-F238E27FC236}">
              <a16:creationId xmlns:a16="http://schemas.microsoft.com/office/drawing/2014/main" id="{00000000-0008-0000-1200-00005101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263</xdr:row>
      <xdr:rowOff>10584</xdr:rowOff>
    </xdr:from>
    <xdr:to>
      <xdr:col>15</xdr:col>
      <xdr:colOff>560916</xdr:colOff>
      <xdr:row>267</xdr:row>
      <xdr:rowOff>52917</xdr:rowOff>
    </xdr:to>
    <xdr:cxnSp macro="">
      <xdr:nvCxnSpPr>
        <xdr:cNvPr id="338" name="Straight Arrow Connector 337">
          <a:extLst>
            <a:ext uri="{FF2B5EF4-FFF2-40B4-BE49-F238E27FC236}">
              <a16:creationId xmlns:a16="http://schemas.microsoft.com/office/drawing/2014/main" id="{00000000-0008-0000-1200-00005201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263</xdr:row>
      <xdr:rowOff>31750</xdr:rowOff>
    </xdr:from>
    <xdr:to>
      <xdr:col>16</xdr:col>
      <xdr:colOff>21167</xdr:colOff>
      <xdr:row>270</xdr:row>
      <xdr:rowOff>95250</xdr:rowOff>
    </xdr:to>
    <xdr:cxnSp macro="">
      <xdr:nvCxnSpPr>
        <xdr:cNvPr id="339" name="Straight Arrow Connector 338">
          <a:extLst>
            <a:ext uri="{FF2B5EF4-FFF2-40B4-BE49-F238E27FC236}">
              <a16:creationId xmlns:a16="http://schemas.microsoft.com/office/drawing/2014/main" id="{00000000-0008-0000-1200-00005301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277</xdr:row>
      <xdr:rowOff>0</xdr:rowOff>
    </xdr:from>
    <xdr:to>
      <xdr:col>16</xdr:col>
      <xdr:colOff>0</xdr:colOff>
      <xdr:row>277</xdr:row>
      <xdr:rowOff>42334</xdr:rowOff>
    </xdr:to>
    <xdr:cxnSp macro="">
      <xdr:nvCxnSpPr>
        <xdr:cNvPr id="340" name="Straight Arrow Connector 339">
          <a:extLst>
            <a:ext uri="{FF2B5EF4-FFF2-40B4-BE49-F238E27FC236}">
              <a16:creationId xmlns:a16="http://schemas.microsoft.com/office/drawing/2014/main" id="{00000000-0008-0000-1200-00005401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277</xdr:row>
      <xdr:rowOff>21166</xdr:rowOff>
    </xdr:from>
    <xdr:to>
      <xdr:col>15</xdr:col>
      <xdr:colOff>560916</xdr:colOff>
      <xdr:row>280</xdr:row>
      <xdr:rowOff>84667</xdr:rowOff>
    </xdr:to>
    <xdr:cxnSp macro="">
      <xdr:nvCxnSpPr>
        <xdr:cNvPr id="341" name="Straight Arrow Connector 340">
          <a:extLst>
            <a:ext uri="{FF2B5EF4-FFF2-40B4-BE49-F238E27FC236}">
              <a16:creationId xmlns:a16="http://schemas.microsoft.com/office/drawing/2014/main" id="{00000000-0008-0000-1200-00005501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277</xdr:row>
      <xdr:rowOff>52916</xdr:rowOff>
    </xdr:from>
    <xdr:to>
      <xdr:col>15</xdr:col>
      <xdr:colOff>592666</xdr:colOff>
      <xdr:row>283</xdr:row>
      <xdr:rowOff>63501</xdr:rowOff>
    </xdr:to>
    <xdr:cxnSp macro="">
      <xdr:nvCxnSpPr>
        <xdr:cNvPr id="342" name="Straight Arrow Connector 341">
          <a:extLst>
            <a:ext uri="{FF2B5EF4-FFF2-40B4-BE49-F238E27FC236}">
              <a16:creationId xmlns:a16="http://schemas.microsoft.com/office/drawing/2014/main" id="{00000000-0008-0000-1200-00005601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291</xdr:row>
      <xdr:rowOff>116416</xdr:rowOff>
    </xdr:from>
    <xdr:to>
      <xdr:col>15</xdr:col>
      <xdr:colOff>592666</xdr:colOff>
      <xdr:row>294</xdr:row>
      <xdr:rowOff>158750</xdr:rowOff>
    </xdr:to>
    <xdr:cxnSp macro="">
      <xdr:nvCxnSpPr>
        <xdr:cNvPr id="343" name="Straight Arrow Connector 342">
          <a:extLst>
            <a:ext uri="{FF2B5EF4-FFF2-40B4-BE49-F238E27FC236}">
              <a16:creationId xmlns:a16="http://schemas.microsoft.com/office/drawing/2014/main" id="{00000000-0008-0000-1200-00005701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293</xdr:row>
      <xdr:rowOff>95250</xdr:rowOff>
    </xdr:from>
    <xdr:to>
      <xdr:col>15</xdr:col>
      <xdr:colOff>582083</xdr:colOff>
      <xdr:row>295</xdr:row>
      <xdr:rowOff>52917</xdr:rowOff>
    </xdr:to>
    <xdr:cxnSp macro="">
      <xdr:nvCxnSpPr>
        <xdr:cNvPr id="344" name="Straight Arrow Connector 343">
          <a:extLst>
            <a:ext uri="{FF2B5EF4-FFF2-40B4-BE49-F238E27FC236}">
              <a16:creationId xmlns:a16="http://schemas.microsoft.com/office/drawing/2014/main" id="{00000000-0008-0000-1200-00005801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295</xdr:row>
      <xdr:rowOff>116417</xdr:rowOff>
    </xdr:from>
    <xdr:to>
      <xdr:col>15</xdr:col>
      <xdr:colOff>592666</xdr:colOff>
      <xdr:row>299</xdr:row>
      <xdr:rowOff>95250</xdr:rowOff>
    </xdr:to>
    <xdr:cxnSp macro="">
      <xdr:nvCxnSpPr>
        <xdr:cNvPr id="345" name="Straight Arrow Connector 344">
          <a:extLst>
            <a:ext uri="{FF2B5EF4-FFF2-40B4-BE49-F238E27FC236}">
              <a16:creationId xmlns:a16="http://schemas.microsoft.com/office/drawing/2014/main" id="{00000000-0008-0000-1200-00005901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306</xdr:row>
      <xdr:rowOff>116416</xdr:rowOff>
    </xdr:from>
    <xdr:to>
      <xdr:col>16</xdr:col>
      <xdr:colOff>0</xdr:colOff>
      <xdr:row>313</xdr:row>
      <xdr:rowOff>74084</xdr:rowOff>
    </xdr:to>
    <xdr:cxnSp macro="">
      <xdr:nvCxnSpPr>
        <xdr:cNvPr id="346" name="Straight Arrow Connector 345">
          <a:extLst>
            <a:ext uri="{FF2B5EF4-FFF2-40B4-BE49-F238E27FC236}">
              <a16:creationId xmlns:a16="http://schemas.microsoft.com/office/drawing/2014/main" id="{00000000-0008-0000-1200-00005A01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274</xdr:row>
      <xdr:rowOff>52917</xdr:rowOff>
    </xdr:from>
    <xdr:to>
      <xdr:col>15</xdr:col>
      <xdr:colOff>603250</xdr:colOff>
      <xdr:row>276</xdr:row>
      <xdr:rowOff>148167</xdr:rowOff>
    </xdr:to>
    <xdr:cxnSp macro="">
      <xdr:nvCxnSpPr>
        <xdr:cNvPr id="347" name="Straight Arrow Connector 346">
          <a:extLst>
            <a:ext uri="{FF2B5EF4-FFF2-40B4-BE49-F238E27FC236}">
              <a16:creationId xmlns:a16="http://schemas.microsoft.com/office/drawing/2014/main" id="{00000000-0008-0000-1200-00005B01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309</xdr:row>
      <xdr:rowOff>42333</xdr:rowOff>
    </xdr:from>
    <xdr:to>
      <xdr:col>11</xdr:col>
      <xdr:colOff>603250</xdr:colOff>
      <xdr:row>321</xdr:row>
      <xdr:rowOff>10583</xdr:rowOff>
    </xdr:to>
    <xdr:cxnSp macro="">
      <xdr:nvCxnSpPr>
        <xdr:cNvPr id="348" name="Straight Arrow Connector 347">
          <a:extLst>
            <a:ext uri="{FF2B5EF4-FFF2-40B4-BE49-F238E27FC236}">
              <a16:creationId xmlns:a16="http://schemas.microsoft.com/office/drawing/2014/main" id="{00000000-0008-0000-1200-00005C01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299</xdr:row>
      <xdr:rowOff>21167</xdr:rowOff>
    </xdr:from>
    <xdr:to>
      <xdr:col>13</xdr:col>
      <xdr:colOff>592667</xdr:colOff>
      <xdr:row>301</xdr:row>
      <xdr:rowOff>0</xdr:rowOff>
    </xdr:to>
    <xdr:cxnSp macro="">
      <xdr:nvCxnSpPr>
        <xdr:cNvPr id="349" name="Straight Arrow Connector 348">
          <a:extLst>
            <a:ext uri="{FF2B5EF4-FFF2-40B4-BE49-F238E27FC236}">
              <a16:creationId xmlns:a16="http://schemas.microsoft.com/office/drawing/2014/main" id="{00000000-0008-0000-1200-00005D01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304</xdr:row>
      <xdr:rowOff>21166</xdr:rowOff>
    </xdr:from>
    <xdr:to>
      <xdr:col>13</xdr:col>
      <xdr:colOff>592667</xdr:colOff>
      <xdr:row>305</xdr:row>
      <xdr:rowOff>169334</xdr:rowOff>
    </xdr:to>
    <xdr:cxnSp macro="">
      <xdr:nvCxnSpPr>
        <xdr:cNvPr id="350" name="Straight Arrow Connector 349">
          <a:extLst>
            <a:ext uri="{FF2B5EF4-FFF2-40B4-BE49-F238E27FC236}">
              <a16:creationId xmlns:a16="http://schemas.microsoft.com/office/drawing/2014/main" id="{00000000-0008-0000-1200-00005E01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319</xdr:row>
      <xdr:rowOff>21167</xdr:rowOff>
    </xdr:from>
    <xdr:to>
      <xdr:col>13</xdr:col>
      <xdr:colOff>592667</xdr:colOff>
      <xdr:row>321</xdr:row>
      <xdr:rowOff>63500</xdr:rowOff>
    </xdr:to>
    <xdr:cxnSp macro="">
      <xdr:nvCxnSpPr>
        <xdr:cNvPr id="351" name="Straight Arrow Connector 350">
          <a:extLst>
            <a:ext uri="{FF2B5EF4-FFF2-40B4-BE49-F238E27FC236}">
              <a16:creationId xmlns:a16="http://schemas.microsoft.com/office/drawing/2014/main" id="{00000000-0008-0000-1200-00005F01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324</xdr:row>
      <xdr:rowOff>0</xdr:rowOff>
    </xdr:from>
    <xdr:to>
      <xdr:col>14</xdr:col>
      <xdr:colOff>10584</xdr:colOff>
      <xdr:row>332</xdr:row>
      <xdr:rowOff>148167</xdr:rowOff>
    </xdr:to>
    <xdr:cxnSp macro="">
      <xdr:nvCxnSpPr>
        <xdr:cNvPr id="352" name="Straight Arrow Connector 351">
          <a:extLst>
            <a:ext uri="{FF2B5EF4-FFF2-40B4-BE49-F238E27FC236}">
              <a16:creationId xmlns:a16="http://schemas.microsoft.com/office/drawing/2014/main" id="{00000000-0008-0000-1200-00006001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295</xdr:row>
      <xdr:rowOff>95250</xdr:rowOff>
    </xdr:from>
    <xdr:to>
      <xdr:col>15</xdr:col>
      <xdr:colOff>582083</xdr:colOff>
      <xdr:row>297</xdr:row>
      <xdr:rowOff>137583</xdr:rowOff>
    </xdr:to>
    <xdr:cxnSp macro="">
      <xdr:nvCxnSpPr>
        <xdr:cNvPr id="353" name="Straight Arrow Connector 352">
          <a:extLst>
            <a:ext uri="{FF2B5EF4-FFF2-40B4-BE49-F238E27FC236}">
              <a16:creationId xmlns:a16="http://schemas.microsoft.com/office/drawing/2014/main" id="{00000000-0008-0000-1200-00006101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304</xdr:row>
      <xdr:rowOff>52916</xdr:rowOff>
    </xdr:from>
    <xdr:to>
      <xdr:col>16</xdr:col>
      <xdr:colOff>0</xdr:colOff>
      <xdr:row>306</xdr:row>
      <xdr:rowOff>0</xdr:rowOff>
    </xdr:to>
    <xdr:cxnSp macro="">
      <xdr:nvCxnSpPr>
        <xdr:cNvPr id="354" name="Straight Arrow Connector 353">
          <a:extLst>
            <a:ext uri="{FF2B5EF4-FFF2-40B4-BE49-F238E27FC236}">
              <a16:creationId xmlns:a16="http://schemas.microsoft.com/office/drawing/2014/main" id="{00000000-0008-0000-1200-00006201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306</xdr:row>
      <xdr:rowOff>21167</xdr:rowOff>
    </xdr:from>
    <xdr:to>
      <xdr:col>15</xdr:col>
      <xdr:colOff>592666</xdr:colOff>
      <xdr:row>307</xdr:row>
      <xdr:rowOff>84667</xdr:rowOff>
    </xdr:to>
    <xdr:cxnSp macro="">
      <xdr:nvCxnSpPr>
        <xdr:cNvPr id="355" name="Straight Arrow Connector 354">
          <a:extLst>
            <a:ext uri="{FF2B5EF4-FFF2-40B4-BE49-F238E27FC236}">
              <a16:creationId xmlns:a16="http://schemas.microsoft.com/office/drawing/2014/main" id="{00000000-0008-0000-1200-000063010000}"/>
            </a:ext>
          </a:extLst>
        </xdr:cNvPr>
        <xdr:cNvCxnSpPr/>
      </xdr:nvCxnSpPr>
      <xdr:spPr>
        <a:xfrm>
          <a:off x="10530417"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306</xdr:row>
      <xdr:rowOff>0</xdr:rowOff>
    </xdr:from>
    <xdr:to>
      <xdr:col>16</xdr:col>
      <xdr:colOff>0</xdr:colOff>
      <xdr:row>310</xdr:row>
      <xdr:rowOff>42334</xdr:rowOff>
    </xdr:to>
    <xdr:cxnSp macro="">
      <xdr:nvCxnSpPr>
        <xdr:cNvPr id="356" name="Straight Arrow Connector 355">
          <a:extLst>
            <a:ext uri="{FF2B5EF4-FFF2-40B4-BE49-F238E27FC236}">
              <a16:creationId xmlns:a16="http://schemas.microsoft.com/office/drawing/2014/main" id="{00000000-0008-0000-1200-00006401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317</xdr:row>
      <xdr:rowOff>0</xdr:rowOff>
    </xdr:from>
    <xdr:to>
      <xdr:col>15</xdr:col>
      <xdr:colOff>603250</xdr:colOff>
      <xdr:row>319</xdr:row>
      <xdr:rowOff>1</xdr:rowOff>
    </xdr:to>
    <xdr:cxnSp macro="">
      <xdr:nvCxnSpPr>
        <xdr:cNvPr id="357" name="Straight Arrow Connector 356">
          <a:extLst>
            <a:ext uri="{FF2B5EF4-FFF2-40B4-BE49-F238E27FC236}">
              <a16:creationId xmlns:a16="http://schemas.microsoft.com/office/drawing/2014/main" id="{00000000-0008-0000-1200-00006501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319</xdr:row>
      <xdr:rowOff>10584</xdr:rowOff>
    </xdr:from>
    <xdr:to>
      <xdr:col>15</xdr:col>
      <xdr:colOff>592666</xdr:colOff>
      <xdr:row>320</xdr:row>
      <xdr:rowOff>95250</xdr:rowOff>
    </xdr:to>
    <xdr:cxnSp macro="">
      <xdr:nvCxnSpPr>
        <xdr:cNvPr id="358" name="Straight Arrow Connector 357">
          <a:extLst>
            <a:ext uri="{FF2B5EF4-FFF2-40B4-BE49-F238E27FC236}">
              <a16:creationId xmlns:a16="http://schemas.microsoft.com/office/drawing/2014/main" id="{00000000-0008-0000-1200-00006601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319</xdr:row>
      <xdr:rowOff>10584</xdr:rowOff>
    </xdr:from>
    <xdr:to>
      <xdr:col>15</xdr:col>
      <xdr:colOff>560916</xdr:colOff>
      <xdr:row>323</xdr:row>
      <xdr:rowOff>52917</xdr:rowOff>
    </xdr:to>
    <xdr:cxnSp macro="">
      <xdr:nvCxnSpPr>
        <xdr:cNvPr id="359" name="Straight Arrow Connector 358">
          <a:extLst>
            <a:ext uri="{FF2B5EF4-FFF2-40B4-BE49-F238E27FC236}">
              <a16:creationId xmlns:a16="http://schemas.microsoft.com/office/drawing/2014/main" id="{00000000-0008-0000-1200-00006701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319</xdr:row>
      <xdr:rowOff>31750</xdr:rowOff>
    </xdr:from>
    <xdr:to>
      <xdr:col>16</xdr:col>
      <xdr:colOff>21167</xdr:colOff>
      <xdr:row>326</xdr:row>
      <xdr:rowOff>95250</xdr:rowOff>
    </xdr:to>
    <xdr:cxnSp macro="">
      <xdr:nvCxnSpPr>
        <xdr:cNvPr id="360" name="Straight Arrow Connector 359">
          <a:extLst>
            <a:ext uri="{FF2B5EF4-FFF2-40B4-BE49-F238E27FC236}">
              <a16:creationId xmlns:a16="http://schemas.microsoft.com/office/drawing/2014/main" id="{00000000-0008-0000-1200-00006801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333</xdr:row>
      <xdr:rowOff>0</xdr:rowOff>
    </xdr:from>
    <xdr:to>
      <xdr:col>16</xdr:col>
      <xdr:colOff>0</xdr:colOff>
      <xdr:row>333</xdr:row>
      <xdr:rowOff>42334</xdr:rowOff>
    </xdr:to>
    <xdr:cxnSp macro="">
      <xdr:nvCxnSpPr>
        <xdr:cNvPr id="361" name="Straight Arrow Connector 360">
          <a:extLst>
            <a:ext uri="{FF2B5EF4-FFF2-40B4-BE49-F238E27FC236}">
              <a16:creationId xmlns:a16="http://schemas.microsoft.com/office/drawing/2014/main" id="{00000000-0008-0000-1200-00006901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333</xdr:row>
      <xdr:rowOff>21166</xdr:rowOff>
    </xdr:from>
    <xdr:to>
      <xdr:col>15</xdr:col>
      <xdr:colOff>560916</xdr:colOff>
      <xdr:row>336</xdr:row>
      <xdr:rowOff>84667</xdr:rowOff>
    </xdr:to>
    <xdr:cxnSp macro="">
      <xdr:nvCxnSpPr>
        <xdr:cNvPr id="362" name="Straight Arrow Connector 361">
          <a:extLst>
            <a:ext uri="{FF2B5EF4-FFF2-40B4-BE49-F238E27FC236}">
              <a16:creationId xmlns:a16="http://schemas.microsoft.com/office/drawing/2014/main" id="{00000000-0008-0000-1200-00006A01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333</xdr:row>
      <xdr:rowOff>52916</xdr:rowOff>
    </xdr:from>
    <xdr:to>
      <xdr:col>15</xdr:col>
      <xdr:colOff>592666</xdr:colOff>
      <xdr:row>339</xdr:row>
      <xdr:rowOff>63501</xdr:rowOff>
    </xdr:to>
    <xdr:cxnSp macro="">
      <xdr:nvCxnSpPr>
        <xdr:cNvPr id="363" name="Straight Arrow Connector 362">
          <a:extLst>
            <a:ext uri="{FF2B5EF4-FFF2-40B4-BE49-F238E27FC236}">
              <a16:creationId xmlns:a16="http://schemas.microsoft.com/office/drawing/2014/main" id="{00000000-0008-0000-1200-00006B01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330</xdr:row>
      <xdr:rowOff>52917</xdr:rowOff>
    </xdr:from>
    <xdr:to>
      <xdr:col>15</xdr:col>
      <xdr:colOff>603250</xdr:colOff>
      <xdr:row>332</xdr:row>
      <xdr:rowOff>148167</xdr:rowOff>
    </xdr:to>
    <xdr:cxnSp macro="">
      <xdr:nvCxnSpPr>
        <xdr:cNvPr id="364" name="Straight Arrow Connector 363">
          <a:extLst>
            <a:ext uri="{FF2B5EF4-FFF2-40B4-BE49-F238E27FC236}">
              <a16:creationId xmlns:a16="http://schemas.microsoft.com/office/drawing/2014/main" id="{00000000-0008-0000-1200-00006C01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374</xdr:row>
      <xdr:rowOff>95250</xdr:rowOff>
    </xdr:from>
    <xdr:to>
      <xdr:col>8</xdr:col>
      <xdr:colOff>21167</xdr:colOff>
      <xdr:row>406</xdr:row>
      <xdr:rowOff>148166</xdr:rowOff>
    </xdr:to>
    <xdr:cxnSp macro="">
      <xdr:nvCxnSpPr>
        <xdr:cNvPr id="365" name="Straight Arrow Connector 364">
          <a:extLst>
            <a:ext uri="{FF2B5EF4-FFF2-40B4-BE49-F238E27FC236}">
              <a16:creationId xmlns:a16="http://schemas.microsoft.com/office/drawing/2014/main" id="{00000000-0008-0000-1200-00006D01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345</xdr:row>
      <xdr:rowOff>137583</xdr:rowOff>
    </xdr:from>
    <xdr:to>
      <xdr:col>9</xdr:col>
      <xdr:colOff>603250</xdr:colOff>
      <xdr:row>351</xdr:row>
      <xdr:rowOff>21166</xdr:rowOff>
    </xdr:to>
    <xdr:cxnSp macro="">
      <xdr:nvCxnSpPr>
        <xdr:cNvPr id="366" name="Straight Arrow Connector 365">
          <a:extLst>
            <a:ext uri="{FF2B5EF4-FFF2-40B4-BE49-F238E27FC236}">
              <a16:creationId xmlns:a16="http://schemas.microsoft.com/office/drawing/2014/main" id="{00000000-0008-0000-1200-00006E010000}"/>
            </a:ext>
          </a:extLst>
        </xdr:cNvPr>
        <xdr:cNvCxnSpPr/>
      </xdr:nvCxnSpPr>
      <xdr:spPr>
        <a:xfrm flipV="1">
          <a:off x="6381750"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354</xdr:row>
      <xdr:rowOff>0</xdr:rowOff>
    </xdr:from>
    <xdr:to>
      <xdr:col>9</xdr:col>
      <xdr:colOff>582083</xdr:colOff>
      <xdr:row>362</xdr:row>
      <xdr:rowOff>10583</xdr:rowOff>
    </xdr:to>
    <xdr:cxnSp macro="">
      <xdr:nvCxnSpPr>
        <xdr:cNvPr id="367" name="Straight Arrow Connector 366">
          <a:extLst>
            <a:ext uri="{FF2B5EF4-FFF2-40B4-BE49-F238E27FC236}">
              <a16:creationId xmlns:a16="http://schemas.microsoft.com/office/drawing/2014/main" id="{00000000-0008-0000-1200-00006F010000}"/>
            </a:ext>
          </a:extLst>
        </xdr:cNvPr>
        <xdr:cNvCxnSpPr/>
      </xdr:nvCxnSpPr>
      <xdr:spPr>
        <a:xfrm>
          <a:off x="6413500"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359</xdr:row>
      <xdr:rowOff>169333</xdr:rowOff>
    </xdr:from>
    <xdr:to>
      <xdr:col>11</xdr:col>
      <xdr:colOff>603250</xdr:colOff>
      <xdr:row>362</xdr:row>
      <xdr:rowOff>21167</xdr:rowOff>
    </xdr:to>
    <xdr:cxnSp macro="">
      <xdr:nvCxnSpPr>
        <xdr:cNvPr id="368" name="Straight Arrow Connector 367">
          <a:extLst>
            <a:ext uri="{FF2B5EF4-FFF2-40B4-BE49-F238E27FC236}">
              <a16:creationId xmlns:a16="http://schemas.microsoft.com/office/drawing/2014/main" id="{00000000-0008-0000-1200-000070010000}"/>
            </a:ext>
          </a:extLst>
        </xdr:cNvPr>
        <xdr:cNvCxnSpPr/>
      </xdr:nvCxnSpPr>
      <xdr:spPr>
        <a:xfrm flipV="1">
          <a:off x="7609417"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365</xdr:row>
      <xdr:rowOff>42333</xdr:rowOff>
    </xdr:from>
    <xdr:to>
      <xdr:col>11</xdr:col>
      <xdr:colOff>603250</xdr:colOff>
      <xdr:row>377</xdr:row>
      <xdr:rowOff>10583</xdr:rowOff>
    </xdr:to>
    <xdr:cxnSp macro="">
      <xdr:nvCxnSpPr>
        <xdr:cNvPr id="369" name="Straight Arrow Connector 368">
          <a:extLst>
            <a:ext uri="{FF2B5EF4-FFF2-40B4-BE49-F238E27FC236}">
              <a16:creationId xmlns:a16="http://schemas.microsoft.com/office/drawing/2014/main" id="{00000000-0008-0000-1200-000071010000}"/>
            </a:ext>
          </a:extLst>
        </xdr:cNvPr>
        <xdr:cNvCxnSpPr/>
      </xdr:nvCxnSpPr>
      <xdr:spPr>
        <a:xfrm>
          <a:off x="7598834"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355</xdr:row>
      <xdr:rowOff>21167</xdr:rowOff>
    </xdr:from>
    <xdr:to>
      <xdr:col>13</xdr:col>
      <xdr:colOff>592667</xdr:colOff>
      <xdr:row>357</xdr:row>
      <xdr:rowOff>0</xdr:rowOff>
    </xdr:to>
    <xdr:cxnSp macro="">
      <xdr:nvCxnSpPr>
        <xdr:cNvPr id="370" name="Straight Arrow Connector 369">
          <a:extLst>
            <a:ext uri="{FF2B5EF4-FFF2-40B4-BE49-F238E27FC236}">
              <a16:creationId xmlns:a16="http://schemas.microsoft.com/office/drawing/2014/main" id="{00000000-0008-0000-1200-000072010000}"/>
            </a:ext>
          </a:extLst>
        </xdr:cNvPr>
        <xdr:cNvCxnSpPr/>
      </xdr:nvCxnSpPr>
      <xdr:spPr>
        <a:xfrm flipV="1">
          <a:off x="8794750" y="24976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375</xdr:row>
      <xdr:rowOff>21167</xdr:rowOff>
    </xdr:from>
    <xdr:to>
      <xdr:col>13</xdr:col>
      <xdr:colOff>592667</xdr:colOff>
      <xdr:row>377</xdr:row>
      <xdr:rowOff>63500</xdr:rowOff>
    </xdr:to>
    <xdr:cxnSp macro="">
      <xdr:nvCxnSpPr>
        <xdr:cNvPr id="372" name="Straight Arrow Connector 371">
          <a:extLst>
            <a:ext uri="{FF2B5EF4-FFF2-40B4-BE49-F238E27FC236}">
              <a16:creationId xmlns:a16="http://schemas.microsoft.com/office/drawing/2014/main" id="{00000000-0008-0000-1200-000074010000}"/>
            </a:ext>
          </a:extLst>
        </xdr:cNvPr>
        <xdr:cNvCxnSpPr/>
      </xdr:nvCxnSpPr>
      <xdr:spPr>
        <a:xfrm flipV="1">
          <a:off x="879475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380</xdr:row>
      <xdr:rowOff>0</xdr:rowOff>
    </xdr:from>
    <xdr:to>
      <xdr:col>14</xdr:col>
      <xdr:colOff>10584</xdr:colOff>
      <xdr:row>388</xdr:row>
      <xdr:rowOff>148167</xdr:rowOff>
    </xdr:to>
    <xdr:cxnSp macro="">
      <xdr:nvCxnSpPr>
        <xdr:cNvPr id="373" name="Straight Arrow Connector 372">
          <a:extLst>
            <a:ext uri="{FF2B5EF4-FFF2-40B4-BE49-F238E27FC236}">
              <a16:creationId xmlns:a16="http://schemas.microsoft.com/office/drawing/2014/main" id="{00000000-0008-0000-1200-000075010000}"/>
            </a:ext>
          </a:extLst>
        </xdr:cNvPr>
        <xdr:cNvCxnSpPr/>
      </xdr:nvCxnSpPr>
      <xdr:spPr>
        <a:xfrm>
          <a:off x="8805333" y="29908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347</xdr:row>
      <xdr:rowOff>0</xdr:rowOff>
    </xdr:from>
    <xdr:to>
      <xdr:col>15</xdr:col>
      <xdr:colOff>603250</xdr:colOff>
      <xdr:row>352</xdr:row>
      <xdr:rowOff>31750</xdr:rowOff>
    </xdr:to>
    <xdr:cxnSp macro="">
      <xdr:nvCxnSpPr>
        <xdr:cNvPr id="374" name="Straight Arrow Connector 373">
          <a:extLst>
            <a:ext uri="{FF2B5EF4-FFF2-40B4-BE49-F238E27FC236}">
              <a16:creationId xmlns:a16="http://schemas.microsoft.com/office/drawing/2014/main" id="{00000000-0008-0000-1200-000076010000}"/>
            </a:ext>
          </a:extLst>
        </xdr:cNvPr>
        <xdr:cNvCxnSpPr/>
      </xdr:nvCxnSpPr>
      <xdr:spPr>
        <a:xfrm flipV="1">
          <a:off x="10541000"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350</xdr:row>
      <xdr:rowOff>52917</xdr:rowOff>
    </xdr:from>
    <xdr:to>
      <xdr:col>15</xdr:col>
      <xdr:colOff>603250</xdr:colOff>
      <xdr:row>352</xdr:row>
      <xdr:rowOff>95250</xdr:rowOff>
    </xdr:to>
    <xdr:cxnSp macro="">
      <xdr:nvCxnSpPr>
        <xdr:cNvPr id="375" name="Straight Arrow Connector 374">
          <a:extLst>
            <a:ext uri="{FF2B5EF4-FFF2-40B4-BE49-F238E27FC236}">
              <a16:creationId xmlns:a16="http://schemas.microsoft.com/office/drawing/2014/main" id="{00000000-0008-0000-1200-000077010000}"/>
            </a:ext>
          </a:extLst>
        </xdr:cNvPr>
        <xdr:cNvCxnSpPr/>
      </xdr:nvCxnSpPr>
      <xdr:spPr>
        <a:xfrm flipV="1">
          <a:off x="10583333"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352</xdr:row>
      <xdr:rowOff>158750</xdr:rowOff>
    </xdr:from>
    <xdr:to>
      <xdr:col>15</xdr:col>
      <xdr:colOff>582083</xdr:colOff>
      <xdr:row>353</xdr:row>
      <xdr:rowOff>137583</xdr:rowOff>
    </xdr:to>
    <xdr:cxnSp macro="">
      <xdr:nvCxnSpPr>
        <xdr:cNvPr id="376" name="Straight Arrow Connector 375">
          <a:extLst>
            <a:ext uri="{FF2B5EF4-FFF2-40B4-BE49-F238E27FC236}">
              <a16:creationId xmlns:a16="http://schemas.microsoft.com/office/drawing/2014/main" id="{00000000-0008-0000-1200-000078010000}"/>
            </a:ext>
          </a:extLst>
        </xdr:cNvPr>
        <xdr:cNvCxnSpPr/>
      </xdr:nvCxnSpPr>
      <xdr:spPr>
        <a:xfrm>
          <a:off x="10604500"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352</xdr:row>
      <xdr:rowOff>105834</xdr:rowOff>
    </xdr:from>
    <xdr:to>
      <xdr:col>16</xdr:col>
      <xdr:colOff>0</xdr:colOff>
      <xdr:row>356</xdr:row>
      <xdr:rowOff>84667</xdr:rowOff>
    </xdr:to>
    <xdr:cxnSp macro="">
      <xdr:nvCxnSpPr>
        <xdr:cNvPr id="377" name="Straight Arrow Connector 376">
          <a:extLst>
            <a:ext uri="{FF2B5EF4-FFF2-40B4-BE49-F238E27FC236}">
              <a16:creationId xmlns:a16="http://schemas.microsoft.com/office/drawing/2014/main" id="{00000000-0008-0000-1200-000079010000}"/>
            </a:ext>
          </a:extLst>
        </xdr:cNvPr>
        <xdr:cNvCxnSpPr/>
      </xdr:nvCxnSpPr>
      <xdr:spPr>
        <a:xfrm>
          <a:off x="10519834" y="24489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360</xdr:row>
      <xdr:rowOff>52916</xdr:rowOff>
    </xdr:from>
    <xdr:to>
      <xdr:col>16</xdr:col>
      <xdr:colOff>0</xdr:colOff>
      <xdr:row>362</xdr:row>
      <xdr:rowOff>0</xdr:rowOff>
    </xdr:to>
    <xdr:cxnSp macro="">
      <xdr:nvCxnSpPr>
        <xdr:cNvPr id="378" name="Straight Arrow Connector 377">
          <a:extLst>
            <a:ext uri="{FF2B5EF4-FFF2-40B4-BE49-F238E27FC236}">
              <a16:creationId xmlns:a16="http://schemas.microsoft.com/office/drawing/2014/main" id="{00000000-0008-0000-1200-00007A010000}"/>
            </a:ext>
          </a:extLst>
        </xdr:cNvPr>
        <xdr:cNvCxnSpPr/>
      </xdr:nvCxnSpPr>
      <xdr:spPr>
        <a:xfrm flipV="1">
          <a:off x="10541000" y="25960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362</xdr:row>
      <xdr:rowOff>21167</xdr:rowOff>
    </xdr:from>
    <xdr:to>
      <xdr:col>15</xdr:col>
      <xdr:colOff>582083</xdr:colOff>
      <xdr:row>363</xdr:row>
      <xdr:rowOff>42333</xdr:rowOff>
    </xdr:to>
    <xdr:cxnSp macro="">
      <xdr:nvCxnSpPr>
        <xdr:cNvPr id="379" name="Straight Arrow Connector 378">
          <a:extLst>
            <a:ext uri="{FF2B5EF4-FFF2-40B4-BE49-F238E27FC236}">
              <a16:creationId xmlns:a16="http://schemas.microsoft.com/office/drawing/2014/main" id="{00000000-0008-0000-1200-00007B010000}"/>
            </a:ext>
          </a:extLst>
        </xdr:cNvPr>
        <xdr:cNvCxnSpPr/>
      </xdr:nvCxnSpPr>
      <xdr:spPr>
        <a:xfrm>
          <a:off x="10551583"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362</xdr:row>
      <xdr:rowOff>21167</xdr:rowOff>
    </xdr:from>
    <xdr:to>
      <xdr:col>16</xdr:col>
      <xdr:colOff>42333</xdr:colOff>
      <xdr:row>367</xdr:row>
      <xdr:rowOff>21168</xdr:rowOff>
    </xdr:to>
    <xdr:cxnSp macro="">
      <xdr:nvCxnSpPr>
        <xdr:cNvPr id="380" name="Straight Arrow Connector 379">
          <a:extLst>
            <a:ext uri="{FF2B5EF4-FFF2-40B4-BE49-F238E27FC236}">
              <a16:creationId xmlns:a16="http://schemas.microsoft.com/office/drawing/2014/main" id="{00000000-0008-0000-1200-00007C010000}"/>
            </a:ext>
          </a:extLst>
        </xdr:cNvPr>
        <xdr:cNvCxnSpPr/>
      </xdr:nvCxnSpPr>
      <xdr:spPr>
        <a:xfrm>
          <a:off x="10530417" y="26310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362</xdr:row>
      <xdr:rowOff>31750</xdr:rowOff>
    </xdr:from>
    <xdr:to>
      <xdr:col>16</xdr:col>
      <xdr:colOff>42334</xdr:colOff>
      <xdr:row>369</xdr:row>
      <xdr:rowOff>63501</xdr:rowOff>
    </xdr:to>
    <xdr:cxnSp macro="">
      <xdr:nvCxnSpPr>
        <xdr:cNvPr id="381" name="Straight Arrow Connector 380">
          <a:extLst>
            <a:ext uri="{FF2B5EF4-FFF2-40B4-BE49-F238E27FC236}">
              <a16:creationId xmlns:a16="http://schemas.microsoft.com/office/drawing/2014/main" id="{00000000-0008-0000-1200-00007D010000}"/>
            </a:ext>
          </a:extLst>
        </xdr:cNvPr>
        <xdr:cNvCxnSpPr/>
      </xdr:nvCxnSpPr>
      <xdr:spPr>
        <a:xfrm>
          <a:off x="10541000" y="26320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399</xdr:row>
      <xdr:rowOff>42333</xdr:rowOff>
    </xdr:from>
    <xdr:to>
      <xdr:col>9</xdr:col>
      <xdr:colOff>592666</xdr:colOff>
      <xdr:row>407</xdr:row>
      <xdr:rowOff>42333</xdr:rowOff>
    </xdr:to>
    <xdr:cxnSp macro="">
      <xdr:nvCxnSpPr>
        <xdr:cNvPr id="382" name="Straight Arrow Connector 381">
          <a:extLst>
            <a:ext uri="{FF2B5EF4-FFF2-40B4-BE49-F238E27FC236}">
              <a16:creationId xmlns:a16="http://schemas.microsoft.com/office/drawing/2014/main" id="{00000000-0008-0000-1200-00007E010000}"/>
            </a:ext>
          </a:extLst>
        </xdr:cNvPr>
        <xdr:cNvCxnSpPr/>
      </xdr:nvCxnSpPr>
      <xdr:spPr>
        <a:xfrm flipV="1">
          <a:off x="6392333"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409</xdr:row>
      <xdr:rowOff>169334</xdr:rowOff>
    </xdr:from>
    <xdr:to>
      <xdr:col>9</xdr:col>
      <xdr:colOff>603250</xdr:colOff>
      <xdr:row>418</xdr:row>
      <xdr:rowOff>31750</xdr:rowOff>
    </xdr:to>
    <xdr:cxnSp macro="">
      <xdr:nvCxnSpPr>
        <xdr:cNvPr id="383" name="Straight Arrow Connector 382">
          <a:extLst>
            <a:ext uri="{FF2B5EF4-FFF2-40B4-BE49-F238E27FC236}">
              <a16:creationId xmlns:a16="http://schemas.microsoft.com/office/drawing/2014/main" id="{00000000-0008-0000-1200-00007F010000}"/>
            </a:ext>
          </a:extLst>
        </xdr:cNvPr>
        <xdr:cNvCxnSpPr/>
      </xdr:nvCxnSpPr>
      <xdr:spPr>
        <a:xfrm>
          <a:off x="6413500"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415</xdr:row>
      <xdr:rowOff>158750</xdr:rowOff>
    </xdr:from>
    <xdr:to>
      <xdr:col>11</xdr:col>
      <xdr:colOff>571500</xdr:colOff>
      <xdr:row>418</xdr:row>
      <xdr:rowOff>0</xdr:rowOff>
    </xdr:to>
    <xdr:cxnSp macro="">
      <xdr:nvCxnSpPr>
        <xdr:cNvPr id="384" name="Straight Arrow Connector 383">
          <a:extLst>
            <a:ext uri="{FF2B5EF4-FFF2-40B4-BE49-F238E27FC236}">
              <a16:creationId xmlns:a16="http://schemas.microsoft.com/office/drawing/2014/main" id="{00000000-0008-0000-1200-000080010000}"/>
            </a:ext>
          </a:extLst>
        </xdr:cNvPr>
        <xdr:cNvCxnSpPr/>
      </xdr:nvCxnSpPr>
      <xdr:spPr>
        <a:xfrm flipV="1">
          <a:off x="7556500" y="36734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375</xdr:row>
      <xdr:rowOff>10584</xdr:rowOff>
    </xdr:from>
    <xdr:to>
      <xdr:col>15</xdr:col>
      <xdr:colOff>592666</xdr:colOff>
      <xdr:row>376</xdr:row>
      <xdr:rowOff>95250</xdr:rowOff>
    </xdr:to>
    <xdr:cxnSp macro="">
      <xdr:nvCxnSpPr>
        <xdr:cNvPr id="386" name="Straight Arrow Connector 385">
          <a:extLst>
            <a:ext uri="{FF2B5EF4-FFF2-40B4-BE49-F238E27FC236}">
              <a16:creationId xmlns:a16="http://schemas.microsoft.com/office/drawing/2014/main" id="{00000000-0008-0000-1200-000082010000}"/>
            </a:ext>
          </a:extLst>
        </xdr:cNvPr>
        <xdr:cNvCxnSpPr/>
      </xdr:nvCxnSpPr>
      <xdr:spPr>
        <a:xfrm>
          <a:off x="10572750"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375</xdr:row>
      <xdr:rowOff>10584</xdr:rowOff>
    </xdr:from>
    <xdr:to>
      <xdr:col>15</xdr:col>
      <xdr:colOff>560916</xdr:colOff>
      <xdr:row>379</xdr:row>
      <xdr:rowOff>52917</xdr:rowOff>
    </xdr:to>
    <xdr:cxnSp macro="">
      <xdr:nvCxnSpPr>
        <xdr:cNvPr id="387" name="Straight Arrow Connector 386">
          <a:extLst>
            <a:ext uri="{FF2B5EF4-FFF2-40B4-BE49-F238E27FC236}">
              <a16:creationId xmlns:a16="http://schemas.microsoft.com/office/drawing/2014/main" id="{00000000-0008-0000-1200-000083010000}"/>
            </a:ext>
          </a:extLst>
        </xdr:cNvPr>
        <xdr:cNvCxnSpPr/>
      </xdr:nvCxnSpPr>
      <xdr:spPr>
        <a:xfrm>
          <a:off x="10551583"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375</xdr:row>
      <xdr:rowOff>31750</xdr:rowOff>
    </xdr:from>
    <xdr:to>
      <xdr:col>16</xdr:col>
      <xdr:colOff>21167</xdr:colOff>
      <xdr:row>382</xdr:row>
      <xdr:rowOff>95250</xdr:rowOff>
    </xdr:to>
    <xdr:cxnSp macro="">
      <xdr:nvCxnSpPr>
        <xdr:cNvPr id="388" name="Straight Arrow Connector 387">
          <a:extLst>
            <a:ext uri="{FF2B5EF4-FFF2-40B4-BE49-F238E27FC236}">
              <a16:creationId xmlns:a16="http://schemas.microsoft.com/office/drawing/2014/main" id="{00000000-0008-0000-1200-000084010000}"/>
            </a:ext>
          </a:extLst>
        </xdr:cNvPr>
        <xdr:cNvCxnSpPr/>
      </xdr:nvCxnSpPr>
      <xdr:spPr>
        <a:xfrm>
          <a:off x="10583333" y="28987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389</xdr:row>
      <xdr:rowOff>0</xdr:rowOff>
    </xdr:from>
    <xdr:to>
      <xdr:col>16</xdr:col>
      <xdr:colOff>0</xdr:colOff>
      <xdr:row>389</xdr:row>
      <xdr:rowOff>42334</xdr:rowOff>
    </xdr:to>
    <xdr:cxnSp macro="">
      <xdr:nvCxnSpPr>
        <xdr:cNvPr id="389" name="Straight Arrow Connector 388">
          <a:extLst>
            <a:ext uri="{FF2B5EF4-FFF2-40B4-BE49-F238E27FC236}">
              <a16:creationId xmlns:a16="http://schemas.microsoft.com/office/drawing/2014/main" id="{00000000-0008-0000-1200-000085010000}"/>
            </a:ext>
          </a:extLst>
        </xdr:cNvPr>
        <xdr:cNvCxnSpPr/>
      </xdr:nvCxnSpPr>
      <xdr:spPr>
        <a:xfrm>
          <a:off x="10562166" y="31623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389</xdr:row>
      <xdr:rowOff>21166</xdr:rowOff>
    </xdr:from>
    <xdr:to>
      <xdr:col>15</xdr:col>
      <xdr:colOff>560916</xdr:colOff>
      <xdr:row>392</xdr:row>
      <xdr:rowOff>84667</xdr:rowOff>
    </xdr:to>
    <xdr:cxnSp macro="">
      <xdr:nvCxnSpPr>
        <xdr:cNvPr id="390" name="Straight Arrow Connector 389">
          <a:extLst>
            <a:ext uri="{FF2B5EF4-FFF2-40B4-BE49-F238E27FC236}">
              <a16:creationId xmlns:a16="http://schemas.microsoft.com/office/drawing/2014/main" id="{00000000-0008-0000-1200-000086010000}"/>
            </a:ext>
          </a:extLst>
        </xdr:cNvPr>
        <xdr:cNvCxnSpPr/>
      </xdr:nvCxnSpPr>
      <xdr:spPr>
        <a:xfrm>
          <a:off x="10615083"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389</xdr:row>
      <xdr:rowOff>52916</xdr:rowOff>
    </xdr:from>
    <xdr:to>
      <xdr:col>15</xdr:col>
      <xdr:colOff>592666</xdr:colOff>
      <xdr:row>395</xdr:row>
      <xdr:rowOff>63501</xdr:rowOff>
    </xdr:to>
    <xdr:cxnSp macro="">
      <xdr:nvCxnSpPr>
        <xdr:cNvPr id="391" name="Straight Arrow Connector 390">
          <a:extLst>
            <a:ext uri="{FF2B5EF4-FFF2-40B4-BE49-F238E27FC236}">
              <a16:creationId xmlns:a16="http://schemas.microsoft.com/office/drawing/2014/main" id="{00000000-0008-0000-1200-000087010000}"/>
            </a:ext>
          </a:extLst>
        </xdr:cNvPr>
        <xdr:cNvCxnSpPr/>
      </xdr:nvCxnSpPr>
      <xdr:spPr>
        <a:xfrm>
          <a:off x="10572750"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403</xdr:row>
      <xdr:rowOff>116416</xdr:rowOff>
    </xdr:from>
    <xdr:to>
      <xdr:col>15</xdr:col>
      <xdr:colOff>592666</xdr:colOff>
      <xdr:row>406</xdr:row>
      <xdr:rowOff>158750</xdr:rowOff>
    </xdr:to>
    <xdr:cxnSp macro="">
      <xdr:nvCxnSpPr>
        <xdr:cNvPr id="392" name="Straight Arrow Connector 391">
          <a:extLst>
            <a:ext uri="{FF2B5EF4-FFF2-40B4-BE49-F238E27FC236}">
              <a16:creationId xmlns:a16="http://schemas.microsoft.com/office/drawing/2014/main" id="{00000000-0008-0000-1200-000088010000}"/>
            </a:ext>
          </a:extLst>
        </xdr:cNvPr>
        <xdr:cNvCxnSpPr/>
      </xdr:nvCxnSpPr>
      <xdr:spPr>
        <a:xfrm flipV="1">
          <a:off x="10562166"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405</xdr:row>
      <xdr:rowOff>95250</xdr:rowOff>
    </xdr:from>
    <xdr:to>
      <xdr:col>15</xdr:col>
      <xdr:colOff>582083</xdr:colOff>
      <xdr:row>407</xdr:row>
      <xdr:rowOff>52917</xdr:rowOff>
    </xdr:to>
    <xdr:cxnSp macro="">
      <xdr:nvCxnSpPr>
        <xdr:cNvPr id="393" name="Straight Arrow Connector 392">
          <a:extLst>
            <a:ext uri="{FF2B5EF4-FFF2-40B4-BE49-F238E27FC236}">
              <a16:creationId xmlns:a16="http://schemas.microsoft.com/office/drawing/2014/main" id="{00000000-0008-0000-1200-000089010000}"/>
            </a:ext>
          </a:extLst>
        </xdr:cNvPr>
        <xdr:cNvCxnSpPr/>
      </xdr:nvCxnSpPr>
      <xdr:spPr>
        <a:xfrm flipV="1">
          <a:off x="10604500"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407</xdr:row>
      <xdr:rowOff>116417</xdr:rowOff>
    </xdr:from>
    <xdr:to>
      <xdr:col>15</xdr:col>
      <xdr:colOff>592666</xdr:colOff>
      <xdr:row>411</xdr:row>
      <xdr:rowOff>95250</xdr:rowOff>
    </xdr:to>
    <xdr:cxnSp macro="">
      <xdr:nvCxnSpPr>
        <xdr:cNvPr id="394" name="Straight Arrow Connector 393">
          <a:extLst>
            <a:ext uri="{FF2B5EF4-FFF2-40B4-BE49-F238E27FC236}">
              <a16:creationId xmlns:a16="http://schemas.microsoft.com/office/drawing/2014/main" id="{00000000-0008-0000-1200-00008A010000}"/>
            </a:ext>
          </a:extLst>
        </xdr:cNvPr>
        <xdr:cNvCxnSpPr/>
      </xdr:nvCxnSpPr>
      <xdr:spPr>
        <a:xfrm>
          <a:off x="10593916"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418</xdr:row>
      <xdr:rowOff>116416</xdr:rowOff>
    </xdr:from>
    <xdr:to>
      <xdr:col>16</xdr:col>
      <xdr:colOff>0</xdr:colOff>
      <xdr:row>425</xdr:row>
      <xdr:rowOff>74084</xdr:rowOff>
    </xdr:to>
    <xdr:cxnSp macro="">
      <xdr:nvCxnSpPr>
        <xdr:cNvPr id="395" name="Straight Arrow Connector 394">
          <a:extLst>
            <a:ext uri="{FF2B5EF4-FFF2-40B4-BE49-F238E27FC236}">
              <a16:creationId xmlns:a16="http://schemas.microsoft.com/office/drawing/2014/main" id="{00000000-0008-0000-1200-00008B010000}"/>
            </a:ext>
          </a:extLst>
        </xdr:cNvPr>
        <xdr:cNvCxnSpPr/>
      </xdr:nvCxnSpPr>
      <xdr:spPr>
        <a:xfrm>
          <a:off x="10572750" y="37263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386</xdr:row>
      <xdr:rowOff>52917</xdr:rowOff>
    </xdr:from>
    <xdr:to>
      <xdr:col>15</xdr:col>
      <xdr:colOff>603250</xdr:colOff>
      <xdr:row>388</xdr:row>
      <xdr:rowOff>148167</xdr:rowOff>
    </xdr:to>
    <xdr:cxnSp macro="">
      <xdr:nvCxnSpPr>
        <xdr:cNvPr id="396" name="Straight Arrow Connector 395">
          <a:extLst>
            <a:ext uri="{FF2B5EF4-FFF2-40B4-BE49-F238E27FC236}">
              <a16:creationId xmlns:a16="http://schemas.microsoft.com/office/drawing/2014/main" id="{00000000-0008-0000-1200-00008C010000}"/>
            </a:ext>
          </a:extLst>
        </xdr:cNvPr>
        <xdr:cNvCxnSpPr/>
      </xdr:nvCxnSpPr>
      <xdr:spPr>
        <a:xfrm flipV="1">
          <a:off x="10583333"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421</xdr:row>
      <xdr:rowOff>42333</xdr:rowOff>
    </xdr:from>
    <xdr:to>
      <xdr:col>11</xdr:col>
      <xdr:colOff>603250</xdr:colOff>
      <xdr:row>433</xdr:row>
      <xdr:rowOff>10583</xdr:rowOff>
    </xdr:to>
    <xdr:cxnSp macro="">
      <xdr:nvCxnSpPr>
        <xdr:cNvPr id="397" name="Straight Arrow Connector 396">
          <a:extLst>
            <a:ext uri="{FF2B5EF4-FFF2-40B4-BE49-F238E27FC236}">
              <a16:creationId xmlns:a16="http://schemas.microsoft.com/office/drawing/2014/main" id="{00000000-0008-0000-1200-00008D010000}"/>
            </a:ext>
          </a:extLst>
        </xdr:cNvPr>
        <xdr:cNvCxnSpPr/>
      </xdr:nvCxnSpPr>
      <xdr:spPr>
        <a:xfrm>
          <a:off x="7598834"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411</xdr:row>
      <xdr:rowOff>21167</xdr:rowOff>
    </xdr:from>
    <xdr:to>
      <xdr:col>13</xdr:col>
      <xdr:colOff>592667</xdr:colOff>
      <xdr:row>413</xdr:row>
      <xdr:rowOff>0</xdr:rowOff>
    </xdr:to>
    <xdr:cxnSp macro="">
      <xdr:nvCxnSpPr>
        <xdr:cNvPr id="398" name="Straight Arrow Connector 397">
          <a:extLst>
            <a:ext uri="{FF2B5EF4-FFF2-40B4-BE49-F238E27FC236}">
              <a16:creationId xmlns:a16="http://schemas.microsoft.com/office/drawing/2014/main" id="{00000000-0008-0000-1200-00008E010000}"/>
            </a:ext>
          </a:extLst>
        </xdr:cNvPr>
        <xdr:cNvCxnSpPr/>
      </xdr:nvCxnSpPr>
      <xdr:spPr>
        <a:xfrm flipV="1">
          <a:off x="8794750" y="35835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416</xdr:row>
      <xdr:rowOff>21166</xdr:rowOff>
    </xdr:from>
    <xdr:to>
      <xdr:col>13</xdr:col>
      <xdr:colOff>592667</xdr:colOff>
      <xdr:row>417</xdr:row>
      <xdr:rowOff>169334</xdr:rowOff>
    </xdr:to>
    <xdr:cxnSp macro="">
      <xdr:nvCxnSpPr>
        <xdr:cNvPr id="399" name="Straight Arrow Connector 398">
          <a:extLst>
            <a:ext uri="{FF2B5EF4-FFF2-40B4-BE49-F238E27FC236}">
              <a16:creationId xmlns:a16="http://schemas.microsoft.com/office/drawing/2014/main" id="{00000000-0008-0000-1200-00008F010000}"/>
            </a:ext>
          </a:extLst>
        </xdr:cNvPr>
        <xdr:cNvCxnSpPr/>
      </xdr:nvCxnSpPr>
      <xdr:spPr>
        <a:xfrm>
          <a:off x="8784166" y="36787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431</xdr:row>
      <xdr:rowOff>21167</xdr:rowOff>
    </xdr:from>
    <xdr:to>
      <xdr:col>13</xdr:col>
      <xdr:colOff>592667</xdr:colOff>
      <xdr:row>433</xdr:row>
      <xdr:rowOff>63500</xdr:rowOff>
    </xdr:to>
    <xdr:cxnSp macro="">
      <xdr:nvCxnSpPr>
        <xdr:cNvPr id="400" name="Straight Arrow Connector 399">
          <a:extLst>
            <a:ext uri="{FF2B5EF4-FFF2-40B4-BE49-F238E27FC236}">
              <a16:creationId xmlns:a16="http://schemas.microsoft.com/office/drawing/2014/main" id="{00000000-0008-0000-1200-000090010000}"/>
            </a:ext>
          </a:extLst>
        </xdr:cNvPr>
        <xdr:cNvCxnSpPr/>
      </xdr:nvCxnSpPr>
      <xdr:spPr>
        <a:xfrm flipV="1">
          <a:off x="879475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436</xdr:row>
      <xdr:rowOff>0</xdr:rowOff>
    </xdr:from>
    <xdr:to>
      <xdr:col>14</xdr:col>
      <xdr:colOff>10584</xdr:colOff>
      <xdr:row>444</xdr:row>
      <xdr:rowOff>148167</xdr:rowOff>
    </xdr:to>
    <xdr:cxnSp macro="">
      <xdr:nvCxnSpPr>
        <xdr:cNvPr id="401" name="Straight Arrow Connector 400">
          <a:extLst>
            <a:ext uri="{FF2B5EF4-FFF2-40B4-BE49-F238E27FC236}">
              <a16:creationId xmlns:a16="http://schemas.microsoft.com/office/drawing/2014/main" id="{00000000-0008-0000-1200-000091010000}"/>
            </a:ext>
          </a:extLst>
        </xdr:cNvPr>
        <xdr:cNvCxnSpPr/>
      </xdr:nvCxnSpPr>
      <xdr:spPr>
        <a:xfrm>
          <a:off x="8805333" y="40767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407</xdr:row>
      <xdr:rowOff>95250</xdr:rowOff>
    </xdr:from>
    <xdr:to>
      <xdr:col>15</xdr:col>
      <xdr:colOff>582083</xdr:colOff>
      <xdr:row>409</xdr:row>
      <xdr:rowOff>137583</xdr:rowOff>
    </xdr:to>
    <xdr:cxnSp macro="">
      <xdr:nvCxnSpPr>
        <xdr:cNvPr id="402" name="Straight Arrow Connector 401">
          <a:extLst>
            <a:ext uri="{FF2B5EF4-FFF2-40B4-BE49-F238E27FC236}">
              <a16:creationId xmlns:a16="http://schemas.microsoft.com/office/drawing/2014/main" id="{00000000-0008-0000-1200-000092010000}"/>
            </a:ext>
          </a:extLst>
        </xdr:cNvPr>
        <xdr:cNvCxnSpPr/>
      </xdr:nvCxnSpPr>
      <xdr:spPr>
        <a:xfrm>
          <a:off x="10593916"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416</xdr:row>
      <xdr:rowOff>52916</xdr:rowOff>
    </xdr:from>
    <xdr:to>
      <xdr:col>16</xdr:col>
      <xdr:colOff>0</xdr:colOff>
      <xdr:row>418</xdr:row>
      <xdr:rowOff>0</xdr:rowOff>
    </xdr:to>
    <xdr:cxnSp macro="">
      <xdr:nvCxnSpPr>
        <xdr:cNvPr id="403" name="Straight Arrow Connector 402">
          <a:extLst>
            <a:ext uri="{FF2B5EF4-FFF2-40B4-BE49-F238E27FC236}">
              <a16:creationId xmlns:a16="http://schemas.microsoft.com/office/drawing/2014/main" id="{00000000-0008-0000-1200-000093010000}"/>
            </a:ext>
          </a:extLst>
        </xdr:cNvPr>
        <xdr:cNvCxnSpPr/>
      </xdr:nvCxnSpPr>
      <xdr:spPr>
        <a:xfrm flipV="1">
          <a:off x="10541000" y="36819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418</xdr:row>
      <xdr:rowOff>21167</xdr:rowOff>
    </xdr:from>
    <xdr:to>
      <xdr:col>15</xdr:col>
      <xdr:colOff>592666</xdr:colOff>
      <xdr:row>419</xdr:row>
      <xdr:rowOff>84667</xdr:rowOff>
    </xdr:to>
    <xdr:cxnSp macro="">
      <xdr:nvCxnSpPr>
        <xdr:cNvPr id="404" name="Straight Arrow Connector 403">
          <a:extLst>
            <a:ext uri="{FF2B5EF4-FFF2-40B4-BE49-F238E27FC236}">
              <a16:creationId xmlns:a16="http://schemas.microsoft.com/office/drawing/2014/main" id="{00000000-0008-0000-1200-000094010000}"/>
            </a:ext>
          </a:extLst>
        </xdr:cNvPr>
        <xdr:cNvCxnSpPr/>
      </xdr:nvCxnSpPr>
      <xdr:spPr>
        <a:xfrm>
          <a:off x="10530417"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418</xdr:row>
      <xdr:rowOff>0</xdr:rowOff>
    </xdr:from>
    <xdr:to>
      <xdr:col>16</xdr:col>
      <xdr:colOff>0</xdr:colOff>
      <xdr:row>422</xdr:row>
      <xdr:rowOff>42334</xdr:rowOff>
    </xdr:to>
    <xdr:cxnSp macro="">
      <xdr:nvCxnSpPr>
        <xdr:cNvPr id="405" name="Straight Arrow Connector 404">
          <a:extLst>
            <a:ext uri="{FF2B5EF4-FFF2-40B4-BE49-F238E27FC236}">
              <a16:creationId xmlns:a16="http://schemas.microsoft.com/office/drawing/2014/main" id="{00000000-0008-0000-1200-000095010000}"/>
            </a:ext>
          </a:extLst>
        </xdr:cNvPr>
        <xdr:cNvCxnSpPr/>
      </xdr:nvCxnSpPr>
      <xdr:spPr>
        <a:xfrm>
          <a:off x="10530417" y="37147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431</xdr:row>
      <xdr:rowOff>10584</xdr:rowOff>
    </xdr:from>
    <xdr:to>
      <xdr:col>15</xdr:col>
      <xdr:colOff>592666</xdr:colOff>
      <xdr:row>432</xdr:row>
      <xdr:rowOff>95250</xdr:rowOff>
    </xdr:to>
    <xdr:cxnSp macro="">
      <xdr:nvCxnSpPr>
        <xdr:cNvPr id="407" name="Straight Arrow Connector 406">
          <a:extLst>
            <a:ext uri="{FF2B5EF4-FFF2-40B4-BE49-F238E27FC236}">
              <a16:creationId xmlns:a16="http://schemas.microsoft.com/office/drawing/2014/main" id="{00000000-0008-0000-1200-000097010000}"/>
            </a:ext>
          </a:extLst>
        </xdr:cNvPr>
        <xdr:cNvCxnSpPr/>
      </xdr:nvCxnSpPr>
      <xdr:spPr>
        <a:xfrm>
          <a:off x="10572750"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431</xdr:row>
      <xdr:rowOff>10584</xdr:rowOff>
    </xdr:from>
    <xdr:to>
      <xdr:col>15</xdr:col>
      <xdr:colOff>560916</xdr:colOff>
      <xdr:row>435</xdr:row>
      <xdr:rowOff>52917</xdr:rowOff>
    </xdr:to>
    <xdr:cxnSp macro="">
      <xdr:nvCxnSpPr>
        <xdr:cNvPr id="408" name="Straight Arrow Connector 407">
          <a:extLst>
            <a:ext uri="{FF2B5EF4-FFF2-40B4-BE49-F238E27FC236}">
              <a16:creationId xmlns:a16="http://schemas.microsoft.com/office/drawing/2014/main" id="{00000000-0008-0000-1200-000098010000}"/>
            </a:ext>
          </a:extLst>
        </xdr:cNvPr>
        <xdr:cNvCxnSpPr/>
      </xdr:nvCxnSpPr>
      <xdr:spPr>
        <a:xfrm>
          <a:off x="10551583"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431</xdr:row>
      <xdr:rowOff>31750</xdr:rowOff>
    </xdr:from>
    <xdr:to>
      <xdr:col>16</xdr:col>
      <xdr:colOff>21167</xdr:colOff>
      <xdr:row>438</xdr:row>
      <xdr:rowOff>95250</xdr:rowOff>
    </xdr:to>
    <xdr:cxnSp macro="">
      <xdr:nvCxnSpPr>
        <xdr:cNvPr id="409" name="Straight Arrow Connector 408">
          <a:extLst>
            <a:ext uri="{FF2B5EF4-FFF2-40B4-BE49-F238E27FC236}">
              <a16:creationId xmlns:a16="http://schemas.microsoft.com/office/drawing/2014/main" id="{00000000-0008-0000-1200-000099010000}"/>
            </a:ext>
          </a:extLst>
        </xdr:cNvPr>
        <xdr:cNvCxnSpPr/>
      </xdr:nvCxnSpPr>
      <xdr:spPr>
        <a:xfrm>
          <a:off x="10583333" y="39846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445</xdr:row>
      <xdr:rowOff>0</xdr:rowOff>
    </xdr:from>
    <xdr:to>
      <xdr:col>16</xdr:col>
      <xdr:colOff>0</xdr:colOff>
      <xdr:row>445</xdr:row>
      <xdr:rowOff>42334</xdr:rowOff>
    </xdr:to>
    <xdr:cxnSp macro="">
      <xdr:nvCxnSpPr>
        <xdr:cNvPr id="410" name="Straight Arrow Connector 409">
          <a:extLst>
            <a:ext uri="{FF2B5EF4-FFF2-40B4-BE49-F238E27FC236}">
              <a16:creationId xmlns:a16="http://schemas.microsoft.com/office/drawing/2014/main" id="{00000000-0008-0000-1200-00009A010000}"/>
            </a:ext>
          </a:extLst>
        </xdr:cNvPr>
        <xdr:cNvCxnSpPr/>
      </xdr:nvCxnSpPr>
      <xdr:spPr>
        <a:xfrm>
          <a:off x="10562166" y="42481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445</xdr:row>
      <xdr:rowOff>21166</xdr:rowOff>
    </xdr:from>
    <xdr:to>
      <xdr:col>15</xdr:col>
      <xdr:colOff>560916</xdr:colOff>
      <xdr:row>448</xdr:row>
      <xdr:rowOff>84667</xdr:rowOff>
    </xdr:to>
    <xdr:cxnSp macro="">
      <xdr:nvCxnSpPr>
        <xdr:cNvPr id="411" name="Straight Arrow Connector 410">
          <a:extLst>
            <a:ext uri="{FF2B5EF4-FFF2-40B4-BE49-F238E27FC236}">
              <a16:creationId xmlns:a16="http://schemas.microsoft.com/office/drawing/2014/main" id="{00000000-0008-0000-1200-00009B010000}"/>
            </a:ext>
          </a:extLst>
        </xdr:cNvPr>
        <xdr:cNvCxnSpPr/>
      </xdr:nvCxnSpPr>
      <xdr:spPr>
        <a:xfrm>
          <a:off x="10615083"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445</xdr:row>
      <xdr:rowOff>52916</xdr:rowOff>
    </xdr:from>
    <xdr:to>
      <xdr:col>15</xdr:col>
      <xdr:colOff>592666</xdr:colOff>
      <xdr:row>451</xdr:row>
      <xdr:rowOff>63501</xdr:rowOff>
    </xdr:to>
    <xdr:cxnSp macro="">
      <xdr:nvCxnSpPr>
        <xdr:cNvPr id="412" name="Straight Arrow Connector 411">
          <a:extLst>
            <a:ext uri="{FF2B5EF4-FFF2-40B4-BE49-F238E27FC236}">
              <a16:creationId xmlns:a16="http://schemas.microsoft.com/office/drawing/2014/main" id="{00000000-0008-0000-1200-00009C010000}"/>
            </a:ext>
          </a:extLst>
        </xdr:cNvPr>
        <xdr:cNvCxnSpPr/>
      </xdr:nvCxnSpPr>
      <xdr:spPr>
        <a:xfrm>
          <a:off x="10572750"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442</xdr:row>
      <xdr:rowOff>52917</xdr:rowOff>
    </xdr:from>
    <xdr:to>
      <xdr:col>15</xdr:col>
      <xdr:colOff>603250</xdr:colOff>
      <xdr:row>444</xdr:row>
      <xdr:rowOff>148167</xdr:rowOff>
    </xdr:to>
    <xdr:cxnSp macro="">
      <xdr:nvCxnSpPr>
        <xdr:cNvPr id="413" name="Straight Arrow Connector 412">
          <a:extLst>
            <a:ext uri="{FF2B5EF4-FFF2-40B4-BE49-F238E27FC236}">
              <a16:creationId xmlns:a16="http://schemas.microsoft.com/office/drawing/2014/main" id="{00000000-0008-0000-1200-00009D010000}"/>
            </a:ext>
          </a:extLst>
        </xdr:cNvPr>
        <xdr:cNvCxnSpPr/>
      </xdr:nvCxnSpPr>
      <xdr:spPr>
        <a:xfrm flipV="1">
          <a:off x="10583333"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353</xdr:row>
      <xdr:rowOff>127000</xdr:rowOff>
    </xdr:from>
    <xdr:to>
      <xdr:col>8</xdr:col>
      <xdr:colOff>63500</xdr:colOff>
      <xdr:row>372</xdr:row>
      <xdr:rowOff>0</xdr:rowOff>
    </xdr:to>
    <xdr:cxnSp macro="">
      <xdr:nvCxnSpPr>
        <xdr:cNvPr id="414" name="Straight Arrow Connector 413">
          <a:extLst>
            <a:ext uri="{FF2B5EF4-FFF2-40B4-BE49-F238E27FC236}">
              <a16:creationId xmlns:a16="http://schemas.microsoft.com/office/drawing/2014/main" id="{00000000-0008-0000-1200-00009E01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459</xdr:row>
      <xdr:rowOff>10584</xdr:rowOff>
    </xdr:from>
    <xdr:to>
      <xdr:col>1</xdr:col>
      <xdr:colOff>603250</xdr:colOff>
      <xdr:row>552</xdr:row>
      <xdr:rowOff>158750</xdr:rowOff>
    </xdr:to>
    <xdr:cxnSp macro="">
      <xdr:nvCxnSpPr>
        <xdr:cNvPr id="416" name="Straight Arrow Connector 415">
          <a:extLst>
            <a:ext uri="{FF2B5EF4-FFF2-40B4-BE49-F238E27FC236}">
              <a16:creationId xmlns:a16="http://schemas.microsoft.com/office/drawing/2014/main" id="{00000000-0008-0000-1200-0000A0010000}"/>
            </a:ext>
          </a:extLst>
        </xdr:cNvPr>
        <xdr:cNvCxnSpPr/>
      </xdr:nvCxnSpPr>
      <xdr:spPr>
        <a:xfrm flipV="1">
          <a:off x="603250" y="963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555</xdr:row>
      <xdr:rowOff>169333</xdr:rowOff>
    </xdr:from>
    <xdr:to>
      <xdr:col>1</xdr:col>
      <xdr:colOff>603250</xdr:colOff>
      <xdr:row>597</xdr:row>
      <xdr:rowOff>148167</xdr:rowOff>
    </xdr:to>
    <xdr:cxnSp macro="">
      <xdr:nvCxnSpPr>
        <xdr:cNvPr id="417" name="Straight Arrow Connector 416">
          <a:extLst>
            <a:ext uri="{FF2B5EF4-FFF2-40B4-BE49-F238E27FC236}">
              <a16:creationId xmlns:a16="http://schemas.microsoft.com/office/drawing/2014/main" id="{00000000-0008-0000-1200-0000A1010000}"/>
            </a:ext>
          </a:extLst>
        </xdr:cNvPr>
        <xdr:cNvCxnSpPr/>
      </xdr:nvCxnSpPr>
      <xdr:spPr>
        <a:xfrm>
          <a:off x="603250" y="19790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531</xdr:row>
      <xdr:rowOff>158750</xdr:rowOff>
    </xdr:from>
    <xdr:to>
      <xdr:col>3</xdr:col>
      <xdr:colOff>603250</xdr:colOff>
      <xdr:row>598</xdr:row>
      <xdr:rowOff>10583</xdr:rowOff>
    </xdr:to>
    <xdr:cxnSp macro="">
      <xdr:nvCxnSpPr>
        <xdr:cNvPr id="418" name="Straight Arrow Connector 417">
          <a:extLst>
            <a:ext uri="{FF2B5EF4-FFF2-40B4-BE49-F238E27FC236}">
              <a16:creationId xmlns:a16="http://schemas.microsoft.com/office/drawing/2014/main" id="{00000000-0008-0000-1200-0000A2010000}"/>
            </a:ext>
          </a:extLst>
        </xdr:cNvPr>
        <xdr:cNvCxnSpPr/>
      </xdr:nvCxnSpPr>
      <xdr:spPr>
        <a:xfrm flipV="1">
          <a:off x="2296584"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600</xdr:row>
      <xdr:rowOff>10583</xdr:rowOff>
    </xdr:from>
    <xdr:to>
      <xdr:col>4</xdr:col>
      <xdr:colOff>63500</xdr:colOff>
      <xdr:row>751</xdr:row>
      <xdr:rowOff>158750</xdr:rowOff>
    </xdr:to>
    <xdr:cxnSp macro="">
      <xdr:nvCxnSpPr>
        <xdr:cNvPr id="419" name="Straight Arrow Connector 418">
          <a:extLst>
            <a:ext uri="{FF2B5EF4-FFF2-40B4-BE49-F238E27FC236}">
              <a16:creationId xmlns:a16="http://schemas.microsoft.com/office/drawing/2014/main" id="{00000000-0008-0000-1200-0000A3010000}"/>
            </a:ext>
          </a:extLst>
        </xdr:cNvPr>
        <xdr:cNvCxnSpPr/>
      </xdr:nvCxnSpPr>
      <xdr:spPr>
        <a:xfrm>
          <a:off x="2307167" y="28395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494</xdr:row>
      <xdr:rowOff>1</xdr:rowOff>
    </xdr:from>
    <xdr:to>
      <xdr:col>6</xdr:col>
      <xdr:colOff>0</xdr:colOff>
      <xdr:row>528</xdr:row>
      <xdr:rowOff>116417</xdr:rowOff>
    </xdr:to>
    <xdr:cxnSp macro="">
      <xdr:nvCxnSpPr>
        <xdr:cNvPr id="420" name="Straight Arrow Connector 419">
          <a:extLst>
            <a:ext uri="{FF2B5EF4-FFF2-40B4-BE49-F238E27FC236}">
              <a16:creationId xmlns:a16="http://schemas.microsoft.com/office/drawing/2014/main" id="{00000000-0008-0000-1200-0000A4010000}"/>
            </a:ext>
          </a:extLst>
        </xdr:cNvPr>
        <xdr:cNvCxnSpPr/>
      </xdr:nvCxnSpPr>
      <xdr:spPr>
        <a:xfrm flipV="1">
          <a:off x="3714750" y="7810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531</xdr:row>
      <xdr:rowOff>169334</xdr:rowOff>
    </xdr:from>
    <xdr:to>
      <xdr:col>5</xdr:col>
      <xdr:colOff>571500</xdr:colOff>
      <xdr:row>600</xdr:row>
      <xdr:rowOff>0</xdr:rowOff>
    </xdr:to>
    <xdr:cxnSp macro="">
      <xdr:nvCxnSpPr>
        <xdr:cNvPr id="421" name="Straight Arrow Connector 420">
          <a:extLst>
            <a:ext uri="{FF2B5EF4-FFF2-40B4-BE49-F238E27FC236}">
              <a16:creationId xmlns:a16="http://schemas.microsoft.com/office/drawing/2014/main" id="{00000000-0008-0000-1200-0000A501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469</xdr:row>
      <xdr:rowOff>148167</xdr:rowOff>
    </xdr:from>
    <xdr:to>
      <xdr:col>7</xdr:col>
      <xdr:colOff>603250</xdr:colOff>
      <xdr:row>491</xdr:row>
      <xdr:rowOff>31750</xdr:rowOff>
    </xdr:to>
    <xdr:cxnSp macro="">
      <xdr:nvCxnSpPr>
        <xdr:cNvPr id="422" name="Straight Arrow Connector 421">
          <a:extLst>
            <a:ext uri="{FF2B5EF4-FFF2-40B4-BE49-F238E27FC236}">
              <a16:creationId xmlns:a16="http://schemas.microsoft.com/office/drawing/2014/main" id="{00000000-0008-0000-1200-0000A6010000}"/>
            </a:ext>
          </a:extLst>
        </xdr:cNvPr>
        <xdr:cNvCxnSpPr/>
      </xdr:nvCxnSpPr>
      <xdr:spPr>
        <a:xfrm flipV="1">
          <a:off x="517525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494</xdr:row>
      <xdr:rowOff>10584</xdr:rowOff>
    </xdr:from>
    <xdr:to>
      <xdr:col>8</xdr:col>
      <xdr:colOff>21167</xdr:colOff>
      <xdr:row>522</xdr:row>
      <xdr:rowOff>148166</xdr:rowOff>
    </xdr:to>
    <xdr:cxnSp macro="">
      <xdr:nvCxnSpPr>
        <xdr:cNvPr id="423" name="Straight Arrow Connector 422">
          <a:extLst>
            <a:ext uri="{FF2B5EF4-FFF2-40B4-BE49-F238E27FC236}">
              <a16:creationId xmlns:a16="http://schemas.microsoft.com/office/drawing/2014/main" id="{00000000-0008-0000-1200-0000A7010000}"/>
            </a:ext>
          </a:extLst>
        </xdr:cNvPr>
        <xdr:cNvCxnSpPr/>
      </xdr:nvCxnSpPr>
      <xdr:spPr>
        <a:xfrm>
          <a:off x="5175250" y="7821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461</xdr:row>
      <xdr:rowOff>137583</xdr:rowOff>
    </xdr:from>
    <xdr:to>
      <xdr:col>9</xdr:col>
      <xdr:colOff>603250</xdr:colOff>
      <xdr:row>467</xdr:row>
      <xdr:rowOff>21166</xdr:rowOff>
    </xdr:to>
    <xdr:cxnSp macro="">
      <xdr:nvCxnSpPr>
        <xdr:cNvPr id="424" name="Straight Arrow Connector 423">
          <a:extLst>
            <a:ext uri="{FF2B5EF4-FFF2-40B4-BE49-F238E27FC236}">
              <a16:creationId xmlns:a16="http://schemas.microsoft.com/office/drawing/2014/main" id="{00000000-0008-0000-1200-0000A801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470</xdr:row>
      <xdr:rowOff>0</xdr:rowOff>
    </xdr:from>
    <xdr:to>
      <xdr:col>9</xdr:col>
      <xdr:colOff>582083</xdr:colOff>
      <xdr:row>478</xdr:row>
      <xdr:rowOff>10583</xdr:rowOff>
    </xdr:to>
    <xdr:cxnSp macro="">
      <xdr:nvCxnSpPr>
        <xdr:cNvPr id="425" name="Straight Arrow Connector 424">
          <a:extLst>
            <a:ext uri="{FF2B5EF4-FFF2-40B4-BE49-F238E27FC236}">
              <a16:creationId xmlns:a16="http://schemas.microsoft.com/office/drawing/2014/main" id="{00000000-0008-0000-1200-0000A901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475</xdr:row>
      <xdr:rowOff>169333</xdr:rowOff>
    </xdr:from>
    <xdr:to>
      <xdr:col>11</xdr:col>
      <xdr:colOff>603250</xdr:colOff>
      <xdr:row>478</xdr:row>
      <xdr:rowOff>21167</xdr:rowOff>
    </xdr:to>
    <xdr:cxnSp macro="">
      <xdr:nvCxnSpPr>
        <xdr:cNvPr id="426" name="Straight Arrow Connector 425">
          <a:extLst>
            <a:ext uri="{FF2B5EF4-FFF2-40B4-BE49-F238E27FC236}">
              <a16:creationId xmlns:a16="http://schemas.microsoft.com/office/drawing/2014/main" id="{00000000-0008-0000-1200-0000AA01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481</xdr:row>
      <xdr:rowOff>42333</xdr:rowOff>
    </xdr:from>
    <xdr:to>
      <xdr:col>11</xdr:col>
      <xdr:colOff>603250</xdr:colOff>
      <xdr:row>493</xdr:row>
      <xdr:rowOff>10583</xdr:rowOff>
    </xdr:to>
    <xdr:cxnSp macro="">
      <xdr:nvCxnSpPr>
        <xdr:cNvPr id="427" name="Straight Arrow Connector 426">
          <a:extLst>
            <a:ext uri="{FF2B5EF4-FFF2-40B4-BE49-F238E27FC236}">
              <a16:creationId xmlns:a16="http://schemas.microsoft.com/office/drawing/2014/main" id="{00000000-0008-0000-1200-0000AB01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471</xdr:row>
      <xdr:rowOff>21167</xdr:rowOff>
    </xdr:from>
    <xdr:to>
      <xdr:col>13</xdr:col>
      <xdr:colOff>592667</xdr:colOff>
      <xdr:row>473</xdr:row>
      <xdr:rowOff>0</xdr:rowOff>
    </xdr:to>
    <xdr:cxnSp macro="">
      <xdr:nvCxnSpPr>
        <xdr:cNvPr id="428" name="Straight Arrow Connector 427">
          <a:extLst>
            <a:ext uri="{FF2B5EF4-FFF2-40B4-BE49-F238E27FC236}">
              <a16:creationId xmlns:a16="http://schemas.microsoft.com/office/drawing/2014/main" id="{00000000-0008-0000-1200-0000AC01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476</xdr:row>
      <xdr:rowOff>21166</xdr:rowOff>
    </xdr:from>
    <xdr:to>
      <xdr:col>13</xdr:col>
      <xdr:colOff>592667</xdr:colOff>
      <xdr:row>477</xdr:row>
      <xdr:rowOff>169334</xdr:rowOff>
    </xdr:to>
    <xdr:cxnSp macro="">
      <xdr:nvCxnSpPr>
        <xdr:cNvPr id="429" name="Straight Arrow Connector 428">
          <a:extLst>
            <a:ext uri="{FF2B5EF4-FFF2-40B4-BE49-F238E27FC236}">
              <a16:creationId xmlns:a16="http://schemas.microsoft.com/office/drawing/2014/main" id="{00000000-0008-0000-1200-0000AD01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491</xdr:row>
      <xdr:rowOff>21167</xdr:rowOff>
    </xdr:from>
    <xdr:to>
      <xdr:col>13</xdr:col>
      <xdr:colOff>592667</xdr:colOff>
      <xdr:row>493</xdr:row>
      <xdr:rowOff>63500</xdr:rowOff>
    </xdr:to>
    <xdr:cxnSp macro="">
      <xdr:nvCxnSpPr>
        <xdr:cNvPr id="430" name="Straight Arrow Connector 429">
          <a:extLst>
            <a:ext uri="{FF2B5EF4-FFF2-40B4-BE49-F238E27FC236}">
              <a16:creationId xmlns:a16="http://schemas.microsoft.com/office/drawing/2014/main" id="{00000000-0008-0000-1200-0000AE01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496</xdr:row>
      <xdr:rowOff>0</xdr:rowOff>
    </xdr:from>
    <xdr:to>
      <xdr:col>14</xdr:col>
      <xdr:colOff>10584</xdr:colOff>
      <xdr:row>504</xdr:row>
      <xdr:rowOff>148167</xdr:rowOff>
    </xdr:to>
    <xdr:cxnSp macro="">
      <xdr:nvCxnSpPr>
        <xdr:cNvPr id="431" name="Straight Arrow Connector 430">
          <a:extLst>
            <a:ext uri="{FF2B5EF4-FFF2-40B4-BE49-F238E27FC236}">
              <a16:creationId xmlns:a16="http://schemas.microsoft.com/office/drawing/2014/main" id="{00000000-0008-0000-1200-0000AF01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463</xdr:row>
      <xdr:rowOff>0</xdr:rowOff>
    </xdr:from>
    <xdr:to>
      <xdr:col>15</xdr:col>
      <xdr:colOff>603250</xdr:colOff>
      <xdr:row>468</xdr:row>
      <xdr:rowOff>31750</xdr:rowOff>
    </xdr:to>
    <xdr:cxnSp macro="">
      <xdr:nvCxnSpPr>
        <xdr:cNvPr id="432" name="Straight Arrow Connector 431">
          <a:extLst>
            <a:ext uri="{FF2B5EF4-FFF2-40B4-BE49-F238E27FC236}">
              <a16:creationId xmlns:a16="http://schemas.microsoft.com/office/drawing/2014/main" id="{00000000-0008-0000-1200-0000B001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466</xdr:row>
      <xdr:rowOff>52917</xdr:rowOff>
    </xdr:from>
    <xdr:to>
      <xdr:col>15</xdr:col>
      <xdr:colOff>603250</xdr:colOff>
      <xdr:row>468</xdr:row>
      <xdr:rowOff>95250</xdr:rowOff>
    </xdr:to>
    <xdr:cxnSp macro="">
      <xdr:nvCxnSpPr>
        <xdr:cNvPr id="433" name="Straight Arrow Connector 432">
          <a:extLst>
            <a:ext uri="{FF2B5EF4-FFF2-40B4-BE49-F238E27FC236}">
              <a16:creationId xmlns:a16="http://schemas.microsoft.com/office/drawing/2014/main" id="{00000000-0008-0000-1200-0000B101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468</xdr:row>
      <xdr:rowOff>158750</xdr:rowOff>
    </xdr:from>
    <xdr:to>
      <xdr:col>15</xdr:col>
      <xdr:colOff>582083</xdr:colOff>
      <xdr:row>469</xdr:row>
      <xdr:rowOff>137583</xdr:rowOff>
    </xdr:to>
    <xdr:cxnSp macro="">
      <xdr:nvCxnSpPr>
        <xdr:cNvPr id="434" name="Straight Arrow Connector 433">
          <a:extLst>
            <a:ext uri="{FF2B5EF4-FFF2-40B4-BE49-F238E27FC236}">
              <a16:creationId xmlns:a16="http://schemas.microsoft.com/office/drawing/2014/main" id="{00000000-0008-0000-1200-0000B201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468</xdr:row>
      <xdr:rowOff>105834</xdr:rowOff>
    </xdr:from>
    <xdr:to>
      <xdr:col>16</xdr:col>
      <xdr:colOff>0</xdr:colOff>
      <xdr:row>472</xdr:row>
      <xdr:rowOff>84667</xdr:rowOff>
    </xdr:to>
    <xdr:cxnSp macro="">
      <xdr:nvCxnSpPr>
        <xdr:cNvPr id="435" name="Straight Arrow Connector 434">
          <a:extLst>
            <a:ext uri="{FF2B5EF4-FFF2-40B4-BE49-F238E27FC236}">
              <a16:creationId xmlns:a16="http://schemas.microsoft.com/office/drawing/2014/main" id="{00000000-0008-0000-1200-0000B301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476</xdr:row>
      <xdr:rowOff>52916</xdr:rowOff>
    </xdr:from>
    <xdr:to>
      <xdr:col>16</xdr:col>
      <xdr:colOff>0</xdr:colOff>
      <xdr:row>478</xdr:row>
      <xdr:rowOff>0</xdr:rowOff>
    </xdr:to>
    <xdr:cxnSp macro="">
      <xdr:nvCxnSpPr>
        <xdr:cNvPr id="436" name="Straight Arrow Connector 435">
          <a:extLst>
            <a:ext uri="{FF2B5EF4-FFF2-40B4-BE49-F238E27FC236}">
              <a16:creationId xmlns:a16="http://schemas.microsoft.com/office/drawing/2014/main" id="{00000000-0008-0000-1200-0000B401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478</xdr:row>
      <xdr:rowOff>21167</xdr:rowOff>
    </xdr:from>
    <xdr:to>
      <xdr:col>15</xdr:col>
      <xdr:colOff>582083</xdr:colOff>
      <xdr:row>479</xdr:row>
      <xdr:rowOff>42333</xdr:rowOff>
    </xdr:to>
    <xdr:cxnSp macro="">
      <xdr:nvCxnSpPr>
        <xdr:cNvPr id="437" name="Straight Arrow Connector 436">
          <a:extLst>
            <a:ext uri="{FF2B5EF4-FFF2-40B4-BE49-F238E27FC236}">
              <a16:creationId xmlns:a16="http://schemas.microsoft.com/office/drawing/2014/main" id="{00000000-0008-0000-1200-0000B501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478</xdr:row>
      <xdr:rowOff>21167</xdr:rowOff>
    </xdr:from>
    <xdr:to>
      <xdr:col>16</xdr:col>
      <xdr:colOff>42333</xdr:colOff>
      <xdr:row>483</xdr:row>
      <xdr:rowOff>21168</xdr:rowOff>
    </xdr:to>
    <xdr:cxnSp macro="">
      <xdr:nvCxnSpPr>
        <xdr:cNvPr id="438" name="Straight Arrow Connector 437">
          <a:extLst>
            <a:ext uri="{FF2B5EF4-FFF2-40B4-BE49-F238E27FC236}">
              <a16:creationId xmlns:a16="http://schemas.microsoft.com/office/drawing/2014/main" id="{00000000-0008-0000-1200-0000B601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478</xdr:row>
      <xdr:rowOff>31750</xdr:rowOff>
    </xdr:from>
    <xdr:to>
      <xdr:col>16</xdr:col>
      <xdr:colOff>42334</xdr:colOff>
      <xdr:row>485</xdr:row>
      <xdr:rowOff>63501</xdr:rowOff>
    </xdr:to>
    <xdr:cxnSp macro="">
      <xdr:nvCxnSpPr>
        <xdr:cNvPr id="439" name="Straight Arrow Connector 438">
          <a:extLst>
            <a:ext uri="{FF2B5EF4-FFF2-40B4-BE49-F238E27FC236}">
              <a16:creationId xmlns:a16="http://schemas.microsoft.com/office/drawing/2014/main" id="{00000000-0008-0000-1200-0000B7010000}"/>
            </a:ext>
          </a:extLst>
        </xdr:cNvPr>
        <xdr:cNvCxnSpPr/>
      </xdr:nvCxnSpPr>
      <xdr:spPr>
        <a:xfrm>
          <a:off x="10541000" y="460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515</xdr:row>
      <xdr:rowOff>42333</xdr:rowOff>
    </xdr:from>
    <xdr:to>
      <xdr:col>9</xdr:col>
      <xdr:colOff>592666</xdr:colOff>
      <xdr:row>523</xdr:row>
      <xdr:rowOff>42333</xdr:rowOff>
    </xdr:to>
    <xdr:cxnSp macro="">
      <xdr:nvCxnSpPr>
        <xdr:cNvPr id="440" name="Straight Arrow Connector 439">
          <a:extLst>
            <a:ext uri="{FF2B5EF4-FFF2-40B4-BE49-F238E27FC236}">
              <a16:creationId xmlns:a16="http://schemas.microsoft.com/office/drawing/2014/main" id="{00000000-0008-0000-1200-0000B801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525</xdr:row>
      <xdr:rowOff>169334</xdr:rowOff>
    </xdr:from>
    <xdr:to>
      <xdr:col>9</xdr:col>
      <xdr:colOff>603250</xdr:colOff>
      <xdr:row>534</xdr:row>
      <xdr:rowOff>31750</xdr:rowOff>
    </xdr:to>
    <xdr:cxnSp macro="">
      <xdr:nvCxnSpPr>
        <xdr:cNvPr id="441" name="Straight Arrow Connector 440">
          <a:extLst>
            <a:ext uri="{FF2B5EF4-FFF2-40B4-BE49-F238E27FC236}">
              <a16:creationId xmlns:a16="http://schemas.microsoft.com/office/drawing/2014/main" id="{00000000-0008-0000-1200-0000B901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531</xdr:row>
      <xdr:rowOff>158750</xdr:rowOff>
    </xdr:from>
    <xdr:to>
      <xdr:col>11</xdr:col>
      <xdr:colOff>571500</xdr:colOff>
      <xdr:row>534</xdr:row>
      <xdr:rowOff>0</xdr:rowOff>
    </xdr:to>
    <xdr:cxnSp macro="">
      <xdr:nvCxnSpPr>
        <xdr:cNvPr id="442" name="Straight Arrow Connector 441">
          <a:extLst>
            <a:ext uri="{FF2B5EF4-FFF2-40B4-BE49-F238E27FC236}">
              <a16:creationId xmlns:a16="http://schemas.microsoft.com/office/drawing/2014/main" id="{00000000-0008-0000-1200-0000BA01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489</xdr:row>
      <xdr:rowOff>0</xdr:rowOff>
    </xdr:from>
    <xdr:to>
      <xdr:col>15</xdr:col>
      <xdr:colOff>603250</xdr:colOff>
      <xdr:row>491</xdr:row>
      <xdr:rowOff>1</xdr:rowOff>
    </xdr:to>
    <xdr:cxnSp macro="">
      <xdr:nvCxnSpPr>
        <xdr:cNvPr id="443" name="Straight Arrow Connector 442">
          <a:extLst>
            <a:ext uri="{FF2B5EF4-FFF2-40B4-BE49-F238E27FC236}">
              <a16:creationId xmlns:a16="http://schemas.microsoft.com/office/drawing/2014/main" id="{00000000-0008-0000-1200-0000BB010000}"/>
            </a:ext>
          </a:extLst>
        </xdr:cNvPr>
        <xdr:cNvCxnSpPr/>
      </xdr:nvCxnSpPr>
      <xdr:spPr>
        <a:xfrm flipV="1">
          <a:off x="10530417"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491</xdr:row>
      <xdr:rowOff>10584</xdr:rowOff>
    </xdr:from>
    <xdr:to>
      <xdr:col>15</xdr:col>
      <xdr:colOff>592666</xdr:colOff>
      <xdr:row>492</xdr:row>
      <xdr:rowOff>95250</xdr:rowOff>
    </xdr:to>
    <xdr:cxnSp macro="">
      <xdr:nvCxnSpPr>
        <xdr:cNvPr id="444" name="Straight Arrow Connector 443">
          <a:extLst>
            <a:ext uri="{FF2B5EF4-FFF2-40B4-BE49-F238E27FC236}">
              <a16:creationId xmlns:a16="http://schemas.microsoft.com/office/drawing/2014/main" id="{00000000-0008-0000-1200-0000BC01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491</xdr:row>
      <xdr:rowOff>10584</xdr:rowOff>
    </xdr:from>
    <xdr:to>
      <xdr:col>15</xdr:col>
      <xdr:colOff>560916</xdr:colOff>
      <xdr:row>495</xdr:row>
      <xdr:rowOff>52917</xdr:rowOff>
    </xdr:to>
    <xdr:cxnSp macro="">
      <xdr:nvCxnSpPr>
        <xdr:cNvPr id="445" name="Straight Arrow Connector 444">
          <a:extLst>
            <a:ext uri="{FF2B5EF4-FFF2-40B4-BE49-F238E27FC236}">
              <a16:creationId xmlns:a16="http://schemas.microsoft.com/office/drawing/2014/main" id="{00000000-0008-0000-1200-0000BD01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491</xdr:row>
      <xdr:rowOff>31750</xdr:rowOff>
    </xdr:from>
    <xdr:to>
      <xdr:col>16</xdr:col>
      <xdr:colOff>21167</xdr:colOff>
      <xdr:row>498</xdr:row>
      <xdr:rowOff>95250</xdr:rowOff>
    </xdr:to>
    <xdr:cxnSp macro="">
      <xdr:nvCxnSpPr>
        <xdr:cNvPr id="446" name="Straight Arrow Connector 445">
          <a:extLst>
            <a:ext uri="{FF2B5EF4-FFF2-40B4-BE49-F238E27FC236}">
              <a16:creationId xmlns:a16="http://schemas.microsoft.com/office/drawing/2014/main" id="{00000000-0008-0000-1200-0000BE01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505</xdr:row>
      <xdr:rowOff>0</xdr:rowOff>
    </xdr:from>
    <xdr:to>
      <xdr:col>16</xdr:col>
      <xdr:colOff>0</xdr:colOff>
      <xdr:row>505</xdr:row>
      <xdr:rowOff>42334</xdr:rowOff>
    </xdr:to>
    <xdr:cxnSp macro="">
      <xdr:nvCxnSpPr>
        <xdr:cNvPr id="447" name="Straight Arrow Connector 446">
          <a:extLst>
            <a:ext uri="{FF2B5EF4-FFF2-40B4-BE49-F238E27FC236}">
              <a16:creationId xmlns:a16="http://schemas.microsoft.com/office/drawing/2014/main" id="{00000000-0008-0000-1200-0000BF01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505</xdr:row>
      <xdr:rowOff>21166</xdr:rowOff>
    </xdr:from>
    <xdr:to>
      <xdr:col>15</xdr:col>
      <xdr:colOff>560916</xdr:colOff>
      <xdr:row>508</xdr:row>
      <xdr:rowOff>84667</xdr:rowOff>
    </xdr:to>
    <xdr:cxnSp macro="">
      <xdr:nvCxnSpPr>
        <xdr:cNvPr id="448" name="Straight Arrow Connector 447">
          <a:extLst>
            <a:ext uri="{FF2B5EF4-FFF2-40B4-BE49-F238E27FC236}">
              <a16:creationId xmlns:a16="http://schemas.microsoft.com/office/drawing/2014/main" id="{00000000-0008-0000-1200-0000C001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505</xdr:row>
      <xdr:rowOff>52916</xdr:rowOff>
    </xdr:from>
    <xdr:to>
      <xdr:col>15</xdr:col>
      <xdr:colOff>592666</xdr:colOff>
      <xdr:row>511</xdr:row>
      <xdr:rowOff>63501</xdr:rowOff>
    </xdr:to>
    <xdr:cxnSp macro="">
      <xdr:nvCxnSpPr>
        <xdr:cNvPr id="449" name="Straight Arrow Connector 448">
          <a:extLst>
            <a:ext uri="{FF2B5EF4-FFF2-40B4-BE49-F238E27FC236}">
              <a16:creationId xmlns:a16="http://schemas.microsoft.com/office/drawing/2014/main" id="{00000000-0008-0000-1200-0000C101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519</xdr:row>
      <xdr:rowOff>116416</xdr:rowOff>
    </xdr:from>
    <xdr:to>
      <xdr:col>15</xdr:col>
      <xdr:colOff>592666</xdr:colOff>
      <xdr:row>522</xdr:row>
      <xdr:rowOff>158750</xdr:rowOff>
    </xdr:to>
    <xdr:cxnSp macro="">
      <xdr:nvCxnSpPr>
        <xdr:cNvPr id="450" name="Straight Arrow Connector 449">
          <a:extLst>
            <a:ext uri="{FF2B5EF4-FFF2-40B4-BE49-F238E27FC236}">
              <a16:creationId xmlns:a16="http://schemas.microsoft.com/office/drawing/2014/main" id="{00000000-0008-0000-1200-0000C201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521</xdr:row>
      <xdr:rowOff>95250</xdr:rowOff>
    </xdr:from>
    <xdr:to>
      <xdr:col>15</xdr:col>
      <xdr:colOff>582083</xdr:colOff>
      <xdr:row>523</xdr:row>
      <xdr:rowOff>52917</xdr:rowOff>
    </xdr:to>
    <xdr:cxnSp macro="">
      <xdr:nvCxnSpPr>
        <xdr:cNvPr id="451" name="Straight Arrow Connector 450">
          <a:extLst>
            <a:ext uri="{FF2B5EF4-FFF2-40B4-BE49-F238E27FC236}">
              <a16:creationId xmlns:a16="http://schemas.microsoft.com/office/drawing/2014/main" id="{00000000-0008-0000-1200-0000C301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523</xdr:row>
      <xdr:rowOff>116417</xdr:rowOff>
    </xdr:from>
    <xdr:to>
      <xdr:col>15</xdr:col>
      <xdr:colOff>592666</xdr:colOff>
      <xdr:row>527</xdr:row>
      <xdr:rowOff>95250</xdr:rowOff>
    </xdr:to>
    <xdr:cxnSp macro="">
      <xdr:nvCxnSpPr>
        <xdr:cNvPr id="452" name="Straight Arrow Connector 451">
          <a:extLst>
            <a:ext uri="{FF2B5EF4-FFF2-40B4-BE49-F238E27FC236}">
              <a16:creationId xmlns:a16="http://schemas.microsoft.com/office/drawing/2014/main" id="{00000000-0008-0000-1200-0000C401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534</xdr:row>
      <xdr:rowOff>116416</xdr:rowOff>
    </xdr:from>
    <xdr:to>
      <xdr:col>16</xdr:col>
      <xdr:colOff>0</xdr:colOff>
      <xdr:row>541</xdr:row>
      <xdr:rowOff>74084</xdr:rowOff>
    </xdr:to>
    <xdr:cxnSp macro="">
      <xdr:nvCxnSpPr>
        <xdr:cNvPr id="453" name="Straight Arrow Connector 452">
          <a:extLst>
            <a:ext uri="{FF2B5EF4-FFF2-40B4-BE49-F238E27FC236}">
              <a16:creationId xmlns:a16="http://schemas.microsoft.com/office/drawing/2014/main" id="{00000000-0008-0000-1200-0000C501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502</xdr:row>
      <xdr:rowOff>52917</xdr:rowOff>
    </xdr:from>
    <xdr:to>
      <xdr:col>15</xdr:col>
      <xdr:colOff>603250</xdr:colOff>
      <xdr:row>504</xdr:row>
      <xdr:rowOff>148167</xdr:rowOff>
    </xdr:to>
    <xdr:cxnSp macro="">
      <xdr:nvCxnSpPr>
        <xdr:cNvPr id="454" name="Straight Arrow Connector 453">
          <a:extLst>
            <a:ext uri="{FF2B5EF4-FFF2-40B4-BE49-F238E27FC236}">
              <a16:creationId xmlns:a16="http://schemas.microsoft.com/office/drawing/2014/main" id="{00000000-0008-0000-1200-0000C601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537</xdr:row>
      <xdr:rowOff>42333</xdr:rowOff>
    </xdr:from>
    <xdr:to>
      <xdr:col>11</xdr:col>
      <xdr:colOff>603250</xdr:colOff>
      <xdr:row>549</xdr:row>
      <xdr:rowOff>10583</xdr:rowOff>
    </xdr:to>
    <xdr:cxnSp macro="">
      <xdr:nvCxnSpPr>
        <xdr:cNvPr id="455" name="Straight Arrow Connector 454">
          <a:extLst>
            <a:ext uri="{FF2B5EF4-FFF2-40B4-BE49-F238E27FC236}">
              <a16:creationId xmlns:a16="http://schemas.microsoft.com/office/drawing/2014/main" id="{00000000-0008-0000-1200-0000C701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527</xdr:row>
      <xdr:rowOff>21167</xdr:rowOff>
    </xdr:from>
    <xdr:to>
      <xdr:col>13</xdr:col>
      <xdr:colOff>592667</xdr:colOff>
      <xdr:row>529</xdr:row>
      <xdr:rowOff>0</xdr:rowOff>
    </xdr:to>
    <xdr:cxnSp macro="">
      <xdr:nvCxnSpPr>
        <xdr:cNvPr id="456" name="Straight Arrow Connector 455">
          <a:extLst>
            <a:ext uri="{FF2B5EF4-FFF2-40B4-BE49-F238E27FC236}">
              <a16:creationId xmlns:a16="http://schemas.microsoft.com/office/drawing/2014/main" id="{00000000-0008-0000-1200-0000C801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532</xdr:row>
      <xdr:rowOff>21166</xdr:rowOff>
    </xdr:from>
    <xdr:to>
      <xdr:col>13</xdr:col>
      <xdr:colOff>592667</xdr:colOff>
      <xdr:row>533</xdr:row>
      <xdr:rowOff>169334</xdr:rowOff>
    </xdr:to>
    <xdr:cxnSp macro="">
      <xdr:nvCxnSpPr>
        <xdr:cNvPr id="457" name="Straight Arrow Connector 456">
          <a:extLst>
            <a:ext uri="{FF2B5EF4-FFF2-40B4-BE49-F238E27FC236}">
              <a16:creationId xmlns:a16="http://schemas.microsoft.com/office/drawing/2014/main" id="{00000000-0008-0000-1200-0000C901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547</xdr:row>
      <xdr:rowOff>21167</xdr:rowOff>
    </xdr:from>
    <xdr:to>
      <xdr:col>13</xdr:col>
      <xdr:colOff>592667</xdr:colOff>
      <xdr:row>549</xdr:row>
      <xdr:rowOff>63500</xdr:rowOff>
    </xdr:to>
    <xdr:cxnSp macro="">
      <xdr:nvCxnSpPr>
        <xdr:cNvPr id="458" name="Straight Arrow Connector 457">
          <a:extLst>
            <a:ext uri="{FF2B5EF4-FFF2-40B4-BE49-F238E27FC236}">
              <a16:creationId xmlns:a16="http://schemas.microsoft.com/office/drawing/2014/main" id="{00000000-0008-0000-1200-0000CA01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552</xdr:row>
      <xdr:rowOff>0</xdr:rowOff>
    </xdr:from>
    <xdr:to>
      <xdr:col>14</xdr:col>
      <xdr:colOff>10584</xdr:colOff>
      <xdr:row>560</xdr:row>
      <xdr:rowOff>148167</xdr:rowOff>
    </xdr:to>
    <xdr:cxnSp macro="">
      <xdr:nvCxnSpPr>
        <xdr:cNvPr id="459" name="Straight Arrow Connector 458">
          <a:extLst>
            <a:ext uri="{FF2B5EF4-FFF2-40B4-BE49-F238E27FC236}">
              <a16:creationId xmlns:a16="http://schemas.microsoft.com/office/drawing/2014/main" id="{00000000-0008-0000-1200-0000CB01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523</xdr:row>
      <xdr:rowOff>95250</xdr:rowOff>
    </xdr:from>
    <xdr:to>
      <xdr:col>15</xdr:col>
      <xdr:colOff>582083</xdr:colOff>
      <xdr:row>525</xdr:row>
      <xdr:rowOff>137583</xdr:rowOff>
    </xdr:to>
    <xdr:cxnSp macro="">
      <xdr:nvCxnSpPr>
        <xdr:cNvPr id="460" name="Straight Arrow Connector 459">
          <a:extLst>
            <a:ext uri="{FF2B5EF4-FFF2-40B4-BE49-F238E27FC236}">
              <a16:creationId xmlns:a16="http://schemas.microsoft.com/office/drawing/2014/main" id="{00000000-0008-0000-1200-0000CC01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532</xdr:row>
      <xdr:rowOff>52916</xdr:rowOff>
    </xdr:from>
    <xdr:to>
      <xdr:col>16</xdr:col>
      <xdr:colOff>0</xdr:colOff>
      <xdr:row>534</xdr:row>
      <xdr:rowOff>0</xdr:rowOff>
    </xdr:to>
    <xdr:cxnSp macro="">
      <xdr:nvCxnSpPr>
        <xdr:cNvPr id="461" name="Straight Arrow Connector 460">
          <a:extLst>
            <a:ext uri="{FF2B5EF4-FFF2-40B4-BE49-F238E27FC236}">
              <a16:creationId xmlns:a16="http://schemas.microsoft.com/office/drawing/2014/main" id="{00000000-0008-0000-1200-0000CD01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534</xdr:row>
      <xdr:rowOff>21167</xdr:rowOff>
    </xdr:from>
    <xdr:to>
      <xdr:col>15</xdr:col>
      <xdr:colOff>592666</xdr:colOff>
      <xdr:row>535</xdr:row>
      <xdr:rowOff>84667</xdr:rowOff>
    </xdr:to>
    <xdr:cxnSp macro="">
      <xdr:nvCxnSpPr>
        <xdr:cNvPr id="462" name="Straight Arrow Connector 461">
          <a:extLst>
            <a:ext uri="{FF2B5EF4-FFF2-40B4-BE49-F238E27FC236}">
              <a16:creationId xmlns:a16="http://schemas.microsoft.com/office/drawing/2014/main" id="{00000000-0008-0000-1200-0000CE010000}"/>
            </a:ext>
          </a:extLst>
        </xdr:cNvPr>
        <xdr:cNvCxnSpPr/>
      </xdr:nvCxnSpPr>
      <xdr:spPr>
        <a:xfrm>
          <a:off x="10530417"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534</xdr:row>
      <xdr:rowOff>0</xdr:rowOff>
    </xdr:from>
    <xdr:to>
      <xdr:col>16</xdr:col>
      <xdr:colOff>0</xdr:colOff>
      <xdr:row>538</xdr:row>
      <xdr:rowOff>42334</xdr:rowOff>
    </xdr:to>
    <xdr:cxnSp macro="">
      <xdr:nvCxnSpPr>
        <xdr:cNvPr id="463" name="Straight Arrow Connector 462">
          <a:extLst>
            <a:ext uri="{FF2B5EF4-FFF2-40B4-BE49-F238E27FC236}">
              <a16:creationId xmlns:a16="http://schemas.microsoft.com/office/drawing/2014/main" id="{00000000-0008-0000-1200-0000CF01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545</xdr:row>
      <xdr:rowOff>0</xdr:rowOff>
    </xdr:from>
    <xdr:to>
      <xdr:col>15</xdr:col>
      <xdr:colOff>603250</xdr:colOff>
      <xdr:row>547</xdr:row>
      <xdr:rowOff>1</xdr:rowOff>
    </xdr:to>
    <xdr:cxnSp macro="">
      <xdr:nvCxnSpPr>
        <xdr:cNvPr id="464" name="Straight Arrow Connector 463">
          <a:extLst>
            <a:ext uri="{FF2B5EF4-FFF2-40B4-BE49-F238E27FC236}">
              <a16:creationId xmlns:a16="http://schemas.microsoft.com/office/drawing/2014/main" id="{00000000-0008-0000-1200-0000D001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547</xdr:row>
      <xdr:rowOff>10584</xdr:rowOff>
    </xdr:from>
    <xdr:to>
      <xdr:col>15</xdr:col>
      <xdr:colOff>592666</xdr:colOff>
      <xdr:row>548</xdr:row>
      <xdr:rowOff>95250</xdr:rowOff>
    </xdr:to>
    <xdr:cxnSp macro="">
      <xdr:nvCxnSpPr>
        <xdr:cNvPr id="465" name="Straight Arrow Connector 464">
          <a:extLst>
            <a:ext uri="{FF2B5EF4-FFF2-40B4-BE49-F238E27FC236}">
              <a16:creationId xmlns:a16="http://schemas.microsoft.com/office/drawing/2014/main" id="{00000000-0008-0000-1200-0000D101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547</xdr:row>
      <xdr:rowOff>10584</xdr:rowOff>
    </xdr:from>
    <xdr:to>
      <xdr:col>15</xdr:col>
      <xdr:colOff>560916</xdr:colOff>
      <xdr:row>551</xdr:row>
      <xdr:rowOff>52917</xdr:rowOff>
    </xdr:to>
    <xdr:cxnSp macro="">
      <xdr:nvCxnSpPr>
        <xdr:cNvPr id="466" name="Straight Arrow Connector 465">
          <a:extLst>
            <a:ext uri="{FF2B5EF4-FFF2-40B4-BE49-F238E27FC236}">
              <a16:creationId xmlns:a16="http://schemas.microsoft.com/office/drawing/2014/main" id="{00000000-0008-0000-1200-0000D201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547</xdr:row>
      <xdr:rowOff>31750</xdr:rowOff>
    </xdr:from>
    <xdr:to>
      <xdr:col>16</xdr:col>
      <xdr:colOff>21167</xdr:colOff>
      <xdr:row>554</xdr:row>
      <xdr:rowOff>95250</xdr:rowOff>
    </xdr:to>
    <xdr:cxnSp macro="">
      <xdr:nvCxnSpPr>
        <xdr:cNvPr id="467" name="Straight Arrow Connector 466">
          <a:extLst>
            <a:ext uri="{FF2B5EF4-FFF2-40B4-BE49-F238E27FC236}">
              <a16:creationId xmlns:a16="http://schemas.microsoft.com/office/drawing/2014/main" id="{00000000-0008-0000-1200-0000D301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561</xdr:row>
      <xdr:rowOff>0</xdr:rowOff>
    </xdr:from>
    <xdr:to>
      <xdr:col>16</xdr:col>
      <xdr:colOff>0</xdr:colOff>
      <xdr:row>561</xdr:row>
      <xdr:rowOff>42334</xdr:rowOff>
    </xdr:to>
    <xdr:cxnSp macro="">
      <xdr:nvCxnSpPr>
        <xdr:cNvPr id="468" name="Straight Arrow Connector 467">
          <a:extLst>
            <a:ext uri="{FF2B5EF4-FFF2-40B4-BE49-F238E27FC236}">
              <a16:creationId xmlns:a16="http://schemas.microsoft.com/office/drawing/2014/main" id="{00000000-0008-0000-1200-0000D401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561</xdr:row>
      <xdr:rowOff>21166</xdr:rowOff>
    </xdr:from>
    <xdr:to>
      <xdr:col>15</xdr:col>
      <xdr:colOff>560916</xdr:colOff>
      <xdr:row>564</xdr:row>
      <xdr:rowOff>84667</xdr:rowOff>
    </xdr:to>
    <xdr:cxnSp macro="">
      <xdr:nvCxnSpPr>
        <xdr:cNvPr id="469" name="Straight Arrow Connector 468">
          <a:extLst>
            <a:ext uri="{FF2B5EF4-FFF2-40B4-BE49-F238E27FC236}">
              <a16:creationId xmlns:a16="http://schemas.microsoft.com/office/drawing/2014/main" id="{00000000-0008-0000-1200-0000D501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561</xdr:row>
      <xdr:rowOff>52916</xdr:rowOff>
    </xdr:from>
    <xdr:to>
      <xdr:col>15</xdr:col>
      <xdr:colOff>592666</xdr:colOff>
      <xdr:row>567</xdr:row>
      <xdr:rowOff>63501</xdr:rowOff>
    </xdr:to>
    <xdr:cxnSp macro="">
      <xdr:nvCxnSpPr>
        <xdr:cNvPr id="470" name="Straight Arrow Connector 469">
          <a:extLst>
            <a:ext uri="{FF2B5EF4-FFF2-40B4-BE49-F238E27FC236}">
              <a16:creationId xmlns:a16="http://schemas.microsoft.com/office/drawing/2014/main" id="{00000000-0008-0000-1200-0000D601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558</xdr:row>
      <xdr:rowOff>52917</xdr:rowOff>
    </xdr:from>
    <xdr:to>
      <xdr:col>15</xdr:col>
      <xdr:colOff>603250</xdr:colOff>
      <xdr:row>560</xdr:row>
      <xdr:rowOff>148167</xdr:rowOff>
    </xdr:to>
    <xdr:cxnSp macro="">
      <xdr:nvCxnSpPr>
        <xdr:cNvPr id="471" name="Straight Arrow Connector 470">
          <a:extLst>
            <a:ext uri="{FF2B5EF4-FFF2-40B4-BE49-F238E27FC236}">
              <a16:creationId xmlns:a16="http://schemas.microsoft.com/office/drawing/2014/main" id="{00000000-0008-0000-1200-0000D701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602</xdr:row>
      <xdr:rowOff>95250</xdr:rowOff>
    </xdr:from>
    <xdr:to>
      <xdr:col>8</xdr:col>
      <xdr:colOff>21167</xdr:colOff>
      <xdr:row>634</xdr:row>
      <xdr:rowOff>148166</xdr:rowOff>
    </xdr:to>
    <xdr:cxnSp macro="">
      <xdr:nvCxnSpPr>
        <xdr:cNvPr id="472" name="Straight Arrow Connector 471">
          <a:extLst>
            <a:ext uri="{FF2B5EF4-FFF2-40B4-BE49-F238E27FC236}">
              <a16:creationId xmlns:a16="http://schemas.microsoft.com/office/drawing/2014/main" id="{00000000-0008-0000-1200-0000D801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573</xdr:row>
      <xdr:rowOff>137583</xdr:rowOff>
    </xdr:from>
    <xdr:to>
      <xdr:col>9</xdr:col>
      <xdr:colOff>603250</xdr:colOff>
      <xdr:row>579</xdr:row>
      <xdr:rowOff>21166</xdr:rowOff>
    </xdr:to>
    <xdr:cxnSp macro="">
      <xdr:nvCxnSpPr>
        <xdr:cNvPr id="473" name="Straight Arrow Connector 472">
          <a:extLst>
            <a:ext uri="{FF2B5EF4-FFF2-40B4-BE49-F238E27FC236}">
              <a16:creationId xmlns:a16="http://schemas.microsoft.com/office/drawing/2014/main" id="{00000000-0008-0000-1200-0000D9010000}"/>
            </a:ext>
          </a:extLst>
        </xdr:cNvPr>
        <xdr:cNvCxnSpPr/>
      </xdr:nvCxnSpPr>
      <xdr:spPr>
        <a:xfrm flipV="1">
          <a:off x="6381750"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582</xdr:row>
      <xdr:rowOff>0</xdr:rowOff>
    </xdr:from>
    <xdr:to>
      <xdr:col>9</xdr:col>
      <xdr:colOff>582083</xdr:colOff>
      <xdr:row>590</xdr:row>
      <xdr:rowOff>10583</xdr:rowOff>
    </xdr:to>
    <xdr:cxnSp macro="">
      <xdr:nvCxnSpPr>
        <xdr:cNvPr id="474" name="Straight Arrow Connector 473">
          <a:extLst>
            <a:ext uri="{FF2B5EF4-FFF2-40B4-BE49-F238E27FC236}">
              <a16:creationId xmlns:a16="http://schemas.microsoft.com/office/drawing/2014/main" id="{00000000-0008-0000-1200-0000DA010000}"/>
            </a:ext>
          </a:extLst>
        </xdr:cNvPr>
        <xdr:cNvCxnSpPr/>
      </xdr:nvCxnSpPr>
      <xdr:spPr>
        <a:xfrm>
          <a:off x="6413500"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587</xdr:row>
      <xdr:rowOff>169333</xdr:rowOff>
    </xdr:from>
    <xdr:to>
      <xdr:col>11</xdr:col>
      <xdr:colOff>603250</xdr:colOff>
      <xdr:row>590</xdr:row>
      <xdr:rowOff>21167</xdr:rowOff>
    </xdr:to>
    <xdr:cxnSp macro="">
      <xdr:nvCxnSpPr>
        <xdr:cNvPr id="475" name="Straight Arrow Connector 474">
          <a:extLst>
            <a:ext uri="{FF2B5EF4-FFF2-40B4-BE49-F238E27FC236}">
              <a16:creationId xmlns:a16="http://schemas.microsoft.com/office/drawing/2014/main" id="{00000000-0008-0000-1200-0000DB010000}"/>
            </a:ext>
          </a:extLst>
        </xdr:cNvPr>
        <xdr:cNvCxnSpPr/>
      </xdr:nvCxnSpPr>
      <xdr:spPr>
        <a:xfrm flipV="1">
          <a:off x="7609417"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593</xdr:row>
      <xdr:rowOff>42333</xdr:rowOff>
    </xdr:from>
    <xdr:to>
      <xdr:col>11</xdr:col>
      <xdr:colOff>603250</xdr:colOff>
      <xdr:row>605</xdr:row>
      <xdr:rowOff>10583</xdr:rowOff>
    </xdr:to>
    <xdr:cxnSp macro="">
      <xdr:nvCxnSpPr>
        <xdr:cNvPr id="476" name="Straight Arrow Connector 475">
          <a:extLst>
            <a:ext uri="{FF2B5EF4-FFF2-40B4-BE49-F238E27FC236}">
              <a16:creationId xmlns:a16="http://schemas.microsoft.com/office/drawing/2014/main" id="{00000000-0008-0000-1200-0000DC010000}"/>
            </a:ext>
          </a:extLst>
        </xdr:cNvPr>
        <xdr:cNvCxnSpPr/>
      </xdr:nvCxnSpPr>
      <xdr:spPr>
        <a:xfrm>
          <a:off x="7598834"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583</xdr:row>
      <xdr:rowOff>21167</xdr:rowOff>
    </xdr:from>
    <xdr:to>
      <xdr:col>13</xdr:col>
      <xdr:colOff>592667</xdr:colOff>
      <xdr:row>585</xdr:row>
      <xdr:rowOff>0</xdr:rowOff>
    </xdr:to>
    <xdr:cxnSp macro="">
      <xdr:nvCxnSpPr>
        <xdr:cNvPr id="477" name="Straight Arrow Connector 476">
          <a:extLst>
            <a:ext uri="{FF2B5EF4-FFF2-40B4-BE49-F238E27FC236}">
              <a16:creationId xmlns:a16="http://schemas.microsoft.com/office/drawing/2014/main" id="{00000000-0008-0000-1200-0000DD010000}"/>
            </a:ext>
          </a:extLst>
        </xdr:cNvPr>
        <xdr:cNvCxnSpPr/>
      </xdr:nvCxnSpPr>
      <xdr:spPr>
        <a:xfrm flipV="1">
          <a:off x="8794750" y="24976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588</xdr:row>
      <xdr:rowOff>21166</xdr:rowOff>
    </xdr:from>
    <xdr:to>
      <xdr:col>13</xdr:col>
      <xdr:colOff>592667</xdr:colOff>
      <xdr:row>589</xdr:row>
      <xdr:rowOff>169334</xdr:rowOff>
    </xdr:to>
    <xdr:cxnSp macro="">
      <xdr:nvCxnSpPr>
        <xdr:cNvPr id="478" name="Straight Arrow Connector 477">
          <a:extLst>
            <a:ext uri="{FF2B5EF4-FFF2-40B4-BE49-F238E27FC236}">
              <a16:creationId xmlns:a16="http://schemas.microsoft.com/office/drawing/2014/main" id="{00000000-0008-0000-1200-0000DE010000}"/>
            </a:ext>
          </a:extLst>
        </xdr:cNvPr>
        <xdr:cNvCxnSpPr/>
      </xdr:nvCxnSpPr>
      <xdr:spPr>
        <a:xfrm>
          <a:off x="8784166" y="25929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603</xdr:row>
      <xdr:rowOff>21167</xdr:rowOff>
    </xdr:from>
    <xdr:to>
      <xdr:col>13</xdr:col>
      <xdr:colOff>592667</xdr:colOff>
      <xdr:row>605</xdr:row>
      <xdr:rowOff>63500</xdr:rowOff>
    </xdr:to>
    <xdr:cxnSp macro="">
      <xdr:nvCxnSpPr>
        <xdr:cNvPr id="479" name="Straight Arrow Connector 478">
          <a:extLst>
            <a:ext uri="{FF2B5EF4-FFF2-40B4-BE49-F238E27FC236}">
              <a16:creationId xmlns:a16="http://schemas.microsoft.com/office/drawing/2014/main" id="{00000000-0008-0000-1200-0000DF010000}"/>
            </a:ext>
          </a:extLst>
        </xdr:cNvPr>
        <xdr:cNvCxnSpPr/>
      </xdr:nvCxnSpPr>
      <xdr:spPr>
        <a:xfrm flipV="1">
          <a:off x="879475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608</xdr:row>
      <xdr:rowOff>0</xdr:rowOff>
    </xdr:from>
    <xdr:to>
      <xdr:col>14</xdr:col>
      <xdr:colOff>10584</xdr:colOff>
      <xdr:row>616</xdr:row>
      <xdr:rowOff>148167</xdr:rowOff>
    </xdr:to>
    <xdr:cxnSp macro="">
      <xdr:nvCxnSpPr>
        <xdr:cNvPr id="480" name="Straight Arrow Connector 479">
          <a:extLst>
            <a:ext uri="{FF2B5EF4-FFF2-40B4-BE49-F238E27FC236}">
              <a16:creationId xmlns:a16="http://schemas.microsoft.com/office/drawing/2014/main" id="{00000000-0008-0000-1200-0000E0010000}"/>
            </a:ext>
          </a:extLst>
        </xdr:cNvPr>
        <xdr:cNvCxnSpPr/>
      </xdr:nvCxnSpPr>
      <xdr:spPr>
        <a:xfrm>
          <a:off x="8805333" y="29908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575</xdr:row>
      <xdr:rowOff>0</xdr:rowOff>
    </xdr:from>
    <xdr:to>
      <xdr:col>15</xdr:col>
      <xdr:colOff>603250</xdr:colOff>
      <xdr:row>580</xdr:row>
      <xdr:rowOff>31750</xdr:rowOff>
    </xdr:to>
    <xdr:cxnSp macro="">
      <xdr:nvCxnSpPr>
        <xdr:cNvPr id="481" name="Straight Arrow Connector 480">
          <a:extLst>
            <a:ext uri="{FF2B5EF4-FFF2-40B4-BE49-F238E27FC236}">
              <a16:creationId xmlns:a16="http://schemas.microsoft.com/office/drawing/2014/main" id="{00000000-0008-0000-1200-0000E1010000}"/>
            </a:ext>
          </a:extLst>
        </xdr:cNvPr>
        <xdr:cNvCxnSpPr/>
      </xdr:nvCxnSpPr>
      <xdr:spPr>
        <a:xfrm flipV="1">
          <a:off x="10541000"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578</xdr:row>
      <xdr:rowOff>52917</xdr:rowOff>
    </xdr:from>
    <xdr:to>
      <xdr:col>15</xdr:col>
      <xdr:colOff>603250</xdr:colOff>
      <xdr:row>580</xdr:row>
      <xdr:rowOff>95250</xdr:rowOff>
    </xdr:to>
    <xdr:cxnSp macro="">
      <xdr:nvCxnSpPr>
        <xdr:cNvPr id="482" name="Straight Arrow Connector 481">
          <a:extLst>
            <a:ext uri="{FF2B5EF4-FFF2-40B4-BE49-F238E27FC236}">
              <a16:creationId xmlns:a16="http://schemas.microsoft.com/office/drawing/2014/main" id="{00000000-0008-0000-1200-0000E2010000}"/>
            </a:ext>
          </a:extLst>
        </xdr:cNvPr>
        <xdr:cNvCxnSpPr/>
      </xdr:nvCxnSpPr>
      <xdr:spPr>
        <a:xfrm flipV="1">
          <a:off x="10583333"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580</xdr:row>
      <xdr:rowOff>158750</xdr:rowOff>
    </xdr:from>
    <xdr:to>
      <xdr:col>15</xdr:col>
      <xdr:colOff>582083</xdr:colOff>
      <xdr:row>581</xdr:row>
      <xdr:rowOff>137583</xdr:rowOff>
    </xdr:to>
    <xdr:cxnSp macro="">
      <xdr:nvCxnSpPr>
        <xdr:cNvPr id="483" name="Straight Arrow Connector 482">
          <a:extLst>
            <a:ext uri="{FF2B5EF4-FFF2-40B4-BE49-F238E27FC236}">
              <a16:creationId xmlns:a16="http://schemas.microsoft.com/office/drawing/2014/main" id="{00000000-0008-0000-1200-0000E3010000}"/>
            </a:ext>
          </a:extLst>
        </xdr:cNvPr>
        <xdr:cNvCxnSpPr/>
      </xdr:nvCxnSpPr>
      <xdr:spPr>
        <a:xfrm>
          <a:off x="10604500"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580</xdr:row>
      <xdr:rowOff>105834</xdr:rowOff>
    </xdr:from>
    <xdr:to>
      <xdr:col>16</xdr:col>
      <xdr:colOff>0</xdr:colOff>
      <xdr:row>584</xdr:row>
      <xdr:rowOff>84667</xdr:rowOff>
    </xdr:to>
    <xdr:cxnSp macro="">
      <xdr:nvCxnSpPr>
        <xdr:cNvPr id="484" name="Straight Arrow Connector 483">
          <a:extLst>
            <a:ext uri="{FF2B5EF4-FFF2-40B4-BE49-F238E27FC236}">
              <a16:creationId xmlns:a16="http://schemas.microsoft.com/office/drawing/2014/main" id="{00000000-0008-0000-1200-0000E4010000}"/>
            </a:ext>
          </a:extLst>
        </xdr:cNvPr>
        <xdr:cNvCxnSpPr/>
      </xdr:nvCxnSpPr>
      <xdr:spPr>
        <a:xfrm>
          <a:off x="10519834" y="24489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588</xdr:row>
      <xdr:rowOff>52916</xdr:rowOff>
    </xdr:from>
    <xdr:to>
      <xdr:col>16</xdr:col>
      <xdr:colOff>0</xdr:colOff>
      <xdr:row>590</xdr:row>
      <xdr:rowOff>0</xdr:rowOff>
    </xdr:to>
    <xdr:cxnSp macro="">
      <xdr:nvCxnSpPr>
        <xdr:cNvPr id="485" name="Straight Arrow Connector 484">
          <a:extLst>
            <a:ext uri="{FF2B5EF4-FFF2-40B4-BE49-F238E27FC236}">
              <a16:creationId xmlns:a16="http://schemas.microsoft.com/office/drawing/2014/main" id="{00000000-0008-0000-1200-0000E5010000}"/>
            </a:ext>
          </a:extLst>
        </xdr:cNvPr>
        <xdr:cNvCxnSpPr/>
      </xdr:nvCxnSpPr>
      <xdr:spPr>
        <a:xfrm flipV="1">
          <a:off x="10541000" y="25960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590</xdr:row>
      <xdr:rowOff>21167</xdr:rowOff>
    </xdr:from>
    <xdr:to>
      <xdr:col>15</xdr:col>
      <xdr:colOff>582083</xdr:colOff>
      <xdr:row>591</xdr:row>
      <xdr:rowOff>42333</xdr:rowOff>
    </xdr:to>
    <xdr:cxnSp macro="">
      <xdr:nvCxnSpPr>
        <xdr:cNvPr id="486" name="Straight Arrow Connector 485">
          <a:extLst>
            <a:ext uri="{FF2B5EF4-FFF2-40B4-BE49-F238E27FC236}">
              <a16:creationId xmlns:a16="http://schemas.microsoft.com/office/drawing/2014/main" id="{00000000-0008-0000-1200-0000E6010000}"/>
            </a:ext>
          </a:extLst>
        </xdr:cNvPr>
        <xdr:cNvCxnSpPr/>
      </xdr:nvCxnSpPr>
      <xdr:spPr>
        <a:xfrm>
          <a:off x="10551583"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590</xdr:row>
      <xdr:rowOff>21167</xdr:rowOff>
    </xdr:from>
    <xdr:to>
      <xdr:col>16</xdr:col>
      <xdr:colOff>42333</xdr:colOff>
      <xdr:row>595</xdr:row>
      <xdr:rowOff>21168</xdr:rowOff>
    </xdr:to>
    <xdr:cxnSp macro="">
      <xdr:nvCxnSpPr>
        <xdr:cNvPr id="487" name="Straight Arrow Connector 486">
          <a:extLst>
            <a:ext uri="{FF2B5EF4-FFF2-40B4-BE49-F238E27FC236}">
              <a16:creationId xmlns:a16="http://schemas.microsoft.com/office/drawing/2014/main" id="{00000000-0008-0000-1200-0000E7010000}"/>
            </a:ext>
          </a:extLst>
        </xdr:cNvPr>
        <xdr:cNvCxnSpPr/>
      </xdr:nvCxnSpPr>
      <xdr:spPr>
        <a:xfrm>
          <a:off x="10530417" y="26310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488" name="Straight Arrow Connector 487">
          <a:extLst>
            <a:ext uri="{FF2B5EF4-FFF2-40B4-BE49-F238E27FC236}">
              <a16:creationId xmlns:a16="http://schemas.microsoft.com/office/drawing/2014/main" id="{00000000-0008-0000-1200-0000E8010000}"/>
            </a:ext>
          </a:extLst>
        </xdr:cNvPr>
        <xdr:cNvCxnSpPr/>
      </xdr:nvCxnSpPr>
      <xdr:spPr>
        <a:xfrm>
          <a:off x="10541000" y="26320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627</xdr:row>
      <xdr:rowOff>42333</xdr:rowOff>
    </xdr:from>
    <xdr:to>
      <xdr:col>9</xdr:col>
      <xdr:colOff>592666</xdr:colOff>
      <xdr:row>635</xdr:row>
      <xdr:rowOff>42333</xdr:rowOff>
    </xdr:to>
    <xdr:cxnSp macro="">
      <xdr:nvCxnSpPr>
        <xdr:cNvPr id="489" name="Straight Arrow Connector 488">
          <a:extLst>
            <a:ext uri="{FF2B5EF4-FFF2-40B4-BE49-F238E27FC236}">
              <a16:creationId xmlns:a16="http://schemas.microsoft.com/office/drawing/2014/main" id="{00000000-0008-0000-1200-0000E9010000}"/>
            </a:ext>
          </a:extLst>
        </xdr:cNvPr>
        <xdr:cNvCxnSpPr/>
      </xdr:nvCxnSpPr>
      <xdr:spPr>
        <a:xfrm flipV="1">
          <a:off x="6392333"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637</xdr:row>
      <xdr:rowOff>169334</xdr:rowOff>
    </xdr:from>
    <xdr:to>
      <xdr:col>9</xdr:col>
      <xdr:colOff>603250</xdr:colOff>
      <xdr:row>646</xdr:row>
      <xdr:rowOff>31750</xdr:rowOff>
    </xdr:to>
    <xdr:cxnSp macro="">
      <xdr:nvCxnSpPr>
        <xdr:cNvPr id="490" name="Straight Arrow Connector 489">
          <a:extLst>
            <a:ext uri="{FF2B5EF4-FFF2-40B4-BE49-F238E27FC236}">
              <a16:creationId xmlns:a16="http://schemas.microsoft.com/office/drawing/2014/main" id="{00000000-0008-0000-1200-0000EA010000}"/>
            </a:ext>
          </a:extLst>
        </xdr:cNvPr>
        <xdr:cNvCxnSpPr/>
      </xdr:nvCxnSpPr>
      <xdr:spPr>
        <a:xfrm>
          <a:off x="6413500"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643</xdr:row>
      <xdr:rowOff>158750</xdr:rowOff>
    </xdr:from>
    <xdr:to>
      <xdr:col>11</xdr:col>
      <xdr:colOff>571500</xdr:colOff>
      <xdr:row>646</xdr:row>
      <xdr:rowOff>0</xdr:rowOff>
    </xdr:to>
    <xdr:cxnSp macro="">
      <xdr:nvCxnSpPr>
        <xdr:cNvPr id="491" name="Straight Arrow Connector 490">
          <a:extLst>
            <a:ext uri="{FF2B5EF4-FFF2-40B4-BE49-F238E27FC236}">
              <a16:creationId xmlns:a16="http://schemas.microsoft.com/office/drawing/2014/main" id="{00000000-0008-0000-1200-0000EB010000}"/>
            </a:ext>
          </a:extLst>
        </xdr:cNvPr>
        <xdr:cNvCxnSpPr/>
      </xdr:nvCxnSpPr>
      <xdr:spPr>
        <a:xfrm flipV="1">
          <a:off x="7556500" y="36734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601</xdr:row>
      <xdr:rowOff>0</xdr:rowOff>
    </xdr:from>
    <xdr:to>
      <xdr:col>15</xdr:col>
      <xdr:colOff>603250</xdr:colOff>
      <xdr:row>603</xdr:row>
      <xdr:rowOff>1</xdr:rowOff>
    </xdr:to>
    <xdr:cxnSp macro="">
      <xdr:nvCxnSpPr>
        <xdr:cNvPr id="492" name="Straight Arrow Connector 491">
          <a:extLst>
            <a:ext uri="{FF2B5EF4-FFF2-40B4-BE49-F238E27FC236}">
              <a16:creationId xmlns:a16="http://schemas.microsoft.com/office/drawing/2014/main" id="{00000000-0008-0000-1200-0000EC010000}"/>
            </a:ext>
          </a:extLst>
        </xdr:cNvPr>
        <xdr:cNvCxnSpPr/>
      </xdr:nvCxnSpPr>
      <xdr:spPr>
        <a:xfrm flipV="1">
          <a:off x="10530417"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603</xdr:row>
      <xdr:rowOff>10584</xdr:rowOff>
    </xdr:from>
    <xdr:to>
      <xdr:col>15</xdr:col>
      <xdr:colOff>592666</xdr:colOff>
      <xdr:row>604</xdr:row>
      <xdr:rowOff>95250</xdr:rowOff>
    </xdr:to>
    <xdr:cxnSp macro="">
      <xdr:nvCxnSpPr>
        <xdr:cNvPr id="493" name="Straight Arrow Connector 492">
          <a:extLst>
            <a:ext uri="{FF2B5EF4-FFF2-40B4-BE49-F238E27FC236}">
              <a16:creationId xmlns:a16="http://schemas.microsoft.com/office/drawing/2014/main" id="{00000000-0008-0000-1200-0000ED010000}"/>
            </a:ext>
          </a:extLst>
        </xdr:cNvPr>
        <xdr:cNvCxnSpPr/>
      </xdr:nvCxnSpPr>
      <xdr:spPr>
        <a:xfrm>
          <a:off x="10572750"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603</xdr:row>
      <xdr:rowOff>10584</xdr:rowOff>
    </xdr:from>
    <xdr:to>
      <xdr:col>15</xdr:col>
      <xdr:colOff>560916</xdr:colOff>
      <xdr:row>607</xdr:row>
      <xdr:rowOff>52917</xdr:rowOff>
    </xdr:to>
    <xdr:cxnSp macro="">
      <xdr:nvCxnSpPr>
        <xdr:cNvPr id="494" name="Straight Arrow Connector 493">
          <a:extLst>
            <a:ext uri="{FF2B5EF4-FFF2-40B4-BE49-F238E27FC236}">
              <a16:creationId xmlns:a16="http://schemas.microsoft.com/office/drawing/2014/main" id="{00000000-0008-0000-1200-0000EE010000}"/>
            </a:ext>
          </a:extLst>
        </xdr:cNvPr>
        <xdr:cNvCxnSpPr/>
      </xdr:nvCxnSpPr>
      <xdr:spPr>
        <a:xfrm>
          <a:off x="10551583"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495" name="Straight Arrow Connector 494">
          <a:extLst>
            <a:ext uri="{FF2B5EF4-FFF2-40B4-BE49-F238E27FC236}">
              <a16:creationId xmlns:a16="http://schemas.microsoft.com/office/drawing/2014/main" id="{00000000-0008-0000-1200-0000EF010000}"/>
            </a:ext>
          </a:extLst>
        </xdr:cNvPr>
        <xdr:cNvCxnSpPr/>
      </xdr:nvCxnSpPr>
      <xdr:spPr>
        <a:xfrm>
          <a:off x="10583333" y="28987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617</xdr:row>
      <xdr:rowOff>0</xdr:rowOff>
    </xdr:from>
    <xdr:to>
      <xdr:col>16</xdr:col>
      <xdr:colOff>0</xdr:colOff>
      <xdr:row>617</xdr:row>
      <xdr:rowOff>42334</xdr:rowOff>
    </xdr:to>
    <xdr:cxnSp macro="">
      <xdr:nvCxnSpPr>
        <xdr:cNvPr id="496" name="Straight Arrow Connector 495">
          <a:extLst>
            <a:ext uri="{FF2B5EF4-FFF2-40B4-BE49-F238E27FC236}">
              <a16:creationId xmlns:a16="http://schemas.microsoft.com/office/drawing/2014/main" id="{00000000-0008-0000-1200-0000F0010000}"/>
            </a:ext>
          </a:extLst>
        </xdr:cNvPr>
        <xdr:cNvCxnSpPr/>
      </xdr:nvCxnSpPr>
      <xdr:spPr>
        <a:xfrm>
          <a:off x="10562166" y="31623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617</xdr:row>
      <xdr:rowOff>21166</xdr:rowOff>
    </xdr:from>
    <xdr:to>
      <xdr:col>15</xdr:col>
      <xdr:colOff>560916</xdr:colOff>
      <xdr:row>620</xdr:row>
      <xdr:rowOff>84667</xdr:rowOff>
    </xdr:to>
    <xdr:cxnSp macro="">
      <xdr:nvCxnSpPr>
        <xdr:cNvPr id="497" name="Straight Arrow Connector 496">
          <a:extLst>
            <a:ext uri="{FF2B5EF4-FFF2-40B4-BE49-F238E27FC236}">
              <a16:creationId xmlns:a16="http://schemas.microsoft.com/office/drawing/2014/main" id="{00000000-0008-0000-1200-0000F1010000}"/>
            </a:ext>
          </a:extLst>
        </xdr:cNvPr>
        <xdr:cNvCxnSpPr/>
      </xdr:nvCxnSpPr>
      <xdr:spPr>
        <a:xfrm>
          <a:off x="10615083"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617</xdr:row>
      <xdr:rowOff>52916</xdr:rowOff>
    </xdr:from>
    <xdr:to>
      <xdr:col>15</xdr:col>
      <xdr:colOff>592666</xdr:colOff>
      <xdr:row>623</xdr:row>
      <xdr:rowOff>63501</xdr:rowOff>
    </xdr:to>
    <xdr:cxnSp macro="">
      <xdr:nvCxnSpPr>
        <xdr:cNvPr id="498" name="Straight Arrow Connector 497">
          <a:extLst>
            <a:ext uri="{FF2B5EF4-FFF2-40B4-BE49-F238E27FC236}">
              <a16:creationId xmlns:a16="http://schemas.microsoft.com/office/drawing/2014/main" id="{00000000-0008-0000-1200-0000F2010000}"/>
            </a:ext>
          </a:extLst>
        </xdr:cNvPr>
        <xdr:cNvCxnSpPr/>
      </xdr:nvCxnSpPr>
      <xdr:spPr>
        <a:xfrm>
          <a:off x="10572750"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631</xdr:row>
      <xdr:rowOff>116416</xdr:rowOff>
    </xdr:from>
    <xdr:to>
      <xdr:col>15</xdr:col>
      <xdr:colOff>592666</xdr:colOff>
      <xdr:row>634</xdr:row>
      <xdr:rowOff>158750</xdr:rowOff>
    </xdr:to>
    <xdr:cxnSp macro="">
      <xdr:nvCxnSpPr>
        <xdr:cNvPr id="499" name="Straight Arrow Connector 498">
          <a:extLst>
            <a:ext uri="{FF2B5EF4-FFF2-40B4-BE49-F238E27FC236}">
              <a16:creationId xmlns:a16="http://schemas.microsoft.com/office/drawing/2014/main" id="{00000000-0008-0000-1200-0000F3010000}"/>
            </a:ext>
          </a:extLst>
        </xdr:cNvPr>
        <xdr:cNvCxnSpPr/>
      </xdr:nvCxnSpPr>
      <xdr:spPr>
        <a:xfrm flipV="1">
          <a:off x="10562166"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633</xdr:row>
      <xdr:rowOff>95250</xdr:rowOff>
    </xdr:from>
    <xdr:to>
      <xdr:col>15</xdr:col>
      <xdr:colOff>582083</xdr:colOff>
      <xdr:row>635</xdr:row>
      <xdr:rowOff>52917</xdr:rowOff>
    </xdr:to>
    <xdr:cxnSp macro="">
      <xdr:nvCxnSpPr>
        <xdr:cNvPr id="500" name="Straight Arrow Connector 499">
          <a:extLst>
            <a:ext uri="{FF2B5EF4-FFF2-40B4-BE49-F238E27FC236}">
              <a16:creationId xmlns:a16="http://schemas.microsoft.com/office/drawing/2014/main" id="{00000000-0008-0000-1200-0000F4010000}"/>
            </a:ext>
          </a:extLst>
        </xdr:cNvPr>
        <xdr:cNvCxnSpPr/>
      </xdr:nvCxnSpPr>
      <xdr:spPr>
        <a:xfrm flipV="1">
          <a:off x="10604500"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116417</xdr:rowOff>
    </xdr:from>
    <xdr:to>
      <xdr:col>15</xdr:col>
      <xdr:colOff>592666</xdr:colOff>
      <xdr:row>639</xdr:row>
      <xdr:rowOff>95250</xdr:rowOff>
    </xdr:to>
    <xdr:cxnSp macro="">
      <xdr:nvCxnSpPr>
        <xdr:cNvPr id="501" name="Straight Arrow Connector 500">
          <a:extLst>
            <a:ext uri="{FF2B5EF4-FFF2-40B4-BE49-F238E27FC236}">
              <a16:creationId xmlns:a16="http://schemas.microsoft.com/office/drawing/2014/main" id="{00000000-0008-0000-1200-0000F5010000}"/>
            </a:ext>
          </a:extLst>
        </xdr:cNvPr>
        <xdr:cNvCxnSpPr/>
      </xdr:nvCxnSpPr>
      <xdr:spPr>
        <a:xfrm>
          <a:off x="10593916"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646</xdr:row>
      <xdr:rowOff>116416</xdr:rowOff>
    </xdr:from>
    <xdr:to>
      <xdr:col>16</xdr:col>
      <xdr:colOff>0</xdr:colOff>
      <xdr:row>653</xdr:row>
      <xdr:rowOff>74084</xdr:rowOff>
    </xdr:to>
    <xdr:cxnSp macro="">
      <xdr:nvCxnSpPr>
        <xdr:cNvPr id="502" name="Straight Arrow Connector 501">
          <a:extLst>
            <a:ext uri="{FF2B5EF4-FFF2-40B4-BE49-F238E27FC236}">
              <a16:creationId xmlns:a16="http://schemas.microsoft.com/office/drawing/2014/main" id="{00000000-0008-0000-1200-0000F6010000}"/>
            </a:ext>
          </a:extLst>
        </xdr:cNvPr>
        <xdr:cNvCxnSpPr/>
      </xdr:nvCxnSpPr>
      <xdr:spPr>
        <a:xfrm>
          <a:off x="10572750" y="37263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614</xdr:row>
      <xdr:rowOff>52917</xdr:rowOff>
    </xdr:from>
    <xdr:to>
      <xdr:col>15</xdr:col>
      <xdr:colOff>603250</xdr:colOff>
      <xdr:row>616</xdr:row>
      <xdr:rowOff>148167</xdr:rowOff>
    </xdr:to>
    <xdr:cxnSp macro="">
      <xdr:nvCxnSpPr>
        <xdr:cNvPr id="503" name="Straight Arrow Connector 502">
          <a:extLst>
            <a:ext uri="{FF2B5EF4-FFF2-40B4-BE49-F238E27FC236}">
              <a16:creationId xmlns:a16="http://schemas.microsoft.com/office/drawing/2014/main" id="{00000000-0008-0000-1200-0000F7010000}"/>
            </a:ext>
          </a:extLst>
        </xdr:cNvPr>
        <xdr:cNvCxnSpPr/>
      </xdr:nvCxnSpPr>
      <xdr:spPr>
        <a:xfrm flipV="1">
          <a:off x="10583333"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649</xdr:row>
      <xdr:rowOff>42333</xdr:rowOff>
    </xdr:from>
    <xdr:to>
      <xdr:col>11</xdr:col>
      <xdr:colOff>603250</xdr:colOff>
      <xdr:row>661</xdr:row>
      <xdr:rowOff>10583</xdr:rowOff>
    </xdr:to>
    <xdr:cxnSp macro="">
      <xdr:nvCxnSpPr>
        <xdr:cNvPr id="504" name="Straight Arrow Connector 503">
          <a:extLst>
            <a:ext uri="{FF2B5EF4-FFF2-40B4-BE49-F238E27FC236}">
              <a16:creationId xmlns:a16="http://schemas.microsoft.com/office/drawing/2014/main" id="{00000000-0008-0000-1200-0000F8010000}"/>
            </a:ext>
          </a:extLst>
        </xdr:cNvPr>
        <xdr:cNvCxnSpPr/>
      </xdr:nvCxnSpPr>
      <xdr:spPr>
        <a:xfrm>
          <a:off x="7598834"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639</xdr:row>
      <xdr:rowOff>21167</xdr:rowOff>
    </xdr:from>
    <xdr:to>
      <xdr:col>13</xdr:col>
      <xdr:colOff>592667</xdr:colOff>
      <xdr:row>641</xdr:row>
      <xdr:rowOff>0</xdr:rowOff>
    </xdr:to>
    <xdr:cxnSp macro="">
      <xdr:nvCxnSpPr>
        <xdr:cNvPr id="505" name="Straight Arrow Connector 504">
          <a:extLst>
            <a:ext uri="{FF2B5EF4-FFF2-40B4-BE49-F238E27FC236}">
              <a16:creationId xmlns:a16="http://schemas.microsoft.com/office/drawing/2014/main" id="{00000000-0008-0000-1200-0000F9010000}"/>
            </a:ext>
          </a:extLst>
        </xdr:cNvPr>
        <xdr:cNvCxnSpPr/>
      </xdr:nvCxnSpPr>
      <xdr:spPr>
        <a:xfrm flipV="1">
          <a:off x="8794750" y="35835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644</xdr:row>
      <xdr:rowOff>21166</xdr:rowOff>
    </xdr:from>
    <xdr:to>
      <xdr:col>13</xdr:col>
      <xdr:colOff>592667</xdr:colOff>
      <xdr:row>645</xdr:row>
      <xdr:rowOff>169334</xdr:rowOff>
    </xdr:to>
    <xdr:cxnSp macro="">
      <xdr:nvCxnSpPr>
        <xdr:cNvPr id="506" name="Straight Arrow Connector 505">
          <a:extLst>
            <a:ext uri="{FF2B5EF4-FFF2-40B4-BE49-F238E27FC236}">
              <a16:creationId xmlns:a16="http://schemas.microsoft.com/office/drawing/2014/main" id="{00000000-0008-0000-1200-0000FA010000}"/>
            </a:ext>
          </a:extLst>
        </xdr:cNvPr>
        <xdr:cNvCxnSpPr/>
      </xdr:nvCxnSpPr>
      <xdr:spPr>
        <a:xfrm>
          <a:off x="8784166" y="36787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659</xdr:row>
      <xdr:rowOff>21167</xdr:rowOff>
    </xdr:from>
    <xdr:to>
      <xdr:col>13</xdr:col>
      <xdr:colOff>592667</xdr:colOff>
      <xdr:row>661</xdr:row>
      <xdr:rowOff>63500</xdr:rowOff>
    </xdr:to>
    <xdr:cxnSp macro="">
      <xdr:nvCxnSpPr>
        <xdr:cNvPr id="507" name="Straight Arrow Connector 506">
          <a:extLst>
            <a:ext uri="{FF2B5EF4-FFF2-40B4-BE49-F238E27FC236}">
              <a16:creationId xmlns:a16="http://schemas.microsoft.com/office/drawing/2014/main" id="{00000000-0008-0000-1200-0000FB010000}"/>
            </a:ext>
          </a:extLst>
        </xdr:cNvPr>
        <xdr:cNvCxnSpPr/>
      </xdr:nvCxnSpPr>
      <xdr:spPr>
        <a:xfrm flipV="1">
          <a:off x="879475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664</xdr:row>
      <xdr:rowOff>0</xdr:rowOff>
    </xdr:from>
    <xdr:to>
      <xdr:col>14</xdr:col>
      <xdr:colOff>10584</xdr:colOff>
      <xdr:row>672</xdr:row>
      <xdr:rowOff>148167</xdr:rowOff>
    </xdr:to>
    <xdr:cxnSp macro="">
      <xdr:nvCxnSpPr>
        <xdr:cNvPr id="508" name="Straight Arrow Connector 507">
          <a:extLst>
            <a:ext uri="{FF2B5EF4-FFF2-40B4-BE49-F238E27FC236}">
              <a16:creationId xmlns:a16="http://schemas.microsoft.com/office/drawing/2014/main" id="{00000000-0008-0000-1200-0000FC010000}"/>
            </a:ext>
          </a:extLst>
        </xdr:cNvPr>
        <xdr:cNvCxnSpPr/>
      </xdr:nvCxnSpPr>
      <xdr:spPr>
        <a:xfrm>
          <a:off x="8805333" y="40767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95250</xdr:rowOff>
    </xdr:from>
    <xdr:to>
      <xdr:col>15</xdr:col>
      <xdr:colOff>582083</xdr:colOff>
      <xdr:row>637</xdr:row>
      <xdr:rowOff>137583</xdr:rowOff>
    </xdr:to>
    <xdr:cxnSp macro="">
      <xdr:nvCxnSpPr>
        <xdr:cNvPr id="509" name="Straight Arrow Connector 508">
          <a:extLst>
            <a:ext uri="{FF2B5EF4-FFF2-40B4-BE49-F238E27FC236}">
              <a16:creationId xmlns:a16="http://schemas.microsoft.com/office/drawing/2014/main" id="{00000000-0008-0000-1200-0000FD010000}"/>
            </a:ext>
          </a:extLst>
        </xdr:cNvPr>
        <xdr:cNvCxnSpPr/>
      </xdr:nvCxnSpPr>
      <xdr:spPr>
        <a:xfrm>
          <a:off x="10593916"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644</xdr:row>
      <xdr:rowOff>52916</xdr:rowOff>
    </xdr:from>
    <xdr:to>
      <xdr:col>16</xdr:col>
      <xdr:colOff>0</xdr:colOff>
      <xdr:row>646</xdr:row>
      <xdr:rowOff>0</xdr:rowOff>
    </xdr:to>
    <xdr:cxnSp macro="">
      <xdr:nvCxnSpPr>
        <xdr:cNvPr id="510" name="Straight Arrow Connector 509">
          <a:extLst>
            <a:ext uri="{FF2B5EF4-FFF2-40B4-BE49-F238E27FC236}">
              <a16:creationId xmlns:a16="http://schemas.microsoft.com/office/drawing/2014/main" id="{00000000-0008-0000-1200-0000FE010000}"/>
            </a:ext>
          </a:extLst>
        </xdr:cNvPr>
        <xdr:cNvCxnSpPr/>
      </xdr:nvCxnSpPr>
      <xdr:spPr>
        <a:xfrm flipV="1">
          <a:off x="10541000" y="36819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21167</xdr:rowOff>
    </xdr:from>
    <xdr:to>
      <xdr:col>15</xdr:col>
      <xdr:colOff>592666</xdr:colOff>
      <xdr:row>647</xdr:row>
      <xdr:rowOff>84667</xdr:rowOff>
    </xdr:to>
    <xdr:cxnSp macro="">
      <xdr:nvCxnSpPr>
        <xdr:cNvPr id="511" name="Straight Arrow Connector 510">
          <a:extLst>
            <a:ext uri="{FF2B5EF4-FFF2-40B4-BE49-F238E27FC236}">
              <a16:creationId xmlns:a16="http://schemas.microsoft.com/office/drawing/2014/main" id="{00000000-0008-0000-1200-0000FF010000}"/>
            </a:ext>
          </a:extLst>
        </xdr:cNvPr>
        <xdr:cNvCxnSpPr/>
      </xdr:nvCxnSpPr>
      <xdr:spPr>
        <a:xfrm>
          <a:off x="10530417"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0</xdr:rowOff>
    </xdr:from>
    <xdr:to>
      <xdr:col>16</xdr:col>
      <xdr:colOff>0</xdr:colOff>
      <xdr:row>650</xdr:row>
      <xdr:rowOff>42334</xdr:rowOff>
    </xdr:to>
    <xdr:cxnSp macro="">
      <xdr:nvCxnSpPr>
        <xdr:cNvPr id="512" name="Straight Arrow Connector 511">
          <a:extLst>
            <a:ext uri="{FF2B5EF4-FFF2-40B4-BE49-F238E27FC236}">
              <a16:creationId xmlns:a16="http://schemas.microsoft.com/office/drawing/2014/main" id="{00000000-0008-0000-1200-000000020000}"/>
            </a:ext>
          </a:extLst>
        </xdr:cNvPr>
        <xdr:cNvCxnSpPr/>
      </xdr:nvCxnSpPr>
      <xdr:spPr>
        <a:xfrm>
          <a:off x="10530417" y="37147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657</xdr:row>
      <xdr:rowOff>0</xdr:rowOff>
    </xdr:from>
    <xdr:to>
      <xdr:col>15</xdr:col>
      <xdr:colOff>603250</xdr:colOff>
      <xdr:row>659</xdr:row>
      <xdr:rowOff>1</xdr:rowOff>
    </xdr:to>
    <xdr:cxnSp macro="">
      <xdr:nvCxnSpPr>
        <xdr:cNvPr id="513" name="Straight Arrow Connector 512">
          <a:extLst>
            <a:ext uri="{FF2B5EF4-FFF2-40B4-BE49-F238E27FC236}">
              <a16:creationId xmlns:a16="http://schemas.microsoft.com/office/drawing/2014/main" id="{00000000-0008-0000-1200-000001020000}"/>
            </a:ext>
          </a:extLst>
        </xdr:cNvPr>
        <xdr:cNvCxnSpPr/>
      </xdr:nvCxnSpPr>
      <xdr:spPr>
        <a:xfrm flipV="1">
          <a:off x="10530417"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659</xdr:row>
      <xdr:rowOff>10584</xdr:rowOff>
    </xdr:from>
    <xdr:to>
      <xdr:col>15</xdr:col>
      <xdr:colOff>592666</xdr:colOff>
      <xdr:row>660</xdr:row>
      <xdr:rowOff>95250</xdr:rowOff>
    </xdr:to>
    <xdr:cxnSp macro="">
      <xdr:nvCxnSpPr>
        <xdr:cNvPr id="514" name="Straight Arrow Connector 513">
          <a:extLst>
            <a:ext uri="{FF2B5EF4-FFF2-40B4-BE49-F238E27FC236}">
              <a16:creationId xmlns:a16="http://schemas.microsoft.com/office/drawing/2014/main" id="{00000000-0008-0000-1200-000002020000}"/>
            </a:ext>
          </a:extLst>
        </xdr:cNvPr>
        <xdr:cNvCxnSpPr/>
      </xdr:nvCxnSpPr>
      <xdr:spPr>
        <a:xfrm>
          <a:off x="10572750"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659</xdr:row>
      <xdr:rowOff>10584</xdr:rowOff>
    </xdr:from>
    <xdr:to>
      <xdr:col>15</xdr:col>
      <xdr:colOff>560916</xdr:colOff>
      <xdr:row>663</xdr:row>
      <xdr:rowOff>52917</xdr:rowOff>
    </xdr:to>
    <xdr:cxnSp macro="">
      <xdr:nvCxnSpPr>
        <xdr:cNvPr id="515" name="Straight Arrow Connector 514">
          <a:extLst>
            <a:ext uri="{FF2B5EF4-FFF2-40B4-BE49-F238E27FC236}">
              <a16:creationId xmlns:a16="http://schemas.microsoft.com/office/drawing/2014/main" id="{00000000-0008-0000-1200-000003020000}"/>
            </a:ext>
          </a:extLst>
        </xdr:cNvPr>
        <xdr:cNvCxnSpPr/>
      </xdr:nvCxnSpPr>
      <xdr:spPr>
        <a:xfrm>
          <a:off x="10551583"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516" name="Straight Arrow Connector 515">
          <a:extLst>
            <a:ext uri="{FF2B5EF4-FFF2-40B4-BE49-F238E27FC236}">
              <a16:creationId xmlns:a16="http://schemas.microsoft.com/office/drawing/2014/main" id="{00000000-0008-0000-1200-000004020000}"/>
            </a:ext>
          </a:extLst>
        </xdr:cNvPr>
        <xdr:cNvCxnSpPr/>
      </xdr:nvCxnSpPr>
      <xdr:spPr>
        <a:xfrm>
          <a:off x="10583333" y="39846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673</xdr:row>
      <xdr:rowOff>0</xdr:rowOff>
    </xdr:from>
    <xdr:to>
      <xdr:col>16</xdr:col>
      <xdr:colOff>0</xdr:colOff>
      <xdr:row>673</xdr:row>
      <xdr:rowOff>42334</xdr:rowOff>
    </xdr:to>
    <xdr:cxnSp macro="">
      <xdr:nvCxnSpPr>
        <xdr:cNvPr id="517" name="Straight Arrow Connector 516">
          <a:extLst>
            <a:ext uri="{FF2B5EF4-FFF2-40B4-BE49-F238E27FC236}">
              <a16:creationId xmlns:a16="http://schemas.microsoft.com/office/drawing/2014/main" id="{00000000-0008-0000-1200-000005020000}"/>
            </a:ext>
          </a:extLst>
        </xdr:cNvPr>
        <xdr:cNvCxnSpPr/>
      </xdr:nvCxnSpPr>
      <xdr:spPr>
        <a:xfrm>
          <a:off x="10562166" y="42481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673</xdr:row>
      <xdr:rowOff>21166</xdr:rowOff>
    </xdr:from>
    <xdr:to>
      <xdr:col>15</xdr:col>
      <xdr:colOff>560916</xdr:colOff>
      <xdr:row>676</xdr:row>
      <xdr:rowOff>84667</xdr:rowOff>
    </xdr:to>
    <xdr:cxnSp macro="">
      <xdr:nvCxnSpPr>
        <xdr:cNvPr id="518" name="Straight Arrow Connector 517">
          <a:extLst>
            <a:ext uri="{FF2B5EF4-FFF2-40B4-BE49-F238E27FC236}">
              <a16:creationId xmlns:a16="http://schemas.microsoft.com/office/drawing/2014/main" id="{00000000-0008-0000-1200-000006020000}"/>
            </a:ext>
          </a:extLst>
        </xdr:cNvPr>
        <xdr:cNvCxnSpPr/>
      </xdr:nvCxnSpPr>
      <xdr:spPr>
        <a:xfrm>
          <a:off x="10615083"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673</xdr:row>
      <xdr:rowOff>52916</xdr:rowOff>
    </xdr:from>
    <xdr:to>
      <xdr:col>15</xdr:col>
      <xdr:colOff>592666</xdr:colOff>
      <xdr:row>679</xdr:row>
      <xdr:rowOff>63501</xdr:rowOff>
    </xdr:to>
    <xdr:cxnSp macro="">
      <xdr:nvCxnSpPr>
        <xdr:cNvPr id="519" name="Straight Arrow Connector 518">
          <a:extLst>
            <a:ext uri="{FF2B5EF4-FFF2-40B4-BE49-F238E27FC236}">
              <a16:creationId xmlns:a16="http://schemas.microsoft.com/office/drawing/2014/main" id="{00000000-0008-0000-1200-000007020000}"/>
            </a:ext>
          </a:extLst>
        </xdr:cNvPr>
        <xdr:cNvCxnSpPr/>
      </xdr:nvCxnSpPr>
      <xdr:spPr>
        <a:xfrm>
          <a:off x="10572750"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670</xdr:row>
      <xdr:rowOff>52917</xdr:rowOff>
    </xdr:from>
    <xdr:to>
      <xdr:col>15</xdr:col>
      <xdr:colOff>603250</xdr:colOff>
      <xdr:row>672</xdr:row>
      <xdr:rowOff>148167</xdr:rowOff>
    </xdr:to>
    <xdr:cxnSp macro="">
      <xdr:nvCxnSpPr>
        <xdr:cNvPr id="520" name="Straight Arrow Connector 519">
          <a:extLst>
            <a:ext uri="{FF2B5EF4-FFF2-40B4-BE49-F238E27FC236}">
              <a16:creationId xmlns:a16="http://schemas.microsoft.com/office/drawing/2014/main" id="{00000000-0008-0000-1200-000008020000}"/>
            </a:ext>
          </a:extLst>
        </xdr:cNvPr>
        <xdr:cNvCxnSpPr/>
      </xdr:nvCxnSpPr>
      <xdr:spPr>
        <a:xfrm flipV="1">
          <a:off x="10583333"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581</xdr:row>
      <xdr:rowOff>127000</xdr:rowOff>
    </xdr:from>
    <xdr:to>
      <xdr:col>8</xdr:col>
      <xdr:colOff>63500</xdr:colOff>
      <xdr:row>600</xdr:row>
      <xdr:rowOff>0</xdr:rowOff>
    </xdr:to>
    <xdr:cxnSp macro="">
      <xdr:nvCxnSpPr>
        <xdr:cNvPr id="521" name="Straight Arrow Connector 520">
          <a:extLst>
            <a:ext uri="{FF2B5EF4-FFF2-40B4-BE49-F238E27FC236}">
              <a16:creationId xmlns:a16="http://schemas.microsoft.com/office/drawing/2014/main" id="{00000000-0008-0000-1200-00000902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718</xdr:row>
      <xdr:rowOff>1</xdr:rowOff>
    </xdr:from>
    <xdr:to>
      <xdr:col>6</xdr:col>
      <xdr:colOff>0</xdr:colOff>
      <xdr:row>752</xdr:row>
      <xdr:rowOff>116417</xdr:rowOff>
    </xdr:to>
    <xdr:cxnSp macro="">
      <xdr:nvCxnSpPr>
        <xdr:cNvPr id="522" name="Straight Arrow Connector 521">
          <a:extLst>
            <a:ext uri="{FF2B5EF4-FFF2-40B4-BE49-F238E27FC236}">
              <a16:creationId xmlns:a16="http://schemas.microsoft.com/office/drawing/2014/main" id="{00000000-0008-0000-1200-00000A020000}"/>
            </a:ext>
          </a:extLst>
        </xdr:cNvPr>
        <xdr:cNvCxnSpPr/>
      </xdr:nvCxnSpPr>
      <xdr:spPr>
        <a:xfrm flipV="1">
          <a:off x="3714750" y="51244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755</xdr:row>
      <xdr:rowOff>169334</xdr:rowOff>
    </xdr:from>
    <xdr:to>
      <xdr:col>5</xdr:col>
      <xdr:colOff>571500</xdr:colOff>
      <xdr:row>824</xdr:row>
      <xdr:rowOff>0</xdr:rowOff>
    </xdr:to>
    <xdr:cxnSp macro="">
      <xdr:nvCxnSpPr>
        <xdr:cNvPr id="523" name="Straight Arrow Connector 522">
          <a:extLst>
            <a:ext uri="{FF2B5EF4-FFF2-40B4-BE49-F238E27FC236}">
              <a16:creationId xmlns:a16="http://schemas.microsoft.com/office/drawing/2014/main" id="{00000000-0008-0000-1200-00000B020000}"/>
            </a:ext>
          </a:extLst>
        </xdr:cNvPr>
        <xdr:cNvCxnSpPr/>
      </xdr:nvCxnSpPr>
      <xdr:spPr>
        <a:xfrm>
          <a:off x="379941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693</xdr:row>
      <xdr:rowOff>148167</xdr:rowOff>
    </xdr:from>
    <xdr:to>
      <xdr:col>7</xdr:col>
      <xdr:colOff>603250</xdr:colOff>
      <xdr:row>715</xdr:row>
      <xdr:rowOff>31750</xdr:rowOff>
    </xdr:to>
    <xdr:cxnSp macro="">
      <xdr:nvCxnSpPr>
        <xdr:cNvPr id="524" name="Straight Arrow Connector 523">
          <a:extLst>
            <a:ext uri="{FF2B5EF4-FFF2-40B4-BE49-F238E27FC236}">
              <a16:creationId xmlns:a16="http://schemas.microsoft.com/office/drawing/2014/main" id="{00000000-0008-0000-1200-00000C020000}"/>
            </a:ext>
          </a:extLst>
        </xdr:cNvPr>
        <xdr:cNvCxnSpPr/>
      </xdr:nvCxnSpPr>
      <xdr:spPr>
        <a:xfrm flipV="1">
          <a:off x="517525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718</xdr:row>
      <xdr:rowOff>10584</xdr:rowOff>
    </xdr:from>
    <xdr:to>
      <xdr:col>8</xdr:col>
      <xdr:colOff>21167</xdr:colOff>
      <xdr:row>746</xdr:row>
      <xdr:rowOff>148166</xdr:rowOff>
    </xdr:to>
    <xdr:cxnSp macro="">
      <xdr:nvCxnSpPr>
        <xdr:cNvPr id="525" name="Straight Arrow Connector 524">
          <a:extLst>
            <a:ext uri="{FF2B5EF4-FFF2-40B4-BE49-F238E27FC236}">
              <a16:creationId xmlns:a16="http://schemas.microsoft.com/office/drawing/2014/main" id="{00000000-0008-0000-1200-00000D020000}"/>
            </a:ext>
          </a:extLst>
        </xdr:cNvPr>
        <xdr:cNvCxnSpPr/>
      </xdr:nvCxnSpPr>
      <xdr:spPr>
        <a:xfrm>
          <a:off x="5175250" y="51255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685</xdr:row>
      <xdr:rowOff>137583</xdr:rowOff>
    </xdr:from>
    <xdr:to>
      <xdr:col>9</xdr:col>
      <xdr:colOff>603250</xdr:colOff>
      <xdr:row>691</xdr:row>
      <xdr:rowOff>21166</xdr:rowOff>
    </xdr:to>
    <xdr:cxnSp macro="">
      <xdr:nvCxnSpPr>
        <xdr:cNvPr id="526" name="Straight Arrow Connector 525">
          <a:extLst>
            <a:ext uri="{FF2B5EF4-FFF2-40B4-BE49-F238E27FC236}">
              <a16:creationId xmlns:a16="http://schemas.microsoft.com/office/drawing/2014/main" id="{00000000-0008-0000-1200-00000E020000}"/>
            </a:ext>
          </a:extLst>
        </xdr:cNvPr>
        <xdr:cNvCxnSpPr/>
      </xdr:nvCxnSpPr>
      <xdr:spPr>
        <a:xfrm flipV="1">
          <a:off x="6381750"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694</xdr:row>
      <xdr:rowOff>0</xdr:rowOff>
    </xdr:from>
    <xdr:to>
      <xdr:col>9</xdr:col>
      <xdr:colOff>582083</xdr:colOff>
      <xdr:row>702</xdr:row>
      <xdr:rowOff>10583</xdr:rowOff>
    </xdr:to>
    <xdr:cxnSp macro="">
      <xdr:nvCxnSpPr>
        <xdr:cNvPr id="527" name="Straight Arrow Connector 526">
          <a:extLst>
            <a:ext uri="{FF2B5EF4-FFF2-40B4-BE49-F238E27FC236}">
              <a16:creationId xmlns:a16="http://schemas.microsoft.com/office/drawing/2014/main" id="{00000000-0008-0000-1200-00000F020000}"/>
            </a:ext>
          </a:extLst>
        </xdr:cNvPr>
        <xdr:cNvCxnSpPr/>
      </xdr:nvCxnSpPr>
      <xdr:spPr>
        <a:xfrm>
          <a:off x="6413500"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699</xdr:row>
      <xdr:rowOff>169333</xdr:rowOff>
    </xdr:from>
    <xdr:to>
      <xdr:col>11</xdr:col>
      <xdr:colOff>603250</xdr:colOff>
      <xdr:row>702</xdr:row>
      <xdr:rowOff>21167</xdr:rowOff>
    </xdr:to>
    <xdr:cxnSp macro="">
      <xdr:nvCxnSpPr>
        <xdr:cNvPr id="528" name="Straight Arrow Connector 527">
          <a:extLst>
            <a:ext uri="{FF2B5EF4-FFF2-40B4-BE49-F238E27FC236}">
              <a16:creationId xmlns:a16="http://schemas.microsoft.com/office/drawing/2014/main" id="{00000000-0008-0000-1200-000010020000}"/>
            </a:ext>
          </a:extLst>
        </xdr:cNvPr>
        <xdr:cNvCxnSpPr/>
      </xdr:nvCxnSpPr>
      <xdr:spPr>
        <a:xfrm flipV="1">
          <a:off x="7609417"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705</xdr:row>
      <xdr:rowOff>42333</xdr:rowOff>
    </xdr:from>
    <xdr:to>
      <xdr:col>11</xdr:col>
      <xdr:colOff>603250</xdr:colOff>
      <xdr:row>717</xdr:row>
      <xdr:rowOff>10583</xdr:rowOff>
    </xdr:to>
    <xdr:cxnSp macro="">
      <xdr:nvCxnSpPr>
        <xdr:cNvPr id="529" name="Straight Arrow Connector 528">
          <a:extLst>
            <a:ext uri="{FF2B5EF4-FFF2-40B4-BE49-F238E27FC236}">
              <a16:creationId xmlns:a16="http://schemas.microsoft.com/office/drawing/2014/main" id="{00000000-0008-0000-1200-000011020000}"/>
            </a:ext>
          </a:extLst>
        </xdr:cNvPr>
        <xdr:cNvCxnSpPr/>
      </xdr:nvCxnSpPr>
      <xdr:spPr>
        <a:xfrm>
          <a:off x="7598834"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695</xdr:row>
      <xdr:rowOff>21167</xdr:rowOff>
    </xdr:from>
    <xdr:to>
      <xdr:col>13</xdr:col>
      <xdr:colOff>592667</xdr:colOff>
      <xdr:row>697</xdr:row>
      <xdr:rowOff>0</xdr:rowOff>
    </xdr:to>
    <xdr:cxnSp macro="">
      <xdr:nvCxnSpPr>
        <xdr:cNvPr id="530" name="Straight Arrow Connector 529">
          <a:extLst>
            <a:ext uri="{FF2B5EF4-FFF2-40B4-BE49-F238E27FC236}">
              <a16:creationId xmlns:a16="http://schemas.microsoft.com/office/drawing/2014/main" id="{00000000-0008-0000-1200-000012020000}"/>
            </a:ext>
          </a:extLst>
        </xdr:cNvPr>
        <xdr:cNvCxnSpPr/>
      </xdr:nvCxnSpPr>
      <xdr:spPr>
        <a:xfrm flipV="1">
          <a:off x="8794750" y="46693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700</xdr:row>
      <xdr:rowOff>21166</xdr:rowOff>
    </xdr:from>
    <xdr:to>
      <xdr:col>13</xdr:col>
      <xdr:colOff>592667</xdr:colOff>
      <xdr:row>701</xdr:row>
      <xdr:rowOff>169334</xdr:rowOff>
    </xdr:to>
    <xdr:cxnSp macro="">
      <xdr:nvCxnSpPr>
        <xdr:cNvPr id="531" name="Straight Arrow Connector 530">
          <a:extLst>
            <a:ext uri="{FF2B5EF4-FFF2-40B4-BE49-F238E27FC236}">
              <a16:creationId xmlns:a16="http://schemas.microsoft.com/office/drawing/2014/main" id="{00000000-0008-0000-1200-000013020000}"/>
            </a:ext>
          </a:extLst>
        </xdr:cNvPr>
        <xdr:cNvCxnSpPr/>
      </xdr:nvCxnSpPr>
      <xdr:spPr>
        <a:xfrm>
          <a:off x="8784166" y="47646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715</xdr:row>
      <xdr:rowOff>21167</xdr:rowOff>
    </xdr:from>
    <xdr:to>
      <xdr:col>13</xdr:col>
      <xdr:colOff>592667</xdr:colOff>
      <xdr:row>717</xdr:row>
      <xdr:rowOff>63500</xdr:rowOff>
    </xdr:to>
    <xdr:cxnSp macro="">
      <xdr:nvCxnSpPr>
        <xdr:cNvPr id="532" name="Straight Arrow Connector 531">
          <a:extLst>
            <a:ext uri="{FF2B5EF4-FFF2-40B4-BE49-F238E27FC236}">
              <a16:creationId xmlns:a16="http://schemas.microsoft.com/office/drawing/2014/main" id="{00000000-0008-0000-1200-000014020000}"/>
            </a:ext>
          </a:extLst>
        </xdr:cNvPr>
        <xdr:cNvCxnSpPr/>
      </xdr:nvCxnSpPr>
      <xdr:spPr>
        <a:xfrm flipV="1">
          <a:off x="879475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720</xdr:row>
      <xdr:rowOff>0</xdr:rowOff>
    </xdr:from>
    <xdr:to>
      <xdr:col>14</xdr:col>
      <xdr:colOff>10584</xdr:colOff>
      <xdr:row>728</xdr:row>
      <xdr:rowOff>148167</xdr:rowOff>
    </xdr:to>
    <xdr:cxnSp macro="">
      <xdr:nvCxnSpPr>
        <xdr:cNvPr id="533" name="Straight Arrow Connector 532">
          <a:extLst>
            <a:ext uri="{FF2B5EF4-FFF2-40B4-BE49-F238E27FC236}">
              <a16:creationId xmlns:a16="http://schemas.microsoft.com/office/drawing/2014/main" id="{00000000-0008-0000-1200-000015020000}"/>
            </a:ext>
          </a:extLst>
        </xdr:cNvPr>
        <xdr:cNvCxnSpPr/>
      </xdr:nvCxnSpPr>
      <xdr:spPr>
        <a:xfrm>
          <a:off x="8805333" y="51625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687</xdr:row>
      <xdr:rowOff>0</xdr:rowOff>
    </xdr:from>
    <xdr:to>
      <xdr:col>15</xdr:col>
      <xdr:colOff>603250</xdr:colOff>
      <xdr:row>692</xdr:row>
      <xdr:rowOff>31750</xdr:rowOff>
    </xdr:to>
    <xdr:cxnSp macro="">
      <xdr:nvCxnSpPr>
        <xdr:cNvPr id="534" name="Straight Arrow Connector 533">
          <a:extLst>
            <a:ext uri="{FF2B5EF4-FFF2-40B4-BE49-F238E27FC236}">
              <a16:creationId xmlns:a16="http://schemas.microsoft.com/office/drawing/2014/main" id="{00000000-0008-0000-1200-000016020000}"/>
            </a:ext>
          </a:extLst>
        </xdr:cNvPr>
        <xdr:cNvCxnSpPr/>
      </xdr:nvCxnSpPr>
      <xdr:spPr>
        <a:xfrm flipV="1">
          <a:off x="10541000"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690</xdr:row>
      <xdr:rowOff>52917</xdr:rowOff>
    </xdr:from>
    <xdr:to>
      <xdr:col>15</xdr:col>
      <xdr:colOff>603250</xdr:colOff>
      <xdr:row>692</xdr:row>
      <xdr:rowOff>95250</xdr:rowOff>
    </xdr:to>
    <xdr:cxnSp macro="">
      <xdr:nvCxnSpPr>
        <xdr:cNvPr id="535" name="Straight Arrow Connector 534">
          <a:extLst>
            <a:ext uri="{FF2B5EF4-FFF2-40B4-BE49-F238E27FC236}">
              <a16:creationId xmlns:a16="http://schemas.microsoft.com/office/drawing/2014/main" id="{00000000-0008-0000-1200-000017020000}"/>
            </a:ext>
          </a:extLst>
        </xdr:cNvPr>
        <xdr:cNvCxnSpPr/>
      </xdr:nvCxnSpPr>
      <xdr:spPr>
        <a:xfrm flipV="1">
          <a:off x="10583333"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692</xdr:row>
      <xdr:rowOff>158750</xdr:rowOff>
    </xdr:from>
    <xdr:to>
      <xdr:col>15</xdr:col>
      <xdr:colOff>582083</xdr:colOff>
      <xdr:row>693</xdr:row>
      <xdr:rowOff>137583</xdr:rowOff>
    </xdr:to>
    <xdr:cxnSp macro="">
      <xdr:nvCxnSpPr>
        <xdr:cNvPr id="536" name="Straight Arrow Connector 535">
          <a:extLst>
            <a:ext uri="{FF2B5EF4-FFF2-40B4-BE49-F238E27FC236}">
              <a16:creationId xmlns:a16="http://schemas.microsoft.com/office/drawing/2014/main" id="{00000000-0008-0000-1200-000018020000}"/>
            </a:ext>
          </a:extLst>
        </xdr:cNvPr>
        <xdr:cNvCxnSpPr/>
      </xdr:nvCxnSpPr>
      <xdr:spPr>
        <a:xfrm>
          <a:off x="10604500"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692</xdr:row>
      <xdr:rowOff>105834</xdr:rowOff>
    </xdr:from>
    <xdr:to>
      <xdr:col>16</xdr:col>
      <xdr:colOff>0</xdr:colOff>
      <xdr:row>696</xdr:row>
      <xdr:rowOff>84667</xdr:rowOff>
    </xdr:to>
    <xdr:cxnSp macro="">
      <xdr:nvCxnSpPr>
        <xdr:cNvPr id="537" name="Straight Arrow Connector 536">
          <a:extLst>
            <a:ext uri="{FF2B5EF4-FFF2-40B4-BE49-F238E27FC236}">
              <a16:creationId xmlns:a16="http://schemas.microsoft.com/office/drawing/2014/main" id="{00000000-0008-0000-1200-000019020000}"/>
            </a:ext>
          </a:extLst>
        </xdr:cNvPr>
        <xdr:cNvCxnSpPr/>
      </xdr:nvCxnSpPr>
      <xdr:spPr>
        <a:xfrm>
          <a:off x="10519834" y="46206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700</xdr:row>
      <xdr:rowOff>52916</xdr:rowOff>
    </xdr:from>
    <xdr:to>
      <xdr:col>16</xdr:col>
      <xdr:colOff>0</xdr:colOff>
      <xdr:row>702</xdr:row>
      <xdr:rowOff>0</xdr:rowOff>
    </xdr:to>
    <xdr:cxnSp macro="">
      <xdr:nvCxnSpPr>
        <xdr:cNvPr id="538" name="Straight Arrow Connector 537">
          <a:extLst>
            <a:ext uri="{FF2B5EF4-FFF2-40B4-BE49-F238E27FC236}">
              <a16:creationId xmlns:a16="http://schemas.microsoft.com/office/drawing/2014/main" id="{00000000-0008-0000-1200-00001A020000}"/>
            </a:ext>
          </a:extLst>
        </xdr:cNvPr>
        <xdr:cNvCxnSpPr/>
      </xdr:nvCxnSpPr>
      <xdr:spPr>
        <a:xfrm flipV="1">
          <a:off x="10541000" y="47677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702</xdr:row>
      <xdr:rowOff>21167</xdr:rowOff>
    </xdr:from>
    <xdr:to>
      <xdr:col>15</xdr:col>
      <xdr:colOff>582083</xdr:colOff>
      <xdr:row>703</xdr:row>
      <xdr:rowOff>42333</xdr:rowOff>
    </xdr:to>
    <xdr:cxnSp macro="">
      <xdr:nvCxnSpPr>
        <xdr:cNvPr id="539" name="Straight Arrow Connector 538">
          <a:extLst>
            <a:ext uri="{FF2B5EF4-FFF2-40B4-BE49-F238E27FC236}">
              <a16:creationId xmlns:a16="http://schemas.microsoft.com/office/drawing/2014/main" id="{00000000-0008-0000-1200-00001B020000}"/>
            </a:ext>
          </a:extLst>
        </xdr:cNvPr>
        <xdr:cNvCxnSpPr/>
      </xdr:nvCxnSpPr>
      <xdr:spPr>
        <a:xfrm>
          <a:off x="10551583"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702</xdr:row>
      <xdr:rowOff>21167</xdr:rowOff>
    </xdr:from>
    <xdr:to>
      <xdr:col>16</xdr:col>
      <xdr:colOff>42333</xdr:colOff>
      <xdr:row>707</xdr:row>
      <xdr:rowOff>21168</xdr:rowOff>
    </xdr:to>
    <xdr:cxnSp macro="">
      <xdr:nvCxnSpPr>
        <xdr:cNvPr id="540" name="Straight Arrow Connector 539">
          <a:extLst>
            <a:ext uri="{FF2B5EF4-FFF2-40B4-BE49-F238E27FC236}">
              <a16:creationId xmlns:a16="http://schemas.microsoft.com/office/drawing/2014/main" id="{00000000-0008-0000-1200-00001C020000}"/>
            </a:ext>
          </a:extLst>
        </xdr:cNvPr>
        <xdr:cNvCxnSpPr/>
      </xdr:nvCxnSpPr>
      <xdr:spPr>
        <a:xfrm>
          <a:off x="10530417" y="48027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541" name="Straight Arrow Connector 540">
          <a:extLst>
            <a:ext uri="{FF2B5EF4-FFF2-40B4-BE49-F238E27FC236}">
              <a16:creationId xmlns:a16="http://schemas.microsoft.com/office/drawing/2014/main" id="{00000000-0008-0000-1200-00001D020000}"/>
            </a:ext>
          </a:extLst>
        </xdr:cNvPr>
        <xdr:cNvCxnSpPr/>
      </xdr:nvCxnSpPr>
      <xdr:spPr>
        <a:xfrm>
          <a:off x="10541000" y="48037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739</xdr:row>
      <xdr:rowOff>42333</xdr:rowOff>
    </xdr:from>
    <xdr:to>
      <xdr:col>9</xdr:col>
      <xdr:colOff>592666</xdr:colOff>
      <xdr:row>747</xdr:row>
      <xdr:rowOff>42333</xdr:rowOff>
    </xdr:to>
    <xdr:cxnSp macro="">
      <xdr:nvCxnSpPr>
        <xdr:cNvPr id="542" name="Straight Arrow Connector 541">
          <a:extLst>
            <a:ext uri="{FF2B5EF4-FFF2-40B4-BE49-F238E27FC236}">
              <a16:creationId xmlns:a16="http://schemas.microsoft.com/office/drawing/2014/main" id="{00000000-0008-0000-1200-00001E020000}"/>
            </a:ext>
          </a:extLst>
        </xdr:cNvPr>
        <xdr:cNvCxnSpPr/>
      </xdr:nvCxnSpPr>
      <xdr:spPr>
        <a:xfrm flipV="1">
          <a:off x="6392333"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749</xdr:row>
      <xdr:rowOff>169334</xdr:rowOff>
    </xdr:from>
    <xdr:to>
      <xdr:col>9</xdr:col>
      <xdr:colOff>603250</xdr:colOff>
      <xdr:row>758</xdr:row>
      <xdr:rowOff>31750</xdr:rowOff>
    </xdr:to>
    <xdr:cxnSp macro="">
      <xdr:nvCxnSpPr>
        <xdr:cNvPr id="543" name="Straight Arrow Connector 542">
          <a:extLst>
            <a:ext uri="{FF2B5EF4-FFF2-40B4-BE49-F238E27FC236}">
              <a16:creationId xmlns:a16="http://schemas.microsoft.com/office/drawing/2014/main" id="{00000000-0008-0000-1200-00001F020000}"/>
            </a:ext>
          </a:extLst>
        </xdr:cNvPr>
        <xdr:cNvCxnSpPr/>
      </xdr:nvCxnSpPr>
      <xdr:spPr>
        <a:xfrm>
          <a:off x="6413500"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755</xdr:row>
      <xdr:rowOff>158750</xdr:rowOff>
    </xdr:from>
    <xdr:to>
      <xdr:col>11</xdr:col>
      <xdr:colOff>571500</xdr:colOff>
      <xdr:row>758</xdr:row>
      <xdr:rowOff>0</xdr:rowOff>
    </xdr:to>
    <xdr:cxnSp macro="">
      <xdr:nvCxnSpPr>
        <xdr:cNvPr id="544" name="Straight Arrow Connector 543">
          <a:extLst>
            <a:ext uri="{FF2B5EF4-FFF2-40B4-BE49-F238E27FC236}">
              <a16:creationId xmlns:a16="http://schemas.microsoft.com/office/drawing/2014/main" id="{00000000-0008-0000-1200-000020020000}"/>
            </a:ext>
          </a:extLst>
        </xdr:cNvPr>
        <xdr:cNvCxnSpPr/>
      </xdr:nvCxnSpPr>
      <xdr:spPr>
        <a:xfrm flipV="1">
          <a:off x="7556500" y="58451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713</xdr:row>
      <xdr:rowOff>0</xdr:rowOff>
    </xdr:from>
    <xdr:to>
      <xdr:col>15</xdr:col>
      <xdr:colOff>603250</xdr:colOff>
      <xdr:row>715</xdr:row>
      <xdr:rowOff>1</xdr:rowOff>
    </xdr:to>
    <xdr:cxnSp macro="">
      <xdr:nvCxnSpPr>
        <xdr:cNvPr id="545" name="Straight Arrow Connector 544">
          <a:extLst>
            <a:ext uri="{FF2B5EF4-FFF2-40B4-BE49-F238E27FC236}">
              <a16:creationId xmlns:a16="http://schemas.microsoft.com/office/drawing/2014/main" id="{00000000-0008-0000-1200-000021020000}"/>
            </a:ext>
          </a:extLst>
        </xdr:cNvPr>
        <xdr:cNvCxnSpPr/>
      </xdr:nvCxnSpPr>
      <xdr:spPr>
        <a:xfrm flipV="1">
          <a:off x="10530417"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715</xdr:row>
      <xdr:rowOff>10584</xdr:rowOff>
    </xdr:from>
    <xdr:to>
      <xdr:col>15</xdr:col>
      <xdr:colOff>592666</xdr:colOff>
      <xdr:row>716</xdr:row>
      <xdr:rowOff>95250</xdr:rowOff>
    </xdr:to>
    <xdr:cxnSp macro="">
      <xdr:nvCxnSpPr>
        <xdr:cNvPr id="546" name="Straight Arrow Connector 545">
          <a:extLst>
            <a:ext uri="{FF2B5EF4-FFF2-40B4-BE49-F238E27FC236}">
              <a16:creationId xmlns:a16="http://schemas.microsoft.com/office/drawing/2014/main" id="{00000000-0008-0000-1200-000022020000}"/>
            </a:ext>
          </a:extLst>
        </xdr:cNvPr>
        <xdr:cNvCxnSpPr/>
      </xdr:nvCxnSpPr>
      <xdr:spPr>
        <a:xfrm>
          <a:off x="10572750"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715</xdr:row>
      <xdr:rowOff>10584</xdr:rowOff>
    </xdr:from>
    <xdr:to>
      <xdr:col>15</xdr:col>
      <xdr:colOff>560916</xdr:colOff>
      <xdr:row>719</xdr:row>
      <xdr:rowOff>52917</xdr:rowOff>
    </xdr:to>
    <xdr:cxnSp macro="">
      <xdr:nvCxnSpPr>
        <xdr:cNvPr id="547" name="Straight Arrow Connector 546">
          <a:extLst>
            <a:ext uri="{FF2B5EF4-FFF2-40B4-BE49-F238E27FC236}">
              <a16:creationId xmlns:a16="http://schemas.microsoft.com/office/drawing/2014/main" id="{00000000-0008-0000-1200-000023020000}"/>
            </a:ext>
          </a:extLst>
        </xdr:cNvPr>
        <xdr:cNvCxnSpPr/>
      </xdr:nvCxnSpPr>
      <xdr:spPr>
        <a:xfrm>
          <a:off x="10551583"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548" name="Straight Arrow Connector 547">
          <a:extLst>
            <a:ext uri="{FF2B5EF4-FFF2-40B4-BE49-F238E27FC236}">
              <a16:creationId xmlns:a16="http://schemas.microsoft.com/office/drawing/2014/main" id="{00000000-0008-0000-1200-000024020000}"/>
            </a:ext>
          </a:extLst>
        </xdr:cNvPr>
        <xdr:cNvCxnSpPr/>
      </xdr:nvCxnSpPr>
      <xdr:spPr>
        <a:xfrm>
          <a:off x="10583333" y="50704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729</xdr:row>
      <xdr:rowOff>0</xdr:rowOff>
    </xdr:from>
    <xdr:to>
      <xdr:col>16</xdr:col>
      <xdr:colOff>0</xdr:colOff>
      <xdr:row>729</xdr:row>
      <xdr:rowOff>42334</xdr:rowOff>
    </xdr:to>
    <xdr:cxnSp macro="">
      <xdr:nvCxnSpPr>
        <xdr:cNvPr id="549" name="Straight Arrow Connector 548">
          <a:extLst>
            <a:ext uri="{FF2B5EF4-FFF2-40B4-BE49-F238E27FC236}">
              <a16:creationId xmlns:a16="http://schemas.microsoft.com/office/drawing/2014/main" id="{00000000-0008-0000-1200-000025020000}"/>
            </a:ext>
          </a:extLst>
        </xdr:cNvPr>
        <xdr:cNvCxnSpPr/>
      </xdr:nvCxnSpPr>
      <xdr:spPr>
        <a:xfrm>
          <a:off x="10562166" y="53340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729</xdr:row>
      <xdr:rowOff>21166</xdr:rowOff>
    </xdr:from>
    <xdr:to>
      <xdr:col>15</xdr:col>
      <xdr:colOff>560916</xdr:colOff>
      <xdr:row>732</xdr:row>
      <xdr:rowOff>84667</xdr:rowOff>
    </xdr:to>
    <xdr:cxnSp macro="">
      <xdr:nvCxnSpPr>
        <xdr:cNvPr id="550" name="Straight Arrow Connector 549">
          <a:extLst>
            <a:ext uri="{FF2B5EF4-FFF2-40B4-BE49-F238E27FC236}">
              <a16:creationId xmlns:a16="http://schemas.microsoft.com/office/drawing/2014/main" id="{00000000-0008-0000-1200-000026020000}"/>
            </a:ext>
          </a:extLst>
        </xdr:cNvPr>
        <xdr:cNvCxnSpPr/>
      </xdr:nvCxnSpPr>
      <xdr:spPr>
        <a:xfrm>
          <a:off x="10615083"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729</xdr:row>
      <xdr:rowOff>52916</xdr:rowOff>
    </xdr:from>
    <xdr:to>
      <xdr:col>15</xdr:col>
      <xdr:colOff>592666</xdr:colOff>
      <xdr:row>735</xdr:row>
      <xdr:rowOff>63501</xdr:rowOff>
    </xdr:to>
    <xdr:cxnSp macro="">
      <xdr:nvCxnSpPr>
        <xdr:cNvPr id="551" name="Straight Arrow Connector 550">
          <a:extLst>
            <a:ext uri="{FF2B5EF4-FFF2-40B4-BE49-F238E27FC236}">
              <a16:creationId xmlns:a16="http://schemas.microsoft.com/office/drawing/2014/main" id="{00000000-0008-0000-1200-000027020000}"/>
            </a:ext>
          </a:extLst>
        </xdr:cNvPr>
        <xdr:cNvCxnSpPr/>
      </xdr:nvCxnSpPr>
      <xdr:spPr>
        <a:xfrm>
          <a:off x="10572750"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743</xdr:row>
      <xdr:rowOff>116416</xdr:rowOff>
    </xdr:from>
    <xdr:to>
      <xdr:col>15</xdr:col>
      <xdr:colOff>592666</xdr:colOff>
      <xdr:row>746</xdr:row>
      <xdr:rowOff>158750</xdr:rowOff>
    </xdr:to>
    <xdr:cxnSp macro="">
      <xdr:nvCxnSpPr>
        <xdr:cNvPr id="552" name="Straight Arrow Connector 551">
          <a:extLst>
            <a:ext uri="{FF2B5EF4-FFF2-40B4-BE49-F238E27FC236}">
              <a16:creationId xmlns:a16="http://schemas.microsoft.com/office/drawing/2014/main" id="{00000000-0008-0000-1200-000028020000}"/>
            </a:ext>
          </a:extLst>
        </xdr:cNvPr>
        <xdr:cNvCxnSpPr/>
      </xdr:nvCxnSpPr>
      <xdr:spPr>
        <a:xfrm flipV="1">
          <a:off x="10562166"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745</xdr:row>
      <xdr:rowOff>95250</xdr:rowOff>
    </xdr:from>
    <xdr:to>
      <xdr:col>15</xdr:col>
      <xdr:colOff>582083</xdr:colOff>
      <xdr:row>747</xdr:row>
      <xdr:rowOff>52917</xdr:rowOff>
    </xdr:to>
    <xdr:cxnSp macro="">
      <xdr:nvCxnSpPr>
        <xdr:cNvPr id="553" name="Straight Arrow Connector 552">
          <a:extLst>
            <a:ext uri="{FF2B5EF4-FFF2-40B4-BE49-F238E27FC236}">
              <a16:creationId xmlns:a16="http://schemas.microsoft.com/office/drawing/2014/main" id="{00000000-0008-0000-1200-000029020000}"/>
            </a:ext>
          </a:extLst>
        </xdr:cNvPr>
        <xdr:cNvCxnSpPr/>
      </xdr:nvCxnSpPr>
      <xdr:spPr>
        <a:xfrm flipV="1">
          <a:off x="10604500"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747</xdr:row>
      <xdr:rowOff>116417</xdr:rowOff>
    </xdr:from>
    <xdr:to>
      <xdr:col>15</xdr:col>
      <xdr:colOff>592666</xdr:colOff>
      <xdr:row>751</xdr:row>
      <xdr:rowOff>95250</xdr:rowOff>
    </xdr:to>
    <xdr:cxnSp macro="">
      <xdr:nvCxnSpPr>
        <xdr:cNvPr id="554" name="Straight Arrow Connector 553">
          <a:extLst>
            <a:ext uri="{FF2B5EF4-FFF2-40B4-BE49-F238E27FC236}">
              <a16:creationId xmlns:a16="http://schemas.microsoft.com/office/drawing/2014/main" id="{00000000-0008-0000-1200-00002A020000}"/>
            </a:ext>
          </a:extLst>
        </xdr:cNvPr>
        <xdr:cNvCxnSpPr/>
      </xdr:nvCxnSpPr>
      <xdr:spPr>
        <a:xfrm>
          <a:off x="10593916"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758</xdr:row>
      <xdr:rowOff>116416</xdr:rowOff>
    </xdr:from>
    <xdr:to>
      <xdr:col>16</xdr:col>
      <xdr:colOff>0</xdr:colOff>
      <xdr:row>765</xdr:row>
      <xdr:rowOff>74084</xdr:rowOff>
    </xdr:to>
    <xdr:cxnSp macro="">
      <xdr:nvCxnSpPr>
        <xdr:cNvPr id="555" name="Straight Arrow Connector 554">
          <a:extLst>
            <a:ext uri="{FF2B5EF4-FFF2-40B4-BE49-F238E27FC236}">
              <a16:creationId xmlns:a16="http://schemas.microsoft.com/office/drawing/2014/main" id="{00000000-0008-0000-1200-00002B020000}"/>
            </a:ext>
          </a:extLst>
        </xdr:cNvPr>
        <xdr:cNvCxnSpPr/>
      </xdr:nvCxnSpPr>
      <xdr:spPr>
        <a:xfrm>
          <a:off x="10572750" y="58980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726</xdr:row>
      <xdr:rowOff>52917</xdr:rowOff>
    </xdr:from>
    <xdr:to>
      <xdr:col>15</xdr:col>
      <xdr:colOff>603250</xdr:colOff>
      <xdr:row>728</xdr:row>
      <xdr:rowOff>148167</xdr:rowOff>
    </xdr:to>
    <xdr:cxnSp macro="">
      <xdr:nvCxnSpPr>
        <xdr:cNvPr id="556" name="Straight Arrow Connector 555">
          <a:extLst>
            <a:ext uri="{FF2B5EF4-FFF2-40B4-BE49-F238E27FC236}">
              <a16:creationId xmlns:a16="http://schemas.microsoft.com/office/drawing/2014/main" id="{00000000-0008-0000-1200-00002C020000}"/>
            </a:ext>
          </a:extLst>
        </xdr:cNvPr>
        <xdr:cNvCxnSpPr/>
      </xdr:nvCxnSpPr>
      <xdr:spPr>
        <a:xfrm flipV="1">
          <a:off x="10583333"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761</xdr:row>
      <xdr:rowOff>42333</xdr:rowOff>
    </xdr:from>
    <xdr:to>
      <xdr:col>11</xdr:col>
      <xdr:colOff>603250</xdr:colOff>
      <xdr:row>773</xdr:row>
      <xdr:rowOff>10583</xdr:rowOff>
    </xdr:to>
    <xdr:cxnSp macro="">
      <xdr:nvCxnSpPr>
        <xdr:cNvPr id="557" name="Straight Arrow Connector 556">
          <a:extLst>
            <a:ext uri="{FF2B5EF4-FFF2-40B4-BE49-F238E27FC236}">
              <a16:creationId xmlns:a16="http://schemas.microsoft.com/office/drawing/2014/main" id="{00000000-0008-0000-1200-00002D020000}"/>
            </a:ext>
          </a:extLst>
        </xdr:cNvPr>
        <xdr:cNvCxnSpPr/>
      </xdr:nvCxnSpPr>
      <xdr:spPr>
        <a:xfrm>
          <a:off x="7598834"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751</xdr:row>
      <xdr:rowOff>21167</xdr:rowOff>
    </xdr:from>
    <xdr:to>
      <xdr:col>13</xdr:col>
      <xdr:colOff>592667</xdr:colOff>
      <xdr:row>753</xdr:row>
      <xdr:rowOff>0</xdr:rowOff>
    </xdr:to>
    <xdr:cxnSp macro="">
      <xdr:nvCxnSpPr>
        <xdr:cNvPr id="558" name="Straight Arrow Connector 557">
          <a:extLst>
            <a:ext uri="{FF2B5EF4-FFF2-40B4-BE49-F238E27FC236}">
              <a16:creationId xmlns:a16="http://schemas.microsoft.com/office/drawing/2014/main" id="{00000000-0008-0000-1200-00002E020000}"/>
            </a:ext>
          </a:extLst>
        </xdr:cNvPr>
        <xdr:cNvCxnSpPr/>
      </xdr:nvCxnSpPr>
      <xdr:spPr>
        <a:xfrm flipV="1">
          <a:off x="8794750" y="57552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756</xdr:row>
      <xdr:rowOff>21166</xdr:rowOff>
    </xdr:from>
    <xdr:to>
      <xdr:col>13</xdr:col>
      <xdr:colOff>592667</xdr:colOff>
      <xdr:row>757</xdr:row>
      <xdr:rowOff>169334</xdr:rowOff>
    </xdr:to>
    <xdr:cxnSp macro="">
      <xdr:nvCxnSpPr>
        <xdr:cNvPr id="559" name="Straight Arrow Connector 558">
          <a:extLst>
            <a:ext uri="{FF2B5EF4-FFF2-40B4-BE49-F238E27FC236}">
              <a16:creationId xmlns:a16="http://schemas.microsoft.com/office/drawing/2014/main" id="{00000000-0008-0000-1200-00002F020000}"/>
            </a:ext>
          </a:extLst>
        </xdr:cNvPr>
        <xdr:cNvCxnSpPr/>
      </xdr:nvCxnSpPr>
      <xdr:spPr>
        <a:xfrm>
          <a:off x="8784166" y="58504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771</xdr:row>
      <xdr:rowOff>21167</xdr:rowOff>
    </xdr:from>
    <xdr:to>
      <xdr:col>13</xdr:col>
      <xdr:colOff>592667</xdr:colOff>
      <xdr:row>773</xdr:row>
      <xdr:rowOff>63500</xdr:rowOff>
    </xdr:to>
    <xdr:cxnSp macro="">
      <xdr:nvCxnSpPr>
        <xdr:cNvPr id="560" name="Straight Arrow Connector 559">
          <a:extLst>
            <a:ext uri="{FF2B5EF4-FFF2-40B4-BE49-F238E27FC236}">
              <a16:creationId xmlns:a16="http://schemas.microsoft.com/office/drawing/2014/main" id="{00000000-0008-0000-1200-000030020000}"/>
            </a:ext>
          </a:extLst>
        </xdr:cNvPr>
        <xdr:cNvCxnSpPr/>
      </xdr:nvCxnSpPr>
      <xdr:spPr>
        <a:xfrm flipV="1">
          <a:off x="879475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776</xdr:row>
      <xdr:rowOff>0</xdr:rowOff>
    </xdr:from>
    <xdr:to>
      <xdr:col>14</xdr:col>
      <xdr:colOff>10584</xdr:colOff>
      <xdr:row>784</xdr:row>
      <xdr:rowOff>148167</xdr:rowOff>
    </xdr:to>
    <xdr:cxnSp macro="">
      <xdr:nvCxnSpPr>
        <xdr:cNvPr id="561" name="Straight Arrow Connector 560">
          <a:extLst>
            <a:ext uri="{FF2B5EF4-FFF2-40B4-BE49-F238E27FC236}">
              <a16:creationId xmlns:a16="http://schemas.microsoft.com/office/drawing/2014/main" id="{00000000-0008-0000-1200-000031020000}"/>
            </a:ext>
          </a:extLst>
        </xdr:cNvPr>
        <xdr:cNvCxnSpPr/>
      </xdr:nvCxnSpPr>
      <xdr:spPr>
        <a:xfrm>
          <a:off x="8805333" y="62484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747</xdr:row>
      <xdr:rowOff>95250</xdr:rowOff>
    </xdr:from>
    <xdr:to>
      <xdr:col>15</xdr:col>
      <xdr:colOff>582083</xdr:colOff>
      <xdr:row>749</xdr:row>
      <xdr:rowOff>137583</xdr:rowOff>
    </xdr:to>
    <xdr:cxnSp macro="">
      <xdr:nvCxnSpPr>
        <xdr:cNvPr id="562" name="Straight Arrow Connector 561">
          <a:extLst>
            <a:ext uri="{FF2B5EF4-FFF2-40B4-BE49-F238E27FC236}">
              <a16:creationId xmlns:a16="http://schemas.microsoft.com/office/drawing/2014/main" id="{00000000-0008-0000-1200-000032020000}"/>
            </a:ext>
          </a:extLst>
        </xdr:cNvPr>
        <xdr:cNvCxnSpPr/>
      </xdr:nvCxnSpPr>
      <xdr:spPr>
        <a:xfrm>
          <a:off x="10593916"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756</xdr:row>
      <xdr:rowOff>52916</xdr:rowOff>
    </xdr:from>
    <xdr:to>
      <xdr:col>16</xdr:col>
      <xdr:colOff>0</xdr:colOff>
      <xdr:row>758</xdr:row>
      <xdr:rowOff>0</xdr:rowOff>
    </xdr:to>
    <xdr:cxnSp macro="">
      <xdr:nvCxnSpPr>
        <xdr:cNvPr id="563" name="Straight Arrow Connector 562">
          <a:extLst>
            <a:ext uri="{FF2B5EF4-FFF2-40B4-BE49-F238E27FC236}">
              <a16:creationId xmlns:a16="http://schemas.microsoft.com/office/drawing/2014/main" id="{00000000-0008-0000-1200-000033020000}"/>
            </a:ext>
          </a:extLst>
        </xdr:cNvPr>
        <xdr:cNvCxnSpPr/>
      </xdr:nvCxnSpPr>
      <xdr:spPr>
        <a:xfrm flipV="1">
          <a:off x="10541000" y="58536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758</xdr:row>
      <xdr:rowOff>21167</xdr:rowOff>
    </xdr:from>
    <xdr:to>
      <xdr:col>15</xdr:col>
      <xdr:colOff>592666</xdr:colOff>
      <xdr:row>759</xdr:row>
      <xdr:rowOff>84667</xdr:rowOff>
    </xdr:to>
    <xdr:cxnSp macro="">
      <xdr:nvCxnSpPr>
        <xdr:cNvPr id="564" name="Straight Arrow Connector 563">
          <a:extLst>
            <a:ext uri="{FF2B5EF4-FFF2-40B4-BE49-F238E27FC236}">
              <a16:creationId xmlns:a16="http://schemas.microsoft.com/office/drawing/2014/main" id="{00000000-0008-0000-1200-000034020000}"/>
            </a:ext>
          </a:extLst>
        </xdr:cNvPr>
        <xdr:cNvCxnSpPr/>
      </xdr:nvCxnSpPr>
      <xdr:spPr>
        <a:xfrm>
          <a:off x="10530417"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758</xdr:row>
      <xdr:rowOff>0</xdr:rowOff>
    </xdr:from>
    <xdr:to>
      <xdr:col>16</xdr:col>
      <xdr:colOff>0</xdr:colOff>
      <xdr:row>762</xdr:row>
      <xdr:rowOff>42334</xdr:rowOff>
    </xdr:to>
    <xdr:cxnSp macro="">
      <xdr:nvCxnSpPr>
        <xdr:cNvPr id="565" name="Straight Arrow Connector 564">
          <a:extLst>
            <a:ext uri="{FF2B5EF4-FFF2-40B4-BE49-F238E27FC236}">
              <a16:creationId xmlns:a16="http://schemas.microsoft.com/office/drawing/2014/main" id="{00000000-0008-0000-1200-000035020000}"/>
            </a:ext>
          </a:extLst>
        </xdr:cNvPr>
        <xdr:cNvCxnSpPr/>
      </xdr:nvCxnSpPr>
      <xdr:spPr>
        <a:xfrm>
          <a:off x="10530417" y="58864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769</xdr:row>
      <xdr:rowOff>0</xdr:rowOff>
    </xdr:from>
    <xdr:to>
      <xdr:col>15</xdr:col>
      <xdr:colOff>603250</xdr:colOff>
      <xdr:row>771</xdr:row>
      <xdr:rowOff>1</xdr:rowOff>
    </xdr:to>
    <xdr:cxnSp macro="">
      <xdr:nvCxnSpPr>
        <xdr:cNvPr id="566" name="Straight Arrow Connector 565">
          <a:extLst>
            <a:ext uri="{FF2B5EF4-FFF2-40B4-BE49-F238E27FC236}">
              <a16:creationId xmlns:a16="http://schemas.microsoft.com/office/drawing/2014/main" id="{00000000-0008-0000-1200-000036020000}"/>
            </a:ext>
          </a:extLst>
        </xdr:cNvPr>
        <xdr:cNvCxnSpPr/>
      </xdr:nvCxnSpPr>
      <xdr:spPr>
        <a:xfrm flipV="1">
          <a:off x="10530417"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771</xdr:row>
      <xdr:rowOff>10584</xdr:rowOff>
    </xdr:from>
    <xdr:to>
      <xdr:col>15</xdr:col>
      <xdr:colOff>592666</xdr:colOff>
      <xdr:row>772</xdr:row>
      <xdr:rowOff>95250</xdr:rowOff>
    </xdr:to>
    <xdr:cxnSp macro="">
      <xdr:nvCxnSpPr>
        <xdr:cNvPr id="567" name="Straight Arrow Connector 566">
          <a:extLst>
            <a:ext uri="{FF2B5EF4-FFF2-40B4-BE49-F238E27FC236}">
              <a16:creationId xmlns:a16="http://schemas.microsoft.com/office/drawing/2014/main" id="{00000000-0008-0000-1200-000037020000}"/>
            </a:ext>
          </a:extLst>
        </xdr:cNvPr>
        <xdr:cNvCxnSpPr/>
      </xdr:nvCxnSpPr>
      <xdr:spPr>
        <a:xfrm>
          <a:off x="10572750"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771</xdr:row>
      <xdr:rowOff>10584</xdr:rowOff>
    </xdr:from>
    <xdr:to>
      <xdr:col>15</xdr:col>
      <xdr:colOff>560916</xdr:colOff>
      <xdr:row>775</xdr:row>
      <xdr:rowOff>52917</xdr:rowOff>
    </xdr:to>
    <xdr:cxnSp macro="">
      <xdr:nvCxnSpPr>
        <xdr:cNvPr id="568" name="Straight Arrow Connector 567">
          <a:extLst>
            <a:ext uri="{FF2B5EF4-FFF2-40B4-BE49-F238E27FC236}">
              <a16:creationId xmlns:a16="http://schemas.microsoft.com/office/drawing/2014/main" id="{00000000-0008-0000-1200-000038020000}"/>
            </a:ext>
          </a:extLst>
        </xdr:cNvPr>
        <xdr:cNvCxnSpPr/>
      </xdr:nvCxnSpPr>
      <xdr:spPr>
        <a:xfrm>
          <a:off x="10551583"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569" name="Straight Arrow Connector 568">
          <a:extLst>
            <a:ext uri="{FF2B5EF4-FFF2-40B4-BE49-F238E27FC236}">
              <a16:creationId xmlns:a16="http://schemas.microsoft.com/office/drawing/2014/main" id="{00000000-0008-0000-1200-000039020000}"/>
            </a:ext>
          </a:extLst>
        </xdr:cNvPr>
        <xdr:cNvCxnSpPr/>
      </xdr:nvCxnSpPr>
      <xdr:spPr>
        <a:xfrm>
          <a:off x="10583333" y="61563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785</xdr:row>
      <xdr:rowOff>0</xdr:rowOff>
    </xdr:from>
    <xdr:to>
      <xdr:col>16</xdr:col>
      <xdr:colOff>0</xdr:colOff>
      <xdr:row>785</xdr:row>
      <xdr:rowOff>42334</xdr:rowOff>
    </xdr:to>
    <xdr:cxnSp macro="">
      <xdr:nvCxnSpPr>
        <xdr:cNvPr id="570" name="Straight Arrow Connector 569">
          <a:extLst>
            <a:ext uri="{FF2B5EF4-FFF2-40B4-BE49-F238E27FC236}">
              <a16:creationId xmlns:a16="http://schemas.microsoft.com/office/drawing/2014/main" id="{00000000-0008-0000-1200-00003A020000}"/>
            </a:ext>
          </a:extLst>
        </xdr:cNvPr>
        <xdr:cNvCxnSpPr/>
      </xdr:nvCxnSpPr>
      <xdr:spPr>
        <a:xfrm>
          <a:off x="10562166" y="64198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785</xdr:row>
      <xdr:rowOff>21166</xdr:rowOff>
    </xdr:from>
    <xdr:to>
      <xdr:col>15</xdr:col>
      <xdr:colOff>560916</xdr:colOff>
      <xdr:row>788</xdr:row>
      <xdr:rowOff>84667</xdr:rowOff>
    </xdr:to>
    <xdr:cxnSp macro="">
      <xdr:nvCxnSpPr>
        <xdr:cNvPr id="571" name="Straight Arrow Connector 570">
          <a:extLst>
            <a:ext uri="{FF2B5EF4-FFF2-40B4-BE49-F238E27FC236}">
              <a16:creationId xmlns:a16="http://schemas.microsoft.com/office/drawing/2014/main" id="{00000000-0008-0000-1200-00003B020000}"/>
            </a:ext>
          </a:extLst>
        </xdr:cNvPr>
        <xdr:cNvCxnSpPr/>
      </xdr:nvCxnSpPr>
      <xdr:spPr>
        <a:xfrm>
          <a:off x="10615083"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785</xdr:row>
      <xdr:rowOff>52916</xdr:rowOff>
    </xdr:from>
    <xdr:to>
      <xdr:col>15</xdr:col>
      <xdr:colOff>592666</xdr:colOff>
      <xdr:row>791</xdr:row>
      <xdr:rowOff>63501</xdr:rowOff>
    </xdr:to>
    <xdr:cxnSp macro="">
      <xdr:nvCxnSpPr>
        <xdr:cNvPr id="572" name="Straight Arrow Connector 571">
          <a:extLst>
            <a:ext uri="{FF2B5EF4-FFF2-40B4-BE49-F238E27FC236}">
              <a16:creationId xmlns:a16="http://schemas.microsoft.com/office/drawing/2014/main" id="{00000000-0008-0000-1200-00003C020000}"/>
            </a:ext>
          </a:extLst>
        </xdr:cNvPr>
        <xdr:cNvCxnSpPr/>
      </xdr:nvCxnSpPr>
      <xdr:spPr>
        <a:xfrm>
          <a:off x="10572750"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782</xdr:row>
      <xdr:rowOff>52917</xdr:rowOff>
    </xdr:from>
    <xdr:to>
      <xdr:col>15</xdr:col>
      <xdr:colOff>603250</xdr:colOff>
      <xdr:row>784</xdr:row>
      <xdr:rowOff>148167</xdr:rowOff>
    </xdr:to>
    <xdr:cxnSp macro="">
      <xdr:nvCxnSpPr>
        <xdr:cNvPr id="573" name="Straight Arrow Connector 572">
          <a:extLst>
            <a:ext uri="{FF2B5EF4-FFF2-40B4-BE49-F238E27FC236}">
              <a16:creationId xmlns:a16="http://schemas.microsoft.com/office/drawing/2014/main" id="{00000000-0008-0000-1200-00003D020000}"/>
            </a:ext>
          </a:extLst>
        </xdr:cNvPr>
        <xdr:cNvCxnSpPr/>
      </xdr:nvCxnSpPr>
      <xdr:spPr>
        <a:xfrm flipV="1">
          <a:off x="10583333"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826</xdr:row>
      <xdr:rowOff>95250</xdr:rowOff>
    </xdr:from>
    <xdr:to>
      <xdr:col>8</xdr:col>
      <xdr:colOff>21167</xdr:colOff>
      <xdr:row>858</xdr:row>
      <xdr:rowOff>148166</xdr:rowOff>
    </xdr:to>
    <xdr:cxnSp macro="">
      <xdr:nvCxnSpPr>
        <xdr:cNvPr id="574" name="Straight Arrow Connector 573">
          <a:extLst>
            <a:ext uri="{FF2B5EF4-FFF2-40B4-BE49-F238E27FC236}">
              <a16:creationId xmlns:a16="http://schemas.microsoft.com/office/drawing/2014/main" id="{00000000-0008-0000-1200-00003E020000}"/>
            </a:ext>
          </a:extLst>
        </xdr:cNvPr>
        <xdr:cNvCxnSpPr/>
      </xdr:nvCxnSpPr>
      <xdr:spPr>
        <a:xfrm>
          <a:off x="5080000" y="72294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797</xdr:row>
      <xdr:rowOff>137583</xdr:rowOff>
    </xdr:from>
    <xdr:to>
      <xdr:col>9</xdr:col>
      <xdr:colOff>603250</xdr:colOff>
      <xdr:row>803</xdr:row>
      <xdr:rowOff>21166</xdr:rowOff>
    </xdr:to>
    <xdr:cxnSp macro="">
      <xdr:nvCxnSpPr>
        <xdr:cNvPr id="575" name="Straight Arrow Connector 574">
          <a:extLst>
            <a:ext uri="{FF2B5EF4-FFF2-40B4-BE49-F238E27FC236}">
              <a16:creationId xmlns:a16="http://schemas.microsoft.com/office/drawing/2014/main" id="{00000000-0008-0000-1200-00003F020000}"/>
            </a:ext>
          </a:extLst>
        </xdr:cNvPr>
        <xdr:cNvCxnSpPr/>
      </xdr:nvCxnSpPr>
      <xdr:spPr>
        <a:xfrm flipV="1">
          <a:off x="6381750"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806</xdr:row>
      <xdr:rowOff>0</xdr:rowOff>
    </xdr:from>
    <xdr:to>
      <xdr:col>9</xdr:col>
      <xdr:colOff>582083</xdr:colOff>
      <xdr:row>814</xdr:row>
      <xdr:rowOff>10583</xdr:rowOff>
    </xdr:to>
    <xdr:cxnSp macro="">
      <xdr:nvCxnSpPr>
        <xdr:cNvPr id="576" name="Straight Arrow Connector 575">
          <a:extLst>
            <a:ext uri="{FF2B5EF4-FFF2-40B4-BE49-F238E27FC236}">
              <a16:creationId xmlns:a16="http://schemas.microsoft.com/office/drawing/2014/main" id="{00000000-0008-0000-1200-000040020000}"/>
            </a:ext>
          </a:extLst>
        </xdr:cNvPr>
        <xdr:cNvCxnSpPr/>
      </xdr:nvCxnSpPr>
      <xdr:spPr>
        <a:xfrm>
          <a:off x="6413500"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811</xdr:row>
      <xdr:rowOff>169333</xdr:rowOff>
    </xdr:from>
    <xdr:to>
      <xdr:col>11</xdr:col>
      <xdr:colOff>603250</xdr:colOff>
      <xdr:row>814</xdr:row>
      <xdr:rowOff>21167</xdr:rowOff>
    </xdr:to>
    <xdr:cxnSp macro="">
      <xdr:nvCxnSpPr>
        <xdr:cNvPr id="577" name="Straight Arrow Connector 576">
          <a:extLst>
            <a:ext uri="{FF2B5EF4-FFF2-40B4-BE49-F238E27FC236}">
              <a16:creationId xmlns:a16="http://schemas.microsoft.com/office/drawing/2014/main" id="{00000000-0008-0000-1200-000041020000}"/>
            </a:ext>
          </a:extLst>
        </xdr:cNvPr>
        <xdr:cNvCxnSpPr/>
      </xdr:nvCxnSpPr>
      <xdr:spPr>
        <a:xfrm flipV="1">
          <a:off x="7609417"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817</xdr:row>
      <xdr:rowOff>42333</xdr:rowOff>
    </xdr:from>
    <xdr:to>
      <xdr:col>11</xdr:col>
      <xdr:colOff>603250</xdr:colOff>
      <xdr:row>829</xdr:row>
      <xdr:rowOff>10583</xdr:rowOff>
    </xdr:to>
    <xdr:cxnSp macro="">
      <xdr:nvCxnSpPr>
        <xdr:cNvPr id="578" name="Straight Arrow Connector 577">
          <a:extLst>
            <a:ext uri="{FF2B5EF4-FFF2-40B4-BE49-F238E27FC236}">
              <a16:creationId xmlns:a16="http://schemas.microsoft.com/office/drawing/2014/main" id="{00000000-0008-0000-1200-000042020000}"/>
            </a:ext>
          </a:extLst>
        </xdr:cNvPr>
        <xdr:cNvCxnSpPr/>
      </xdr:nvCxnSpPr>
      <xdr:spPr>
        <a:xfrm>
          <a:off x="7598834"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807</xdr:row>
      <xdr:rowOff>21167</xdr:rowOff>
    </xdr:from>
    <xdr:to>
      <xdr:col>13</xdr:col>
      <xdr:colOff>592667</xdr:colOff>
      <xdr:row>809</xdr:row>
      <xdr:rowOff>0</xdr:rowOff>
    </xdr:to>
    <xdr:cxnSp macro="">
      <xdr:nvCxnSpPr>
        <xdr:cNvPr id="579" name="Straight Arrow Connector 578">
          <a:extLst>
            <a:ext uri="{FF2B5EF4-FFF2-40B4-BE49-F238E27FC236}">
              <a16:creationId xmlns:a16="http://schemas.microsoft.com/office/drawing/2014/main" id="{00000000-0008-0000-1200-000043020000}"/>
            </a:ext>
          </a:extLst>
        </xdr:cNvPr>
        <xdr:cNvCxnSpPr/>
      </xdr:nvCxnSpPr>
      <xdr:spPr>
        <a:xfrm flipV="1">
          <a:off x="8794750" y="68410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812</xdr:row>
      <xdr:rowOff>21166</xdr:rowOff>
    </xdr:from>
    <xdr:to>
      <xdr:col>13</xdr:col>
      <xdr:colOff>592667</xdr:colOff>
      <xdr:row>813</xdr:row>
      <xdr:rowOff>169334</xdr:rowOff>
    </xdr:to>
    <xdr:cxnSp macro="">
      <xdr:nvCxnSpPr>
        <xdr:cNvPr id="580" name="Straight Arrow Connector 579">
          <a:extLst>
            <a:ext uri="{FF2B5EF4-FFF2-40B4-BE49-F238E27FC236}">
              <a16:creationId xmlns:a16="http://schemas.microsoft.com/office/drawing/2014/main" id="{00000000-0008-0000-1200-000044020000}"/>
            </a:ext>
          </a:extLst>
        </xdr:cNvPr>
        <xdr:cNvCxnSpPr/>
      </xdr:nvCxnSpPr>
      <xdr:spPr>
        <a:xfrm>
          <a:off x="8784166" y="69363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827</xdr:row>
      <xdr:rowOff>21167</xdr:rowOff>
    </xdr:from>
    <xdr:to>
      <xdr:col>13</xdr:col>
      <xdr:colOff>592667</xdr:colOff>
      <xdr:row>829</xdr:row>
      <xdr:rowOff>63500</xdr:rowOff>
    </xdr:to>
    <xdr:cxnSp macro="">
      <xdr:nvCxnSpPr>
        <xdr:cNvPr id="581" name="Straight Arrow Connector 580">
          <a:extLst>
            <a:ext uri="{FF2B5EF4-FFF2-40B4-BE49-F238E27FC236}">
              <a16:creationId xmlns:a16="http://schemas.microsoft.com/office/drawing/2014/main" id="{00000000-0008-0000-1200-000045020000}"/>
            </a:ext>
          </a:extLst>
        </xdr:cNvPr>
        <xdr:cNvCxnSpPr/>
      </xdr:nvCxnSpPr>
      <xdr:spPr>
        <a:xfrm flipV="1">
          <a:off x="879475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832</xdr:row>
      <xdr:rowOff>0</xdr:rowOff>
    </xdr:from>
    <xdr:to>
      <xdr:col>14</xdr:col>
      <xdr:colOff>10584</xdr:colOff>
      <xdr:row>840</xdr:row>
      <xdr:rowOff>148167</xdr:rowOff>
    </xdr:to>
    <xdr:cxnSp macro="">
      <xdr:nvCxnSpPr>
        <xdr:cNvPr id="582" name="Straight Arrow Connector 581">
          <a:extLst>
            <a:ext uri="{FF2B5EF4-FFF2-40B4-BE49-F238E27FC236}">
              <a16:creationId xmlns:a16="http://schemas.microsoft.com/office/drawing/2014/main" id="{00000000-0008-0000-1200-000046020000}"/>
            </a:ext>
          </a:extLst>
        </xdr:cNvPr>
        <xdr:cNvCxnSpPr/>
      </xdr:nvCxnSpPr>
      <xdr:spPr>
        <a:xfrm>
          <a:off x="8805333" y="73342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799</xdr:row>
      <xdr:rowOff>0</xdr:rowOff>
    </xdr:from>
    <xdr:to>
      <xdr:col>15</xdr:col>
      <xdr:colOff>603250</xdr:colOff>
      <xdr:row>804</xdr:row>
      <xdr:rowOff>31750</xdr:rowOff>
    </xdr:to>
    <xdr:cxnSp macro="">
      <xdr:nvCxnSpPr>
        <xdr:cNvPr id="583" name="Straight Arrow Connector 582">
          <a:extLst>
            <a:ext uri="{FF2B5EF4-FFF2-40B4-BE49-F238E27FC236}">
              <a16:creationId xmlns:a16="http://schemas.microsoft.com/office/drawing/2014/main" id="{00000000-0008-0000-1200-000047020000}"/>
            </a:ext>
          </a:extLst>
        </xdr:cNvPr>
        <xdr:cNvCxnSpPr/>
      </xdr:nvCxnSpPr>
      <xdr:spPr>
        <a:xfrm flipV="1">
          <a:off x="10541000"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802</xdr:row>
      <xdr:rowOff>52917</xdr:rowOff>
    </xdr:from>
    <xdr:to>
      <xdr:col>15</xdr:col>
      <xdr:colOff>603250</xdr:colOff>
      <xdr:row>804</xdr:row>
      <xdr:rowOff>95250</xdr:rowOff>
    </xdr:to>
    <xdr:cxnSp macro="">
      <xdr:nvCxnSpPr>
        <xdr:cNvPr id="584" name="Straight Arrow Connector 583">
          <a:extLst>
            <a:ext uri="{FF2B5EF4-FFF2-40B4-BE49-F238E27FC236}">
              <a16:creationId xmlns:a16="http://schemas.microsoft.com/office/drawing/2014/main" id="{00000000-0008-0000-1200-000048020000}"/>
            </a:ext>
          </a:extLst>
        </xdr:cNvPr>
        <xdr:cNvCxnSpPr/>
      </xdr:nvCxnSpPr>
      <xdr:spPr>
        <a:xfrm flipV="1">
          <a:off x="10583333"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804</xdr:row>
      <xdr:rowOff>158750</xdr:rowOff>
    </xdr:from>
    <xdr:to>
      <xdr:col>15</xdr:col>
      <xdr:colOff>582083</xdr:colOff>
      <xdr:row>805</xdr:row>
      <xdr:rowOff>137583</xdr:rowOff>
    </xdr:to>
    <xdr:cxnSp macro="">
      <xdr:nvCxnSpPr>
        <xdr:cNvPr id="585" name="Straight Arrow Connector 584">
          <a:extLst>
            <a:ext uri="{FF2B5EF4-FFF2-40B4-BE49-F238E27FC236}">
              <a16:creationId xmlns:a16="http://schemas.microsoft.com/office/drawing/2014/main" id="{00000000-0008-0000-1200-000049020000}"/>
            </a:ext>
          </a:extLst>
        </xdr:cNvPr>
        <xdr:cNvCxnSpPr/>
      </xdr:nvCxnSpPr>
      <xdr:spPr>
        <a:xfrm>
          <a:off x="10604500"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804</xdr:row>
      <xdr:rowOff>105834</xdr:rowOff>
    </xdr:from>
    <xdr:to>
      <xdr:col>16</xdr:col>
      <xdr:colOff>0</xdr:colOff>
      <xdr:row>808</xdr:row>
      <xdr:rowOff>84667</xdr:rowOff>
    </xdr:to>
    <xdr:cxnSp macro="">
      <xdr:nvCxnSpPr>
        <xdr:cNvPr id="586" name="Straight Arrow Connector 585">
          <a:extLst>
            <a:ext uri="{FF2B5EF4-FFF2-40B4-BE49-F238E27FC236}">
              <a16:creationId xmlns:a16="http://schemas.microsoft.com/office/drawing/2014/main" id="{00000000-0008-0000-1200-00004A020000}"/>
            </a:ext>
          </a:extLst>
        </xdr:cNvPr>
        <xdr:cNvCxnSpPr/>
      </xdr:nvCxnSpPr>
      <xdr:spPr>
        <a:xfrm>
          <a:off x="10519834" y="67923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812</xdr:row>
      <xdr:rowOff>52916</xdr:rowOff>
    </xdr:from>
    <xdr:to>
      <xdr:col>16</xdr:col>
      <xdr:colOff>0</xdr:colOff>
      <xdr:row>814</xdr:row>
      <xdr:rowOff>0</xdr:rowOff>
    </xdr:to>
    <xdr:cxnSp macro="">
      <xdr:nvCxnSpPr>
        <xdr:cNvPr id="587" name="Straight Arrow Connector 586">
          <a:extLst>
            <a:ext uri="{FF2B5EF4-FFF2-40B4-BE49-F238E27FC236}">
              <a16:creationId xmlns:a16="http://schemas.microsoft.com/office/drawing/2014/main" id="{00000000-0008-0000-1200-00004B020000}"/>
            </a:ext>
          </a:extLst>
        </xdr:cNvPr>
        <xdr:cNvCxnSpPr/>
      </xdr:nvCxnSpPr>
      <xdr:spPr>
        <a:xfrm flipV="1">
          <a:off x="10541000" y="69394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814</xdr:row>
      <xdr:rowOff>21167</xdr:rowOff>
    </xdr:from>
    <xdr:to>
      <xdr:col>15</xdr:col>
      <xdr:colOff>582083</xdr:colOff>
      <xdr:row>815</xdr:row>
      <xdr:rowOff>42333</xdr:rowOff>
    </xdr:to>
    <xdr:cxnSp macro="">
      <xdr:nvCxnSpPr>
        <xdr:cNvPr id="588" name="Straight Arrow Connector 587">
          <a:extLst>
            <a:ext uri="{FF2B5EF4-FFF2-40B4-BE49-F238E27FC236}">
              <a16:creationId xmlns:a16="http://schemas.microsoft.com/office/drawing/2014/main" id="{00000000-0008-0000-1200-00004C020000}"/>
            </a:ext>
          </a:extLst>
        </xdr:cNvPr>
        <xdr:cNvCxnSpPr/>
      </xdr:nvCxnSpPr>
      <xdr:spPr>
        <a:xfrm>
          <a:off x="10551583"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814</xdr:row>
      <xdr:rowOff>21167</xdr:rowOff>
    </xdr:from>
    <xdr:to>
      <xdr:col>16</xdr:col>
      <xdr:colOff>42333</xdr:colOff>
      <xdr:row>819</xdr:row>
      <xdr:rowOff>21168</xdr:rowOff>
    </xdr:to>
    <xdr:cxnSp macro="">
      <xdr:nvCxnSpPr>
        <xdr:cNvPr id="589" name="Straight Arrow Connector 588">
          <a:extLst>
            <a:ext uri="{FF2B5EF4-FFF2-40B4-BE49-F238E27FC236}">
              <a16:creationId xmlns:a16="http://schemas.microsoft.com/office/drawing/2014/main" id="{00000000-0008-0000-1200-00004D020000}"/>
            </a:ext>
          </a:extLst>
        </xdr:cNvPr>
        <xdr:cNvCxnSpPr/>
      </xdr:nvCxnSpPr>
      <xdr:spPr>
        <a:xfrm>
          <a:off x="10530417" y="69744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590" name="Straight Arrow Connector 589">
          <a:extLst>
            <a:ext uri="{FF2B5EF4-FFF2-40B4-BE49-F238E27FC236}">
              <a16:creationId xmlns:a16="http://schemas.microsoft.com/office/drawing/2014/main" id="{00000000-0008-0000-1200-00004E020000}"/>
            </a:ext>
          </a:extLst>
        </xdr:cNvPr>
        <xdr:cNvCxnSpPr/>
      </xdr:nvCxnSpPr>
      <xdr:spPr>
        <a:xfrm>
          <a:off x="10541000" y="69754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851</xdr:row>
      <xdr:rowOff>42333</xdr:rowOff>
    </xdr:from>
    <xdr:to>
      <xdr:col>9</xdr:col>
      <xdr:colOff>592666</xdr:colOff>
      <xdr:row>859</xdr:row>
      <xdr:rowOff>42333</xdr:rowOff>
    </xdr:to>
    <xdr:cxnSp macro="">
      <xdr:nvCxnSpPr>
        <xdr:cNvPr id="591" name="Straight Arrow Connector 590">
          <a:extLst>
            <a:ext uri="{FF2B5EF4-FFF2-40B4-BE49-F238E27FC236}">
              <a16:creationId xmlns:a16="http://schemas.microsoft.com/office/drawing/2014/main" id="{00000000-0008-0000-1200-00004F020000}"/>
            </a:ext>
          </a:extLst>
        </xdr:cNvPr>
        <xdr:cNvCxnSpPr/>
      </xdr:nvCxnSpPr>
      <xdr:spPr>
        <a:xfrm flipV="1">
          <a:off x="6392333"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861</xdr:row>
      <xdr:rowOff>169334</xdr:rowOff>
    </xdr:from>
    <xdr:to>
      <xdr:col>9</xdr:col>
      <xdr:colOff>603250</xdr:colOff>
      <xdr:row>870</xdr:row>
      <xdr:rowOff>31750</xdr:rowOff>
    </xdr:to>
    <xdr:cxnSp macro="">
      <xdr:nvCxnSpPr>
        <xdr:cNvPr id="592" name="Straight Arrow Connector 591">
          <a:extLst>
            <a:ext uri="{FF2B5EF4-FFF2-40B4-BE49-F238E27FC236}">
              <a16:creationId xmlns:a16="http://schemas.microsoft.com/office/drawing/2014/main" id="{00000000-0008-0000-1200-000050020000}"/>
            </a:ext>
          </a:extLst>
        </xdr:cNvPr>
        <xdr:cNvCxnSpPr/>
      </xdr:nvCxnSpPr>
      <xdr:spPr>
        <a:xfrm>
          <a:off x="6413500"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867</xdr:row>
      <xdr:rowOff>158750</xdr:rowOff>
    </xdr:from>
    <xdr:to>
      <xdr:col>11</xdr:col>
      <xdr:colOff>571500</xdr:colOff>
      <xdr:row>870</xdr:row>
      <xdr:rowOff>0</xdr:rowOff>
    </xdr:to>
    <xdr:cxnSp macro="">
      <xdr:nvCxnSpPr>
        <xdr:cNvPr id="593" name="Straight Arrow Connector 592">
          <a:extLst>
            <a:ext uri="{FF2B5EF4-FFF2-40B4-BE49-F238E27FC236}">
              <a16:creationId xmlns:a16="http://schemas.microsoft.com/office/drawing/2014/main" id="{00000000-0008-0000-1200-000051020000}"/>
            </a:ext>
          </a:extLst>
        </xdr:cNvPr>
        <xdr:cNvCxnSpPr/>
      </xdr:nvCxnSpPr>
      <xdr:spPr>
        <a:xfrm flipV="1">
          <a:off x="7556500" y="80168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825</xdr:row>
      <xdr:rowOff>0</xdr:rowOff>
    </xdr:from>
    <xdr:to>
      <xdr:col>15</xdr:col>
      <xdr:colOff>603250</xdr:colOff>
      <xdr:row>827</xdr:row>
      <xdr:rowOff>1</xdr:rowOff>
    </xdr:to>
    <xdr:cxnSp macro="">
      <xdr:nvCxnSpPr>
        <xdr:cNvPr id="594" name="Straight Arrow Connector 593">
          <a:extLst>
            <a:ext uri="{FF2B5EF4-FFF2-40B4-BE49-F238E27FC236}">
              <a16:creationId xmlns:a16="http://schemas.microsoft.com/office/drawing/2014/main" id="{00000000-0008-0000-1200-000052020000}"/>
            </a:ext>
          </a:extLst>
        </xdr:cNvPr>
        <xdr:cNvCxnSpPr/>
      </xdr:nvCxnSpPr>
      <xdr:spPr>
        <a:xfrm flipV="1">
          <a:off x="10530417"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827</xdr:row>
      <xdr:rowOff>10584</xdr:rowOff>
    </xdr:from>
    <xdr:to>
      <xdr:col>15</xdr:col>
      <xdr:colOff>592666</xdr:colOff>
      <xdr:row>828</xdr:row>
      <xdr:rowOff>95250</xdr:rowOff>
    </xdr:to>
    <xdr:cxnSp macro="">
      <xdr:nvCxnSpPr>
        <xdr:cNvPr id="595" name="Straight Arrow Connector 594">
          <a:extLst>
            <a:ext uri="{FF2B5EF4-FFF2-40B4-BE49-F238E27FC236}">
              <a16:creationId xmlns:a16="http://schemas.microsoft.com/office/drawing/2014/main" id="{00000000-0008-0000-1200-000053020000}"/>
            </a:ext>
          </a:extLst>
        </xdr:cNvPr>
        <xdr:cNvCxnSpPr/>
      </xdr:nvCxnSpPr>
      <xdr:spPr>
        <a:xfrm>
          <a:off x="10572750"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827</xdr:row>
      <xdr:rowOff>10584</xdr:rowOff>
    </xdr:from>
    <xdr:to>
      <xdr:col>15</xdr:col>
      <xdr:colOff>560916</xdr:colOff>
      <xdr:row>831</xdr:row>
      <xdr:rowOff>52917</xdr:rowOff>
    </xdr:to>
    <xdr:cxnSp macro="">
      <xdr:nvCxnSpPr>
        <xdr:cNvPr id="596" name="Straight Arrow Connector 595">
          <a:extLst>
            <a:ext uri="{FF2B5EF4-FFF2-40B4-BE49-F238E27FC236}">
              <a16:creationId xmlns:a16="http://schemas.microsoft.com/office/drawing/2014/main" id="{00000000-0008-0000-1200-000054020000}"/>
            </a:ext>
          </a:extLst>
        </xdr:cNvPr>
        <xdr:cNvCxnSpPr/>
      </xdr:nvCxnSpPr>
      <xdr:spPr>
        <a:xfrm>
          <a:off x="10551583"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827</xdr:row>
      <xdr:rowOff>31750</xdr:rowOff>
    </xdr:from>
    <xdr:to>
      <xdr:col>16</xdr:col>
      <xdr:colOff>21167</xdr:colOff>
      <xdr:row>834</xdr:row>
      <xdr:rowOff>95250</xdr:rowOff>
    </xdr:to>
    <xdr:cxnSp macro="">
      <xdr:nvCxnSpPr>
        <xdr:cNvPr id="597" name="Straight Arrow Connector 596">
          <a:extLst>
            <a:ext uri="{FF2B5EF4-FFF2-40B4-BE49-F238E27FC236}">
              <a16:creationId xmlns:a16="http://schemas.microsoft.com/office/drawing/2014/main" id="{00000000-0008-0000-1200-000055020000}"/>
            </a:ext>
          </a:extLst>
        </xdr:cNvPr>
        <xdr:cNvCxnSpPr/>
      </xdr:nvCxnSpPr>
      <xdr:spPr>
        <a:xfrm>
          <a:off x="10583333" y="72421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841</xdr:row>
      <xdr:rowOff>0</xdr:rowOff>
    </xdr:from>
    <xdr:to>
      <xdr:col>16</xdr:col>
      <xdr:colOff>0</xdr:colOff>
      <xdr:row>841</xdr:row>
      <xdr:rowOff>42334</xdr:rowOff>
    </xdr:to>
    <xdr:cxnSp macro="">
      <xdr:nvCxnSpPr>
        <xdr:cNvPr id="598" name="Straight Arrow Connector 597">
          <a:extLst>
            <a:ext uri="{FF2B5EF4-FFF2-40B4-BE49-F238E27FC236}">
              <a16:creationId xmlns:a16="http://schemas.microsoft.com/office/drawing/2014/main" id="{00000000-0008-0000-1200-000056020000}"/>
            </a:ext>
          </a:extLst>
        </xdr:cNvPr>
        <xdr:cNvCxnSpPr/>
      </xdr:nvCxnSpPr>
      <xdr:spPr>
        <a:xfrm>
          <a:off x="10562166" y="75057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841</xdr:row>
      <xdr:rowOff>21166</xdr:rowOff>
    </xdr:from>
    <xdr:to>
      <xdr:col>15</xdr:col>
      <xdr:colOff>560916</xdr:colOff>
      <xdr:row>844</xdr:row>
      <xdr:rowOff>84667</xdr:rowOff>
    </xdr:to>
    <xdr:cxnSp macro="">
      <xdr:nvCxnSpPr>
        <xdr:cNvPr id="599" name="Straight Arrow Connector 598">
          <a:extLst>
            <a:ext uri="{FF2B5EF4-FFF2-40B4-BE49-F238E27FC236}">
              <a16:creationId xmlns:a16="http://schemas.microsoft.com/office/drawing/2014/main" id="{00000000-0008-0000-1200-000057020000}"/>
            </a:ext>
          </a:extLst>
        </xdr:cNvPr>
        <xdr:cNvCxnSpPr/>
      </xdr:nvCxnSpPr>
      <xdr:spPr>
        <a:xfrm>
          <a:off x="10615083"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841</xdr:row>
      <xdr:rowOff>52916</xdr:rowOff>
    </xdr:from>
    <xdr:to>
      <xdr:col>15</xdr:col>
      <xdr:colOff>592666</xdr:colOff>
      <xdr:row>847</xdr:row>
      <xdr:rowOff>63501</xdr:rowOff>
    </xdr:to>
    <xdr:cxnSp macro="">
      <xdr:nvCxnSpPr>
        <xdr:cNvPr id="600" name="Straight Arrow Connector 599">
          <a:extLst>
            <a:ext uri="{FF2B5EF4-FFF2-40B4-BE49-F238E27FC236}">
              <a16:creationId xmlns:a16="http://schemas.microsoft.com/office/drawing/2014/main" id="{00000000-0008-0000-1200-000058020000}"/>
            </a:ext>
          </a:extLst>
        </xdr:cNvPr>
        <xdr:cNvCxnSpPr/>
      </xdr:nvCxnSpPr>
      <xdr:spPr>
        <a:xfrm>
          <a:off x="10572750"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855</xdr:row>
      <xdr:rowOff>116416</xdr:rowOff>
    </xdr:from>
    <xdr:to>
      <xdr:col>15</xdr:col>
      <xdr:colOff>592666</xdr:colOff>
      <xdr:row>858</xdr:row>
      <xdr:rowOff>158750</xdr:rowOff>
    </xdr:to>
    <xdr:cxnSp macro="">
      <xdr:nvCxnSpPr>
        <xdr:cNvPr id="601" name="Straight Arrow Connector 600">
          <a:extLst>
            <a:ext uri="{FF2B5EF4-FFF2-40B4-BE49-F238E27FC236}">
              <a16:creationId xmlns:a16="http://schemas.microsoft.com/office/drawing/2014/main" id="{00000000-0008-0000-1200-000059020000}"/>
            </a:ext>
          </a:extLst>
        </xdr:cNvPr>
        <xdr:cNvCxnSpPr/>
      </xdr:nvCxnSpPr>
      <xdr:spPr>
        <a:xfrm flipV="1">
          <a:off x="10562166"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857</xdr:row>
      <xdr:rowOff>95250</xdr:rowOff>
    </xdr:from>
    <xdr:to>
      <xdr:col>15</xdr:col>
      <xdr:colOff>582083</xdr:colOff>
      <xdr:row>859</xdr:row>
      <xdr:rowOff>52917</xdr:rowOff>
    </xdr:to>
    <xdr:cxnSp macro="">
      <xdr:nvCxnSpPr>
        <xdr:cNvPr id="602" name="Straight Arrow Connector 601">
          <a:extLst>
            <a:ext uri="{FF2B5EF4-FFF2-40B4-BE49-F238E27FC236}">
              <a16:creationId xmlns:a16="http://schemas.microsoft.com/office/drawing/2014/main" id="{00000000-0008-0000-1200-00005A020000}"/>
            </a:ext>
          </a:extLst>
        </xdr:cNvPr>
        <xdr:cNvCxnSpPr/>
      </xdr:nvCxnSpPr>
      <xdr:spPr>
        <a:xfrm flipV="1">
          <a:off x="10604500"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116417</xdr:rowOff>
    </xdr:from>
    <xdr:to>
      <xdr:col>15</xdr:col>
      <xdr:colOff>592666</xdr:colOff>
      <xdr:row>863</xdr:row>
      <xdr:rowOff>95250</xdr:rowOff>
    </xdr:to>
    <xdr:cxnSp macro="">
      <xdr:nvCxnSpPr>
        <xdr:cNvPr id="603" name="Straight Arrow Connector 602">
          <a:extLst>
            <a:ext uri="{FF2B5EF4-FFF2-40B4-BE49-F238E27FC236}">
              <a16:creationId xmlns:a16="http://schemas.microsoft.com/office/drawing/2014/main" id="{00000000-0008-0000-1200-00005B020000}"/>
            </a:ext>
          </a:extLst>
        </xdr:cNvPr>
        <xdr:cNvCxnSpPr/>
      </xdr:nvCxnSpPr>
      <xdr:spPr>
        <a:xfrm>
          <a:off x="10593916"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870</xdr:row>
      <xdr:rowOff>116416</xdr:rowOff>
    </xdr:from>
    <xdr:to>
      <xdr:col>16</xdr:col>
      <xdr:colOff>0</xdr:colOff>
      <xdr:row>877</xdr:row>
      <xdr:rowOff>74084</xdr:rowOff>
    </xdr:to>
    <xdr:cxnSp macro="">
      <xdr:nvCxnSpPr>
        <xdr:cNvPr id="604" name="Straight Arrow Connector 603">
          <a:extLst>
            <a:ext uri="{FF2B5EF4-FFF2-40B4-BE49-F238E27FC236}">
              <a16:creationId xmlns:a16="http://schemas.microsoft.com/office/drawing/2014/main" id="{00000000-0008-0000-1200-00005C020000}"/>
            </a:ext>
          </a:extLst>
        </xdr:cNvPr>
        <xdr:cNvCxnSpPr/>
      </xdr:nvCxnSpPr>
      <xdr:spPr>
        <a:xfrm>
          <a:off x="10572750" y="80697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838</xdr:row>
      <xdr:rowOff>52917</xdr:rowOff>
    </xdr:from>
    <xdr:to>
      <xdr:col>15</xdr:col>
      <xdr:colOff>603250</xdr:colOff>
      <xdr:row>840</xdr:row>
      <xdr:rowOff>148167</xdr:rowOff>
    </xdr:to>
    <xdr:cxnSp macro="">
      <xdr:nvCxnSpPr>
        <xdr:cNvPr id="605" name="Straight Arrow Connector 604">
          <a:extLst>
            <a:ext uri="{FF2B5EF4-FFF2-40B4-BE49-F238E27FC236}">
              <a16:creationId xmlns:a16="http://schemas.microsoft.com/office/drawing/2014/main" id="{00000000-0008-0000-1200-00005D020000}"/>
            </a:ext>
          </a:extLst>
        </xdr:cNvPr>
        <xdr:cNvCxnSpPr/>
      </xdr:nvCxnSpPr>
      <xdr:spPr>
        <a:xfrm flipV="1">
          <a:off x="10583333"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873</xdr:row>
      <xdr:rowOff>42333</xdr:rowOff>
    </xdr:from>
    <xdr:to>
      <xdr:col>11</xdr:col>
      <xdr:colOff>603250</xdr:colOff>
      <xdr:row>885</xdr:row>
      <xdr:rowOff>10583</xdr:rowOff>
    </xdr:to>
    <xdr:cxnSp macro="">
      <xdr:nvCxnSpPr>
        <xdr:cNvPr id="606" name="Straight Arrow Connector 605">
          <a:extLst>
            <a:ext uri="{FF2B5EF4-FFF2-40B4-BE49-F238E27FC236}">
              <a16:creationId xmlns:a16="http://schemas.microsoft.com/office/drawing/2014/main" id="{00000000-0008-0000-1200-00005E020000}"/>
            </a:ext>
          </a:extLst>
        </xdr:cNvPr>
        <xdr:cNvCxnSpPr/>
      </xdr:nvCxnSpPr>
      <xdr:spPr>
        <a:xfrm>
          <a:off x="7598834"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863</xdr:row>
      <xdr:rowOff>21167</xdr:rowOff>
    </xdr:from>
    <xdr:to>
      <xdr:col>13</xdr:col>
      <xdr:colOff>592667</xdr:colOff>
      <xdr:row>865</xdr:row>
      <xdr:rowOff>0</xdr:rowOff>
    </xdr:to>
    <xdr:cxnSp macro="">
      <xdr:nvCxnSpPr>
        <xdr:cNvPr id="607" name="Straight Arrow Connector 606">
          <a:extLst>
            <a:ext uri="{FF2B5EF4-FFF2-40B4-BE49-F238E27FC236}">
              <a16:creationId xmlns:a16="http://schemas.microsoft.com/office/drawing/2014/main" id="{00000000-0008-0000-1200-00005F020000}"/>
            </a:ext>
          </a:extLst>
        </xdr:cNvPr>
        <xdr:cNvCxnSpPr/>
      </xdr:nvCxnSpPr>
      <xdr:spPr>
        <a:xfrm flipV="1">
          <a:off x="8794750" y="7926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868</xdr:row>
      <xdr:rowOff>21166</xdr:rowOff>
    </xdr:from>
    <xdr:to>
      <xdr:col>13</xdr:col>
      <xdr:colOff>592667</xdr:colOff>
      <xdr:row>869</xdr:row>
      <xdr:rowOff>169334</xdr:rowOff>
    </xdr:to>
    <xdr:cxnSp macro="">
      <xdr:nvCxnSpPr>
        <xdr:cNvPr id="608" name="Straight Arrow Connector 607">
          <a:extLst>
            <a:ext uri="{FF2B5EF4-FFF2-40B4-BE49-F238E27FC236}">
              <a16:creationId xmlns:a16="http://schemas.microsoft.com/office/drawing/2014/main" id="{00000000-0008-0000-1200-000060020000}"/>
            </a:ext>
          </a:extLst>
        </xdr:cNvPr>
        <xdr:cNvCxnSpPr/>
      </xdr:nvCxnSpPr>
      <xdr:spPr>
        <a:xfrm>
          <a:off x="8784166" y="8022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883</xdr:row>
      <xdr:rowOff>21167</xdr:rowOff>
    </xdr:from>
    <xdr:to>
      <xdr:col>13</xdr:col>
      <xdr:colOff>592667</xdr:colOff>
      <xdr:row>885</xdr:row>
      <xdr:rowOff>63500</xdr:rowOff>
    </xdr:to>
    <xdr:cxnSp macro="">
      <xdr:nvCxnSpPr>
        <xdr:cNvPr id="609" name="Straight Arrow Connector 608">
          <a:extLst>
            <a:ext uri="{FF2B5EF4-FFF2-40B4-BE49-F238E27FC236}">
              <a16:creationId xmlns:a16="http://schemas.microsoft.com/office/drawing/2014/main" id="{00000000-0008-0000-1200-000061020000}"/>
            </a:ext>
          </a:extLst>
        </xdr:cNvPr>
        <xdr:cNvCxnSpPr/>
      </xdr:nvCxnSpPr>
      <xdr:spPr>
        <a:xfrm flipV="1">
          <a:off x="879475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888</xdr:row>
      <xdr:rowOff>0</xdr:rowOff>
    </xdr:from>
    <xdr:to>
      <xdr:col>14</xdr:col>
      <xdr:colOff>10584</xdr:colOff>
      <xdr:row>896</xdr:row>
      <xdr:rowOff>148167</xdr:rowOff>
    </xdr:to>
    <xdr:cxnSp macro="">
      <xdr:nvCxnSpPr>
        <xdr:cNvPr id="610" name="Straight Arrow Connector 609">
          <a:extLst>
            <a:ext uri="{FF2B5EF4-FFF2-40B4-BE49-F238E27FC236}">
              <a16:creationId xmlns:a16="http://schemas.microsoft.com/office/drawing/2014/main" id="{00000000-0008-0000-1200-000062020000}"/>
            </a:ext>
          </a:extLst>
        </xdr:cNvPr>
        <xdr:cNvCxnSpPr/>
      </xdr:nvCxnSpPr>
      <xdr:spPr>
        <a:xfrm>
          <a:off x="8805333" y="8420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95250</xdr:rowOff>
    </xdr:from>
    <xdr:to>
      <xdr:col>15</xdr:col>
      <xdr:colOff>582083</xdr:colOff>
      <xdr:row>861</xdr:row>
      <xdr:rowOff>137583</xdr:rowOff>
    </xdr:to>
    <xdr:cxnSp macro="">
      <xdr:nvCxnSpPr>
        <xdr:cNvPr id="611" name="Straight Arrow Connector 610">
          <a:extLst>
            <a:ext uri="{FF2B5EF4-FFF2-40B4-BE49-F238E27FC236}">
              <a16:creationId xmlns:a16="http://schemas.microsoft.com/office/drawing/2014/main" id="{00000000-0008-0000-1200-000063020000}"/>
            </a:ext>
          </a:extLst>
        </xdr:cNvPr>
        <xdr:cNvCxnSpPr/>
      </xdr:nvCxnSpPr>
      <xdr:spPr>
        <a:xfrm>
          <a:off x="10593916"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868</xdr:row>
      <xdr:rowOff>52916</xdr:rowOff>
    </xdr:from>
    <xdr:to>
      <xdr:col>16</xdr:col>
      <xdr:colOff>0</xdr:colOff>
      <xdr:row>870</xdr:row>
      <xdr:rowOff>0</xdr:rowOff>
    </xdr:to>
    <xdr:cxnSp macro="">
      <xdr:nvCxnSpPr>
        <xdr:cNvPr id="612" name="Straight Arrow Connector 611">
          <a:extLst>
            <a:ext uri="{FF2B5EF4-FFF2-40B4-BE49-F238E27FC236}">
              <a16:creationId xmlns:a16="http://schemas.microsoft.com/office/drawing/2014/main" id="{00000000-0008-0000-1200-000064020000}"/>
            </a:ext>
          </a:extLst>
        </xdr:cNvPr>
        <xdr:cNvCxnSpPr/>
      </xdr:nvCxnSpPr>
      <xdr:spPr>
        <a:xfrm flipV="1">
          <a:off x="10541000" y="8025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21167</xdr:rowOff>
    </xdr:from>
    <xdr:to>
      <xdr:col>15</xdr:col>
      <xdr:colOff>592666</xdr:colOff>
      <xdr:row>871</xdr:row>
      <xdr:rowOff>84667</xdr:rowOff>
    </xdr:to>
    <xdr:cxnSp macro="">
      <xdr:nvCxnSpPr>
        <xdr:cNvPr id="613" name="Straight Arrow Connector 612">
          <a:extLst>
            <a:ext uri="{FF2B5EF4-FFF2-40B4-BE49-F238E27FC236}">
              <a16:creationId xmlns:a16="http://schemas.microsoft.com/office/drawing/2014/main" id="{00000000-0008-0000-1200-000065020000}"/>
            </a:ext>
          </a:extLst>
        </xdr:cNvPr>
        <xdr:cNvCxnSpPr/>
      </xdr:nvCxnSpPr>
      <xdr:spPr>
        <a:xfrm>
          <a:off x="10530417"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0</xdr:rowOff>
    </xdr:from>
    <xdr:to>
      <xdr:col>16</xdr:col>
      <xdr:colOff>0</xdr:colOff>
      <xdr:row>874</xdr:row>
      <xdr:rowOff>42334</xdr:rowOff>
    </xdr:to>
    <xdr:cxnSp macro="">
      <xdr:nvCxnSpPr>
        <xdr:cNvPr id="614" name="Straight Arrow Connector 613">
          <a:extLst>
            <a:ext uri="{FF2B5EF4-FFF2-40B4-BE49-F238E27FC236}">
              <a16:creationId xmlns:a16="http://schemas.microsoft.com/office/drawing/2014/main" id="{00000000-0008-0000-1200-000066020000}"/>
            </a:ext>
          </a:extLst>
        </xdr:cNvPr>
        <xdr:cNvCxnSpPr/>
      </xdr:nvCxnSpPr>
      <xdr:spPr>
        <a:xfrm>
          <a:off x="10530417" y="80581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881</xdr:row>
      <xdr:rowOff>0</xdr:rowOff>
    </xdr:from>
    <xdr:to>
      <xdr:col>15</xdr:col>
      <xdr:colOff>603250</xdr:colOff>
      <xdr:row>883</xdr:row>
      <xdr:rowOff>1</xdr:rowOff>
    </xdr:to>
    <xdr:cxnSp macro="">
      <xdr:nvCxnSpPr>
        <xdr:cNvPr id="615" name="Straight Arrow Connector 614">
          <a:extLst>
            <a:ext uri="{FF2B5EF4-FFF2-40B4-BE49-F238E27FC236}">
              <a16:creationId xmlns:a16="http://schemas.microsoft.com/office/drawing/2014/main" id="{00000000-0008-0000-1200-000067020000}"/>
            </a:ext>
          </a:extLst>
        </xdr:cNvPr>
        <xdr:cNvCxnSpPr/>
      </xdr:nvCxnSpPr>
      <xdr:spPr>
        <a:xfrm flipV="1">
          <a:off x="10530417"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883</xdr:row>
      <xdr:rowOff>10584</xdr:rowOff>
    </xdr:from>
    <xdr:to>
      <xdr:col>15</xdr:col>
      <xdr:colOff>592666</xdr:colOff>
      <xdr:row>884</xdr:row>
      <xdr:rowOff>95250</xdr:rowOff>
    </xdr:to>
    <xdr:cxnSp macro="">
      <xdr:nvCxnSpPr>
        <xdr:cNvPr id="616" name="Straight Arrow Connector 615">
          <a:extLst>
            <a:ext uri="{FF2B5EF4-FFF2-40B4-BE49-F238E27FC236}">
              <a16:creationId xmlns:a16="http://schemas.microsoft.com/office/drawing/2014/main" id="{00000000-0008-0000-1200-000068020000}"/>
            </a:ext>
          </a:extLst>
        </xdr:cNvPr>
        <xdr:cNvCxnSpPr/>
      </xdr:nvCxnSpPr>
      <xdr:spPr>
        <a:xfrm>
          <a:off x="10572750"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883</xdr:row>
      <xdr:rowOff>10584</xdr:rowOff>
    </xdr:from>
    <xdr:to>
      <xdr:col>15</xdr:col>
      <xdr:colOff>560916</xdr:colOff>
      <xdr:row>887</xdr:row>
      <xdr:rowOff>52917</xdr:rowOff>
    </xdr:to>
    <xdr:cxnSp macro="">
      <xdr:nvCxnSpPr>
        <xdr:cNvPr id="617" name="Straight Arrow Connector 616">
          <a:extLst>
            <a:ext uri="{FF2B5EF4-FFF2-40B4-BE49-F238E27FC236}">
              <a16:creationId xmlns:a16="http://schemas.microsoft.com/office/drawing/2014/main" id="{00000000-0008-0000-1200-000069020000}"/>
            </a:ext>
          </a:extLst>
        </xdr:cNvPr>
        <xdr:cNvCxnSpPr/>
      </xdr:nvCxnSpPr>
      <xdr:spPr>
        <a:xfrm>
          <a:off x="10551583"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618" name="Straight Arrow Connector 617">
          <a:extLst>
            <a:ext uri="{FF2B5EF4-FFF2-40B4-BE49-F238E27FC236}">
              <a16:creationId xmlns:a16="http://schemas.microsoft.com/office/drawing/2014/main" id="{00000000-0008-0000-1200-00006A020000}"/>
            </a:ext>
          </a:extLst>
        </xdr:cNvPr>
        <xdr:cNvCxnSpPr/>
      </xdr:nvCxnSpPr>
      <xdr:spPr>
        <a:xfrm>
          <a:off x="10583333" y="8328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897</xdr:row>
      <xdr:rowOff>0</xdr:rowOff>
    </xdr:from>
    <xdr:to>
      <xdr:col>16</xdr:col>
      <xdr:colOff>0</xdr:colOff>
      <xdr:row>897</xdr:row>
      <xdr:rowOff>42334</xdr:rowOff>
    </xdr:to>
    <xdr:cxnSp macro="">
      <xdr:nvCxnSpPr>
        <xdr:cNvPr id="619" name="Straight Arrow Connector 618">
          <a:extLst>
            <a:ext uri="{FF2B5EF4-FFF2-40B4-BE49-F238E27FC236}">
              <a16:creationId xmlns:a16="http://schemas.microsoft.com/office/drawing/2014/main" id="{00000000-0008-0000-1200-00006B020000}"/>
            </a:ext>
          </a:extLst>
        </xdr:cNvPr>
        <xdr:cNvCxnSpPr/>
      </xdr:nvCxnSpPr>
      <xdr:spPr>
        <a:xfrm>
          <a:off x="10562166" y="8591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897</xdr:row>
      <xdr:rowOff>21166</xdr:rowOff>
    </xdr:from>
    <xdr:to>
      <xdr:col>15</xdr:col>
      <xdr:colOff>560916</xdr:colOff>
      <xdr:row>900</xdr:row>
      <xdr:rowOff>84667</xdr:rowOff>
    </xdr:to>
    <xdr:cxnSp macro="">
      <xdr:nvCxnSpPr>
        <xdr:cNvPr id="620" name="Straight Arrow Connector 619">
          <a:extLst>
            <a:ext uri="{FF2B5EF4-FFF2-40B4-BE49-F238E27FC236}">
              <a16:creationId xmlns:a16="http://schemas.microsoft.com/office/drawing/2014/main" id="{00000000-0008-0000-1200-00006C020000}"/>
            </a:ext>
          </a:extLst>
        </xdr:cNvPr>
        <xdr:cNvCxnSpPr/>
      </xdr:nvCxnSpPr>
      <xdr:spPr>
        <a:xfrm>
          <a:off x="10615083"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897</xdr:row>
      <xdr:rowOff>52916</xdr:rowOff>
    </xdr:from>
    <xdr:to>
      <xdr:col>15</xdr:col>
      <xdr:colOff>592666</xdr:colOff>
      <xdr:row>903</xdr:row>
      <xdr:rowOff>63501</xdr:rowOff>
    </xdr:to>
    <xdr:cxnSp macro="">
      <xdr:nvCxnSpPr>
        <xdr:cNvPr id="621" name="Straight Arrow Connector 620">
          <a:extLst>
            <a:ext uri="{FF2B5EF4-FFF2-40B4-BE49-F238E27FC236}">
              <a16:creationId xmlns:a16="http://schemas.microsoft.com/office/drawing/2014/main" id="{00000000-0008-0000-1200-00006D020000}"/>
            </a:ext>
          </a:extLst>
        </xdr:cNvPr>
        <xdr:cNvCxnSpPr/>
      </xdr:nvCxnSpPr>
      <xdr:spPr>
        <a:xfrm>
          <a:off x="10572750"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894</xdr:row>
      <xdr:rowOff>52917</xdr:rowOff>
    </xdr:from>
    <xdr:to>
      <xdr:col>15</xdr:col>
      <xdr:colOff>603250</xdr:colOff>
      <xdr:row>896</xdr:row>
      <xdr:rowOff>148167</xdr:rowOff>
    </xdr:to>
    <xdr:cxnSp macro="">
      <xdr:nvCxnSpPr>
        <xdr:cNvPr id="622" name="Straight Arrow Connector 621">
          <a:extLst>
            <a:ext uri="{FF2B5EF4-FFF2-40B4-BE49-F238E27FC236}">
              <a16:creationId xmlns:a16="http://schemas.microsoft.com/office/drawing/2014/main" id="{00000000-0008-0000-1200-00006E020000}"/>
            </a:ext>
          </a:extLst>
        </xdr:cNvPr>
        <xdr:cNvCxnSpPr/>
      </xdr:nvCxnSpPr>
      <xdr:spPr>
        <a:xfrm flipV="1">
          <a:off x="10583333"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805</xdr:row>
      <xdr:rowOff>127000</xdr:rowOff>
    </xdr:from>
    <xdr:to>
      <xdr:col>8</xdr:col>
      <xdr:colOff>63500</xdr:colOff>
      <xdr:row>824</xdr:row>
      <xdr:rowOff>0</xdr:rowOff>
    </xdr:to>
    <xdr:cxnSp macro="">
      <xdr:nvCxnSpPr>
        <xdr:cNvPr id="623" name="Straight Arrow Connector 622">
          <a:extLst>
            <a:ext uri="{FF2B5EF4-FFF2-40B4-BE49-F238E27FC236}">
              <a16:creationId xmlns:a16="http://schemas.microsoft.com/office/drawing/2014/main" id="{00000000-0008-0000-1200-00006F020000}"/>
            </a:ext>
          </a:extLst>
        </xdr:cNvPr>
        <xdr:cNvCxnSpPr/>
      </xdr:nvCxnSpPr>
      <xdr:spPr>
        <a:xfrm flipV="1">
          <a:off x="5207000" y="68135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912</xdr:row>
      <xdr:rowOff>10584</xdr:rowOff>
    </xdr:from>
    <xdr:to>
      <xdr:col>1</xdr:col>
      <xdr:colOff>603250</xdr:colOff>
      <xdr:row>1005</xdr:row>
      <xdr:rowOff>158750</xdr:rowOff>
    </xdr:to>
    <xdr:cxnSp macro="">
      <xdr:nvCxnSpPr>
        <xdr:cNvPr id="624" name="Straight Arrow Connector 623">
          <a:extLst>
            <a:ext uri="{FF2B5EF4-FFF2-40B4-BE49-F238E27FC236}">
              <a16:creationId xmlns:a16="http://schemas.microsoft.com/office/drawing/2014/main" id="{00000000-0008-0000-1200-000070020000}"/>
            </a:ext>
          </a:extLst>
        </xdr:cNvPr>
        <xdr:cNvCxnSpPr/>
      </xdr:nvCxnSpPr>
      <xdr:spPr>
        <a:xfrm flipV="1">
          <a:off x="603250" y="963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1008</xdr:row>
      <xdr:rowOff>169333</xdr:rowOff>
    </xdr:from>
    <xdr:to>
      <xdr:col>1</xdr:col>
      <xdr:colOff>603250</xdr:colOff>
      <xdr:row>1050</xdr:row>
      <xdr:rowOff>148167</xdr:rowOff>
    </xdr:to>
    <xdr:cxnSp macro="">
      <xdr:nvCxnSpPr>
        <xdr:cNvPr id="625" name="Straight Arrow Connector 624">
          <a:extLst>
            <a:ext uri="{FF2B5EF4-FFF2-40B4-BE49-F238E27FC236}">
              <a16:creationId xmlns:a16="http://schemas.microsoft.com/office/drawing/2014/main" id="{00000000-0008-0000-1200-000071020000}"/>
            </a:ext>
          </a:extLst>
        </xdr:cNvPr>
        <xdr:cNvCxnSpPr/>
      </xdr:nvCxnSpPr>
      <xdr:spPr>
        <a:xfrm>
          <a:off x="603250" y="19790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984</xdr:row>
      <xdr:rowOff>158750</xdr:rowOff>
    </xdr:from>
    <xdr:to>
      <xdr:col>3</xdr:col>
      <xdr:colOff>603250</xdr:colOff>
      <xdr:row>1051</xdr:row>
      <xdr:rowOff>10583</xdr:rowOff>
    </xdr:to>
    <xdr:cxnSp macro="">
      <xdr:nvCxnSpPr>
        <xdr:cNvPr id="626" name="Straight Arrow Connector 625">
          <a:extLst>
            <a:ext uri="{FF2B5EF4-FFF2-40B4-BE49-F238E27FC236}">
              <a16:creationId xmlns:a16="http://schemas.microsoft.com/office/drawing/2014/main" id="{00000000-0008-0000-1200-000072020000}"/>
            </a:ext>
          </a:extLst>
        </xdr:cNvPr>
        <xdr:cNvCxnSpPr/>
      </xdr:nvCxnSpPr>
      <xdr:spPr>
        <a:xfrm flipV="1">
          <a:off x="2296584"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1053</xdr:row>
      <xdr:rowOff>10583</xdr:rowOff>
    </xdr:from>
    <xdr:to>
      <xdr:col>4</xdr:col>
      <xdr:colOff>63500</xdr:colOff>
      <xdr:row>1204</xdr:row>
      <xdr:rowOff>158750</xdr:rowOff>
    </xdr:to>
    <xdr:cxnSp macro="">
      <xdr:nvCxnSpPr>
        <xdr:cNvPr id="627" name="Straight Arrow Connector 626">
          <a:extLst>
            <a:ext uri="{FF2B5EF4-FFF2-40B4-BE49-F238E27FC236}">
              <a16:creationId xmlns:a16="http://schemas.microsoft.com/office/drawing/2014/main" id="{00000000-0008-0000-1200-000073020000}"/>
            </a:ext>
          </a:extLst>
        </xdr:cNvPr>
        <xdr:cNvCxnSpPr/>
      </xdr:nvCxnSpPr>
      <xdr:spPr>
        <a:xfrm>
          <a:off x="2307167" y="28395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947</xdr:row>
      <xdr:rowOff>1</xdr:rowOff>
    </xdr:from>
    <xdr:to>
      <xdr:col>6</xdr:col>
      <xdr:colOff>0</xdr:colOff>
      <xdr:row>981</xdr:row>
      <xdr:rowOff>116417</xdr:rowOff>
    </xdr:to>
    <xdr:cxnSp macro="">
      <xdr:nvCxnSpPr>
        <xdr:cNvPr id="628" name="Straight Arrow Connector 627">
          <a:extLst>
            <a:ext uri="{FF2B5EF4-FFF2-40B4-BE49-F238E27FC236}">
              <a16:creationId xmlns:a16="http://schemas.microsoft.com/office/drawing/2014/main" id="{00000000-0008-0000-1200-000074020000}"/>
            </a:ext>
          </a:extLst>
        </xdr:cNvPr>
        <xdr:cNvCxnSpPr/>
      </xdr:nvCxnSpPr>
      <xdr:spPr>
        <a:xfrm flipV="1">
          <a:off x="3714750" y="7810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984</xdr:row>
      <xdr:rowOff>169334</xdr:rowOff>
    </xdr:from>
    <xdr:to>
      <xdr:col>5</xdr:col>
      <xdr:colOff>571500</xdr:colOff>
      <xdr:row>1053</xdr:row>
      <xdr:rowOff>0</xdr:rowOff>
    </xdr:to>
    <xdr:cxnSp macro="">
      <xdr:nvCxnSpPr>
        <xdr:cNvPr id="629" name="Straight Arrow Connector 628">
          <a:extLst>
            <a:ext uri="{FF2B5EF4-FFF2-40B4-BE49-F238E27FC236}">
              <a16:creationId xmlns:a16="http://schemas.microsoft.com/office/drawing/2014/main" id="{00000000-0008-0000-1200-00007502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922</xdr:row>
      <xdr:rowOff>148167</xdr:rowOff>
    </xdr:from>
    <xdr:to>
      <xdr:col>7</xdr:col>
      <xdr:colOff>603250</xdr:colOff>
      <xdr:row>944</xdr:row>
      <xdr:rowOff>31750</xdr:rowOff>
    </xdr:to>
    <xdr:cxnSp macro="">
      <xdr:nvCxnSpPr>
        <xdr:cNvPr id="630" name="Straight Arrow Connector 629">
          <a:extLst>
            <a:ext uri="{FF2B5EF4-FFF2-40B4-BE49-F238E27FC236}">
              <a16:creationId xmlns:a16="http://schemas.microsoft.com/office/drawing/2014/main" id="{00000000-0008-0000-1200-000076020000}"/>
            </a:ext>
          </a:extLst>
        </xdr:cNvPr>
        <xdr:cNvCxnSpPr/>
      </xdr:nvCxnSpPr>
      <xdr:spPr>
        <a:xfrm flipV="1">
          <a:off x="517525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947</xdr:row>
      <xdr:rowOff>10584</xdr:rowOff>
    </xdr:from>
    <xdr:to>
      <xdr:col>8</xdr:col>
      <xdr:colOff>21167</xdr:colOff>
      <xdr:row>975</xdr:row>
      <xdr:rowOff>148166</xdr:rowOff>
    </xdr:to>
    <xdr:cxnSp macro="">
      <xdr:nvCxnSpPr>
        <xdr:cNvPr id="631" name="Straight Arrow Connector 630">
          <a:extLst>
            <a:ext uri="{FF2B5EF4-FFF2-40B4-BE49-F238E27FC236}">
              <a16:creationId xmlns:a16="http://schemas.microsoft.com/office/drawing/2014/main" id="{00000000-0008-0000-1200-000077020000}"/>
            </a:ext>
          </a:extLst>
        </xdr:cNvPr>
        <xdr:cNvCxnSpPr/>
      </xdr:nvCxnSpPr>
      <xdr:spPr>
        <a:xfrm>
          <a:off x="5175250" y="7821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914</xdr:row>
      <xdr:rowOff>137583</xdr:rowOff>
    </xdr:from>
    <xdr:to>
      <xdr:col>9</xdr:col>
      <xdr:colOff>603250</xdr:colOff>
      <xdr:row>920</xdr:row>
      <xdr:rowOff>21166</xdr:rowOff>
    </xdr:to>
    <xdr:cxnSp macro="">
      <xdr:nvCxnSpPr>
        <xdr:cNvPr id="632" name="Straight Arrow Connector 631">
          <a:extLst>
            <a:ext uri="{FF2B5EF4-FFF2-40B4-BE49-F238E27FC236}">
              <a16:creationId xmlns:a16="http://schemas.microsoft.com/office/drawing/2014/main" id="{00000000-0008-0000-1200-00007802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923</xdr:row>
      <xdr:rowOff>0</xdr:rowOff>
    </xdr:from>
    <xdr:to>
      <xdr:col>9</xdr:col>
      <xdr:colOff>582083</xdr:colOff>
      <xdr:row>931</xdr:row>
      <xdr:rowOff>10583</xdr:rowOff>
    </xdr:to>
    <xdr:cxnSp macro="">
      <xdr:nvCxnSpPr>
        <xdr:cNvPr id="633" name="Straight Arrow Connector 632">
          <a:extLst>
            <a:ext uri="{FF2B5EF4-FFF2-40B4-BE49-F238E27FC236}">
              <a16:creationId xmlns:a16="http://schemas.microsoft.com/office/drawing/2014/main" id="{00000000-0008-0000-1200-00007902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928</xdr:row>
      <xdr:rowOff>169333</xdr:rowOff>
    </xdr:from>
    <xdr:to>
      <xdr:col>11</xdr:col>
      <xdr:colOff>603250</xdr:colOff>
      <xdr:row>931</xdr:row>
      <xdr:rowOff>21167</xdr:rowOff>
    </xdr:to>
    <xdr:cxnSp macro="">
      <xdr:nvCxnSpPr>
        <xdr:cNvPr id="634" name="Straight Arrow Connector 633">
          <a:extLst>
            <a:ext uri="{FF2B5EF4-FFF2-40B4-BE49-F238E27FC236}">
              <a16:creationId xmlns:a16="http://schemas.microsoft.com/office/drawing/2014/main" id="{00000000-0008-0000-1200-00007A02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934</xdr:row>
      <xdr:rowOff>42333</xdr:rowOff>
    </xdr:from>
    <xdr:to>
      <xdr:col>11</xdr:col>
      <xdr:colOff>603250</xdr:colOff>
      <xdr:row>946</xdr:row>
      <xdr:rowOff>10583</xdr:rowOff>
    </xdr:to>
    <xdr:cxnSp macro="">
      <xdr:nvCxnSpPr>
        <xdr:cNvPr id="635" name="Straight Arrow Connector 634">
          <a:extLst>
            <a:ext uri="{FF2B5EF4-FFF2-40B4-BE49-F238E27FC236}">
              <a16:creationId xmlns:a16="http://schemas.microsoft.com/office/drawing/2014/main" id="{00000000-0008-0000-1200-00007B02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924</xdr:row>
      <xdr:rowOff>21167</xdr:rowOff>
    </xdr:from>
    <xdr:to>
      <xdr:col>13</xdr:col>
      <xdr:colOff>592667</xdr:colOff>
      <xdr:row>926</xdr:row>
      <xdr:rowOff>0</xdr:rowOff>
    </xdr:to>
    <xdr:cxnSp macro="">
      <xdr:nvCxnSpPr>
        <xdr:cNvPr id="636" name="Straight Arrow Connector 635">
          <a:extLst>
            <a:ext uri="{FF2B5EF4-FFF2-40B4-BE49-F238E27FC236}">
              <a16:creationId xmlns:a16="http://schemas.microsoft.com/office/drawing/2014/main" id="{00000000-0008-0000-1200-00007C02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929</xdr:row>
      <xdr:rowOff>21166</xdr:rowOff>
    </xdr:from>
    <xdr:to>
      <xdr:col>13</xdr:col>
      <xdr:colOff>592667</xdr:colOff>
      <xdr:row>930</xdr:row>
      <xdr:rowOff>169334</xdr:rowOff>
    </xdr:to>
    <xdr:cxnSp macro="">
      <xdr:nvCxnSpPr>
        <xdr:cNvPr id="637" name="Straight Arrow Connector 636">
          <a:extLst>
            <a:ext uri="{FF2B5EF4-FFF2-40B4-BE49-F238E27FC236}">
              <a16:creationId xmlns:a16="http://schemas.microsoft.com/office/drawing/2014/main" id="{00000000-0008-0000-1200-00007D02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944</xdr:row>
      <xdr:rowOff>21167</xdr:rowOff>
    </xdr:from>
    <xdr:to>
      <xdr:col>13</xdr:col>
      <xdr:colOff>592667</xdr:colOff>
      <xdr:row>946</xdr:row>
      <xdr:rowOff>63500</xdr:rowOff>
    </xdr:to>
    <xdr:cxnSp macro="">
      <xdr:nvCxnSpPr>
        <xdr:cNvPr id="638" name="Straight Arrow Connector 637">
          <a:extLst>
            <a:ext uri="{FF2B5EF4-FFF2-40B4-BE49-F238E27FC236}">
              <a16:creationId xmlns:a16="http://schemas.microsoft.com/office/drawing/2014/main" id="{00000000-0008-0000-1200-00007E02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949</xdr:row>
      <xdr:rowOff>0</xdr:rowOff>
    </xdr:from>
    <xdr:to>
      <xdr:col>14</xdr:col>
      <xdr:colOff>10584</xdr:colOff>
      <xdr:row>957</xdr:row>
      <xdr:rowOff>148167</xdr:rowOff>
    </xdr:to>
    <xdr:cxnSp macro="">
      <xdr:nvCxnSpPr>
        <xdr:cNvPr id="639" name="Straight Arrow Connector 638">
          <a:extLst>
            <a:ext uri="{FF2B5EF4-FFF2-40B4-BE49-F238E27FC236}">
              <a16:creationId xmlns:a16="http://schemas.microsoft.com/office/drawing/2014/main" id="{00000000-0008-0000-1200-00007F02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916</xdr:row>
      <xdr:rowOff>0</xdr:rowOff>
    </xdr:from>
    <xdr:to>
      <xdr:col>15</xdr:col>
      <xdr:colOff>603250</xdr:colOff>
      <xdr:row>921</xdr:row>
      <xdr:rowOff>31750</xdr:rowOff>
    </xdr:to>
    <xdr:cxnSp macro="">
      <xdr:nvCxnSpPr>
        <xdr:cNvPr id="640" name="Straight Arrow Connector 639">
          <a:extLst>
            <a:ext uri="{FF2B5EF4-FFF2-40B4-BE49-F238E27FC236}">
              <a16:creationId xmlns:a16="http://schemas.microsoft.com/office/drawing/2014/main" id="{00000000-0008-0000-1200-00008002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919</xdr:row>
      <xdr:rowOff>52917</xdr:rowOff>
    </xdr:from>
    <xdr:to>
      <xdr:col>15</xdr:col>
      <xdr:colOff>603250</xdr:colOff>
      <xdr:row>921</xdr:row>
      <xdr:rowOff>95250</xdr:rowOff>
    </xdr:to>
    <xdr:cxnSp macro="">
      <xdr:nvCxnSpPr>
        <xdr:cNvPr id="641" name="Straight Arrow Connector 640">
          <a:extLst>
            <a:ext uri="{FF2B5EF4-FFF2-40B4-BE49-F238E27FC236}">
              <a16:creationId xmlns:a16="http://schemas.microsoft.com/office/drawing/2014/main" id="{00000000-0008-0000-1200-00008102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921</xdr:row>
      <xdr:rowOff>158750</xdr:rowOff>
    </xdr:from>
    <xdr:to>
      <xdr:col>15</xdr:col>
      <xdr:colOff>582083</xdr:colOff>
      <xdr:row>922</xdr:row>
      <xdr:rowOff>137583</xdr:rowOff>
    </xdr:to>
    <xdr:cxnSp macro="">
      <xdr:nvCxnSpPr>
        <xdr:cNvPr id="642" name="Straight Arrow Connector 641">
          <a:extLst>
            <a:ext uri="{FF2B5EF4-FFF2-40B4-BE49-F238E27FC236}">
              <a16:creationId xmlns:a16="http://schemas.microsoft.com/office/drawing/2014/main" id="{00000000-0008-0000-1200-00008202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921</xdr:row>
      <xdr:rowOff>105834</xdr:rowOff>
    </xdr:from>
    <xdr:to>
      <xdr:col>16</xdr:col>
      <xdr:colOff>0</xdr:colOff>
      <xdr:row>925</xdr:row>
      <xdr:rowOff>84667</xdr:rowOff>
    </xdr:to>
    <xdr:cxnSp macro="">
      <xdr:nvCxnSpPr>
        <xdr:cNvPr id="643" name="Straight Arrow Connector 642">
          <a:extLst>
            <a:ext uri="{FF2B5EF4-FFF2-40B4-BE49-F238E27FC236}">
              <a16:creationId xmlns:a16="http://schemas.microsoft.com/office/drawing/2014/main" id="{00000000-0008-0000-1200-00008302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929</xdr:row>
      <xdr:rowOff>52916</xdr:rowOff>
    </xdr:from>
    <xdr:to>
      <xdr:col>16</xdr:col>
      <xdr:colOff>0</xdr:colOff>
      <xdr:row>931</xdr:row>
      <xdr:rowOff>0</xdr:rowOff>
    </xdr:to>
    <xdr:cxnSp macro="">
      <xdr:nvCxnSpPr>
        <xdr:cNvPr id="644" name="Straight Arrow Connector 643">
          <a:extLst>
            <a:ext uri="{FF2B5EF4-FFF2-40B4-BE49-F238E27FC236}">
              <a16:creationId xmlns:a16="http://schemas.microsoft.com/office/drawing/2014/main" id="{00000000-0008-0000-1200-00008402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931</xdr:row>
      <xdr:rowOff>21167</xdr:rowOff>
    </xdr:from>
    <xdr:to>
      <xdr:col>15</xdr:col>
      <xdr:colOff>582083</xdr:colOff>
      <xdr:row>932</xdr:row>
      <xdr:rowOff>42333</xdr:rowOff>
    </xdr:to>
    <xdr:cxnSp macro="">
      <xdr:nvCxnSpPr>
        <xdr:cNvPr id="645" name="Straight Arrow Connector 644">
          <a:extLst>
            <a:ext uri="{FF2B5EF4-FFF2-40B4-BE49-F238E27FC236}">
              <a16:creationId xmlns:a16="http://schemas.microsoft.com/office/drawing/2014/main" id="{00000000-0008-0000-1200-00008502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931</xdr:row>
      <xdr:rowOff>21167</xdr:rowOff>
    </xdr:from>
    <xdr:to>
      <xdr:col>16</xdr:col>
      <xdr:colOff>42333</xdr:colOff>
      <xdr:row>936</xdr:row>
      <xdr:rowOff>21168</xdr:rowOff>
    </xdr:to>
    <xdr:cxnSp macro="">
      <xdr:nvCxnSpPr>
        <xdr:cNvPr id="646" name="Straight Arrow Connector 645">
          <a:extLst>
            <a:ext uri="{FF2B5EF4-FFF2-40B4-BE49-F238E27FC236}">
              <a16:creationId xmlns:a16="http://schemas.microsoft.com/office/drawing/2014/main" id="{00000000-0008-0000-1200-00008602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931</xdr:row>
      <xdr:rowOff>31750</xdr:rowOff>
    </xdr:from>
    <xdr:to>
      <xdr:col>16</xdr:col>
      <xdr:colOff>42334</xdr:colOff>
      <xdr:row>938</xdr:row>
      <xdr:rowOff>63501</xdr:rowOff>
    </xdr:to>
    <xdr:cxnSp macro="">
      <xdr:nvCxnSpPr>
        <xdr:cNvPr id="647" name="Straight Arrow Connector 646">
          <a:extLst>
            <a:ext uri="{FF2B5EF4-FFF2-40B4-BE49-F238E27FC236}">
              <a16:creationId xmlns:a16="http://schemas.microsoft.com/office/drawing/2014/main" id="{00000000-0008-0000-1200-000087020000}"/>
            </a:ext>
          </a:extLst>
        </xdr:cNvPr>
        <xdr:cNvCxnSpPr/>
      </xdr:nvCxnSpPr>
      <xdr:spPr>
        <a:xfrm>
          <a:off x="10541000" y="460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968</xdr:row>
      <xdr:rowOff>42333</xdr:rowOff>
    </xdr:from>
    <xdr:to>
      <xdr:col>9</xdr:col>
      <xdr:colOff>592666</xdr:colOff>
      <xdr:row>976</xdr:row>
      <xdr:rowOff>42333</xdr:rowOff>
    </xdr:to>
    <xdr:cxnSp macro="">
      <xdr:nvCxnSpPr>
        <xdr:cNvPr id="648" name="Straight Arrow Connector 647">
          <a:extLst>
            <a:ext uri="{FF2B5EF4-FFF2-40B4-BE49-F238E27FC236}">
              <a16:creationId xmlns:a16="http://schemas.microsoft.com/office/drawing/2014/main" id="{00000000-0008-0000-1200-00008802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978</xdr:row>
      <xdr:rowOff>169334</xdr:rowOff>
    </xdr:from>
    <xdr:to>
      <xdr:col>9</xdr:col>
      <xdr:colOff>603250</xdr:colOff>
      <xdr:row>987</xdr:row>
      <xdr:rowOff>31750</xdr:rowOff>
    </xdr:to>
    <xdr:cxnSp macro="">
      <xdr:nvCxnSpPr>
        <xdr:cNvPr id="649" name="Straight Arrow Connector 648">
          <a:extLst>
            <a:ext uri="{FF2B5EF4-FFF2-40B4-BE49-F238E27FC236}">
              <a16:creationId xmlns:a16="http://schemas.microsoft.com/office/drawing/2014/main" id="{00000000-0008-0000-1200-00008902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984</xdr:row>
      <xdr:rowOff>158750</xdr:rowOff>
    </xdr:from>
    <xdr:to>
      <xdr:col>11</xdr:col>
      <xdr:colOff>571500</xdr:colOff>
      <xdr:row>987</xdr:row>
      <xdr:rowOff>0</xdr:rowOff>
    </xdr:to>
    <xdr:cxnSp macro="">
      <xdr:nvCxnSpPr>
        <xdr:cNvPr id="650" name="Straight Arrow Connector 649">
          <a:extLst>
            <a:ext uri="{FF2B5EF4-FFF2-40B4-BE49-F238E27FC236}">
              <a16:creationId xmlns:a16="http://schemas.microsoft.com/office/drawing/2014/main" id="{00000000-0008-0000-1200-00008A02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942</xdr:row>
      <xdr:rowOff>0</xdr:rowOff>
    </xdr:from>
    <xdr:to>
      <xdr:col>15</xdr:col>
      <xdr:colOff>603250</xdr:colOff>
      <xdr:row>944</xdr:row>
      <xdr:rowOff>1</xdr:rowOff>
    </xdr:to>
    <xdr:cxnSp macro="">
      <xdr:nvCxnSpPr>
        <xdr:cNvPr id="651" name="Straight Arrow Connector 650">
          <a:extLst>
            <a:ext uri="{FF2B5EF4-FFF2-40B4-BE49-F238E27FC236}">
              <a16:creationId xmlns:a16="http://schemas.microsoft.com/office/drawing/2014/main" id="{00000000-0008-0000-1200-00008B020000}"/>
            </a:ext>
          </a:extLst>
        </xdr:cNvPr>
        <xdr:cNvCxnSpPr/>
      </xdr:nvCxnSpPr>
      <xdr:spPr>
        <a:xfrm flipV="1">
          <a:off x="10530417"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944</xdr:row>
      <xdr:rowOff>10584</xdr:rowOff>
    </xdr:from>
    <xdr:to>
      <xdr:col>15</xdr:col>
      <xdr:colOff>592666</xdr:colOff>
      <xdr:row>945</xdr:row>
      <xdr:rowOff>95250</xdr:rowOff>
    </xdr:to>
    <xdr:cxnSp macro="">
      <xdr:nvCxnSpPr>
        <xdr:cNvPr id="652" name="Straight Arrow Connector 651">
          <a:extLst>
            <a:ext uri="{FF2B5EF4-FFF2-40B4-BE49-F238E27FC236}">
              <a16:creationId xmlns:a16="http://schemas.microsoft.com/office/drawing/2014/main" id="{00000000-0008-0000-1200-00008C02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944</xdr:row>
      <xdr:rowOff>10584</xdr:rowOff>
    </xdr:from>
    <xdr:to>
      <xdr:col>15</xdr:col>
      <xdr:colOff>560916</xdr:colOff>
      <xdr:row>948</xdr:row>
      <xdr:rowOff>52917</xdr:rowOff>
    </xdr:to>
    <xdr:cxnSp macro="">
      <xdr:nvCxnSpPr>
        <xdr:cNvPr id="653" name="Straight Arrow Connector 652">
          <a:extLst>
            <a:ext uri="{FF2B5EF4-FFF2-40B4-BE49-F238E27FC236}">
              <a16:creationId xmlns:a16="http://schemas.microsoft.com/office/drawing/2014/main" id="{00000000-0008-0000-1200-00008D02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944</xdr:row>
      <xdr:rowOff>31750</xdr:rowOff>
    </xdr:from>
    <xdr:to>
      <xdr:col>16</xdr:col>
      <xdr:colOff>21167</xdr:colOff>
      <xdr:row>951</xdr:row>
      <xdr:rowOff>95250</xdr:rowOff>
    </xdr:to>
    <xdr:cxnSp macro="">
      <xdr:nvCxnSpPr>
        <xdr:cNvPr id="654" name="Straight Arrow Connector 653">
          <a:extLst>
            <a:ext uri="{FF2B5EF4-FFF2-40B4-BE49-F238E27FC236}">
              <a16:creationId xmlns:a16="http://schemas.microsoft.com/office/drawing/2014/main" id="{00000000-0008-0000-1200-00008E02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958</xdr:row>
      <xdr:rowOff>0</xdr:rowOff>
    </xdr:from>
    <xdr:to>
      <xdr:col>16</xdr:col>
      <xdr:colOff>0</xdr:colOff>
      <xdr:row>958</xdr:row>
      <xdr:rowOff>42334</xdr:rowOff>
    </xdr:to>
    <xdr:cxnSp macro="">
      <xdr:nvCxnSpPr>
        <xdr:cNvPr id="655" name="Straight Arrow Connector 654">
          <a:extLst>
            <a:ext uri="{FF2B5EF4-FFF2-40B4-BE49-F238E27FC236}">
              <a16:creationId xmlns:a16="http://schemas.microsoft.com/office/drawing/2014/main" id="{00000000-0008-0000-1200-00008F02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958</xdr:row>
      <xdr:rowOff>21166</xdr:rowOff>
    </xdr:from>
    <xdr:to>
      <xdr:col>15</xdr:col>
      <xdr:colOff>560916</xdr:colOff>
      <xdr:row>961</xdr:row>
      <xdr:rowOff>84667</xdr:rowOff>
    </xdr:to>
    <xdr:cxnSp macro="">
      <xdr:nvCxnSpPr>
        <xdr:cNvPr id="656" name="Straight Arrow Connector 655">
          <a:extLst>
            <a:ext uri="{FF2B5EF4-FFF2-40B4-BE49-F238E27FC236}">
              <a16:creationId xmlns:a16="http://schemas.microsoft.com/office/drawing/2014/main" id="{00000000-0008-0000-1200-00009002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958</xdr:row>
      <xdr:rowOff>52916</xdr:rowOff>
    </xdr:from>
    <xdr:to>
      <xdr:col>15</xdr:col>
      <xdr:colOff>592666</xdr:colOff>
      <xdr:row>964</xdr:row>
      <xdr:rowOff>63501</xdr:rowOff>
    </xdr:to>
    <xdr:cxnSp macro="">
      <xdr:nvCxnSpPr>
        <xdr:cNvPr id="657" name="Straight Arrow Connector 656">
          <a:extLst>
            <a:ext uri="{FF2B5EF4-FFF2-40B4-BE49-F238E27FC236}">
              <a16:creationId xmlns:a16="http://schemas.microsoft.com/office/drawing/2014/main" id="{00000000-0008-0000-1200-00009102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972</xdr:row>
      <xdr:rowOff>116416</xdr:rowOff>
    </xdr:from>
    <xdr:to>
      <xdr:col>15</xdr:col>
      <xdr:colOff>592666</xdr:colOff>
      <xdr:row>975</xdr:row>
      <xdr:rowOff>158750</xdr:rowOff>
    </xdr:to>
    <xdr:cxnSp macro="">
      <xdr:nvCxnSpPr>
        <xdr:cNvPr id="658" name="Straight Arrow Connector 657">
          <a:extLst>
            <a:ext uri="{FF2B5EF4-FFF2-40B4-BE49-F238E27FC236}">
              <a16:creationId xmlns:a16="http://schemas.microsoft.com/office/drawing/2014/main" id="{00000000-0008-0000-1200-00009202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974</xdr:row>
      <xdr:rowOff>95250</xdr:rowOff>
    </xdr:from>
    <xdr:to>
      <xdr:col>15</xdr:col>
      <xdr:colOff>582083</xdr:colOff>
      <xdr:row>976</xdr:row>
      <xdr:rowOff>52917</xdr:rowOff>
    </xdr:to>
    <xdr:cxnSp macro="">
      <xdr:nvCxnSpPr>
        <xdr:cNvPr id="659" name="Straight Arrow Connector 658">
          <a:extLst>
            <a:ext uri="{FF2B5EF4-FFF2-40B4-BE49-F238E27FC236}">
              <a16:creationId xmlns:a16="http://schemas.microsoft.com/office/drawing/2014/main" id="{00000000-0008-0000-1200-00009302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116417</xdr:rowOff>
    </xdr:from>
    <xdr:to>
      <xdr:col>15</xdr:col>
      <xdr:colOff>592666</xdr:colOff>
      <xdr:row>980</xdr:row>
      <xdr:rowOff>95250</xdr:rowOff>
    </xdr:to>
    <xdr:cxnSp macro="">
      <xdr:nvCxnSpPr>
        <xdr:cNvPr id="660" name="Straight Arrow Connector 659">
          <a:extLst>
            <a:ext uri="{FF2B5EF4-FFF2-40B4-BE49-F238E27FC236}">
              <a16:creationId xmlns:a16="http://schemas.microsoft.com/office/drawing/2014/main" id="{00000000-0008-0000-1200-00009402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987</xdr:row>
      <xdr:rowOff>116416</xdr:rowOff>
    </xdr:from>
    <xdr:to>
      <xdr:col>16</xdr:col>
      <xdr:colOff>0</xdr:colOff>
      <xdr:row>994</xdr:row>
      <xdr:rowOff>74084</xdr:rowOff>
    </xdr:to>
    <xdr:cxnSp macro="">
      <xdr:nvCxnSpPr>
        <xdr:cNvPr id="661" name="Straight Arrow Connector 660">
          <a:extLst>
            <a:ext uri="{FF2B5EF4-FFF2-40B4-BE49-F238E27FC236}">
              <a16:creationId xmlns:a16="http://schemas.microsoft.com/office/drawing/2014/main" id="{00000000-0008-0000-1200-00009502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955</xdr:row>
      <xdr:rowOff>52917</xdr:rowOff>
    </xdr:from>
    <xdr:to>
      <xdr:col>15</xdr:col>
      <xdr:colOff>603250</xdr:colOff>
      <xdr:row>957</xdr:row>
      <xdr:rowOff>148167</xdr:rowOff>
    </xdr:to>
    <xdr:cxnSp macro="">
      <xdr:nvCxnSpPr>
        <xdr:cNvPr id="662" name="Straight Arrow Connector 661">
          <a:extLst>
            <a:ext uri="{FF2B5EF4-FFF2-40B4-BE49-F238E27FC236}">
              <a16:creationId xmlns:a16="http://schemas.microsoft.com/office/drawing/2014/main" id="{00000000-0008-0000-1200-00009602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990</xdr:row>
      <xdr:rowOff>42333</xdr:rowOff>
    </xdr:from>
    <xdr:to>
      <xdr:col>11</xdr:col>
      <xdr:colOff>603250</xdr:colOff>
      <xdr:row>1002</xdr:row>
      <xdr:rowOff>10583</xdr:rowOff>
    </xdr:to>
    <xdr:cxnSp macro="">
      <xdr:nvCxnSpPr>
        <xdr:cNvPr id="663" name="Straight Arrow Connector 662">
          <a:extLst>
            <a:ext uri="{FF2B5EF4-FFF2-40B4-BE49-F238E27FC236}">
              <a16:creationId xmlns:a16="http://schemas.microsoft.com/office/drawing/2014/main" id="{00000000-0008-0000-1200-00009702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980</xdr:row>
      <xdr:rowOff>21167</xdr:rowOff>
    </xdr:from>
    <xdr:to>
      <xdr:col>13</xdr:col>
      <xdr:colOff>592667</xdr:colOff>
      <xdr:row>982</xdr:row>
      <xdr:rowOff>0</xdr:rowOff>
    </xdr:to>
    <xdr:cxnSp macro="">
      <xdr:nvCxnSpPr>
        <xdr:cNvPr id="664" name="Straight Arrow Connector 663">
          <a:extLst>
            <a:ext uri="{FF2B5EF4-FFF2-40B4-BE49-F238E27FC236}">
              <a16:creationId xmlns:a16="http://schemas.microsoft.com/office/drawing/2014/main" id="{00000000-0008-0000-1200-00009802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985</xdr:row>
      <xdr:rowOff>21166</xdr:rowOff>
    </xdr:from>
    <xdr:to>
      <xdr:col>13</xdr:col>
      <xdr:colOff>592667</xdr:colOff>
      <xdr:row>986</xdr:row>
      <xdr:rowOff>169334</xdr:rowOff>
    </xdr:to>
    <xdr:cxnSp macro="">
      <xdr:nvCxnSpPr>
        <xdr:cNvPr id="665" name="Straight Arrow Connector 664">
          <a:extLst>
            <a:ext uri="{FF2B5EF4-FFF2-40B4-BE49-F238E27FC236}">
              <a16:creationId xmlns:a16="http://schemas.microsoft.com/office/drawing/2014/main" id="{00000000-0008-0000-1200-00009902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1000</xdr:row>
      <xdr:rowOff>21167</xdr:rowOff>
    </xdr:from>
    <xdr:to>
      <xdr:col>13</xdr:col>
      <xdr:colOff>592667</xdr:colOff>
      <xdr:row>1002</xdr:row>
      <xdr:rowOff>63500</xdr:rowOff>
    </xdr:to>
    <xdr:cxnSp macro="">
      <xdr:nvCxnSpPr>
        <xdr:cNvPr id="666" name="Straight Arrow Connector 665">
          <a:extLst>
            <a:ext uri="{FF2B5EF4-FFF2-40B4-BE49-F238E27FC236}">
              <a16:creationId xmlns:a16="http://schemas.microsoft.com/office/drawing/2014/main" id="{00000000-0008-0000-1200-00009A02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1005</xdr:row>
      <xdr:rowOff>0</xdr:rowOff>
    </xdr:from>
    <xdr:to>
      <xdr:col>14</xdr:col>
      <xdr:colOff>10584</xdr:colOff>
      <xdr:row>1013</xdr:row>
      <xdr:rowOff>148167</xdr:rowOff>
    </xdr:to>
    <xdr:cxnSp macro="">
      <xdr:nvCxnSpPr>
        <xdr:cNvPr id="667" name="Straight Arrow Connector 666">
          <a:extLst>
            <a:ext uri="{FF2B5EF4-FFF2-40B4-BE49-F238E27FC236}">
              <a16:creationId xmlns:a16="http://schemas.microsoft.com/office/drawing/2014/main" id="{00000000-0008-0000-1200-00009B02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95250</xdr:rowOff>
    </xdr:from>
    <xdr:to>
      <xdr:col>15</xdr:col>
      <xdr:colOff>582083</xdr:colOff>
      <xdr:row>978</xdr:row>
      <xdr:rowOff>137583</xdr:rowOff>
    </xdr:to>
    <xdr:cxnSp macro="">
      <xdr:nvCxnSpPr>
        <xdr:cNvPr id="668" name="Straight Arrow Connector 667">
          <a:extLst>
            <a:ext uri="{FF2B5EF4-FFF2-40B4-BE49-F238E27FC236}">
              <a16:creationId xmlns:a16="http://schemas.microsoft.com/office/drawing/2014/main" id="{00000000-0008-0000-1200-00009C02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985</xdr:row>
      <xdr:rowOff>52916</xdr:rowOff>
    </xdr:from>
    <xdr:to>
      <xdr:col>16</xdr:col>
      <xdr:colOff>0</xdr:colOff>
      <xdr:row>987</xdr:row>
      <xdr:rowOff>0</xdr:rowOff>
    </xdr:to>
    <xdr:cxnSp macro="">
      <xdr:nvCxnSpPr>
        <xdr:cNvPr id="669" name="Straight Arrow Connector 668">
          <a:extLst>
            <a:ext uri="{FF2B5EF4-FFF2-40B4-BE49-F238E27FC236}">
              <a16:creationId xmlns:a16="http://schemas.microsoft.com/office/drawing/2014/main" id="{00000000-0008-0000-1200-00009D02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21167</xdr:rowOff>
    </xdr:from>
    <xdr:to>
      <xdr:col>15</xdr:col>
      <xdr:colOff>592666</xdr:colOff>
      <xdr:row>988</xdr:row>
      <xdr:rowOff>84667</xdr:rowOff>
    </xdr:to>
    <xdr:cxnSp macro="">
      <xdr:nvCxnSpPr>
        <xdr:cNvPr id="670" name="Straight Arrow Connector 669">
          <a:extLst>
            <a:ext uri="{FF2B5EF4-FFF2-40B4-BE49-F238E27FC236}">
              <a16:creationId xmlns:a16="http://schemas.microsoft.com/office/drawing/2014/main" id="{00000000-0008-0000-1200-00009E020000}"/>
            </a:ext>
          </a:extLst>
        </xdr:cNvPr>
        <xdr:cNvCxnSpPr/>
      </xdr:nvCxnSpPr>
      <xdr:spPr>
        <a:xfrm>
          <a:off x="10530417"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0</xdr:rowOff>
    </xdr:from>
    <xdr:to>
      <xdr:col>16</xdr:col>
      <xdr:colOff>0</xdr:colOff>
      <xdr:row>991</xdr:row>
      <xdr:rowOff>42334</xdr:rowOff>
    </xdr:to>
    <xdr:cxnSp macro="">
      <xdr:nvCxnSpPr>
        <xdr:cNvPr id="671" name="Straight Arrow Connector 670">
          <a:extLst>
            <a:ext uri="{FF2B5EF4-FFF2-40B4-BE49-F238E27FC236}">
              <a16:creationId xmlns:a16="http://schemas.microsoft.com/office/drawing/2014/main" id="{00000000-0008-0000-1200-00009F02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998</xdr:row>
      <xdr:rowOff>0</xdr:rowOff>
    </xdr:from>
    <xdr:to>
      <xdr:col>15</xdr:col>
      <xdr:colOff>603250</xdr:colOff>
      <xdr:row>1000</xdr:row>
      <xdr:rowOff>1</xdr:rowOff>
    </xdr:to>
    <xdr:cxnSp macro="">
      <xdr:nvCxnSpPr>
        <xdr:cNvPr id="672" name="Straight Arrow Connector 671">
          <a:extLst>
            <a:ext uri="{FF2B5EF4-FFF2-40B4-BE49-F238E27FC236}">
              <a16:creationId xmlns:a16="http://schemas.microsoft.com/office/drawing/2014/main" id="{00000000-0008-0000-1200-0000A002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1000</xdr:row>
      <xdr:rowOff>10584</xdr:rowOff>
    </xdr:from>
    <xdr:to>
      <xdr:col>15</xdr:col>
      <xdr:colOff>592666</xdr:colOff>
      <xdr:row>1001</xdr:row>
      <xdr:rowOff>95250</xdr:rowOff>
    </xdr:to>
    <xdr:cxnSp macro="">
      <xdr:nvCxnSpPr>
        <xdr:cNvPr id="673" name="Straight Arrow Connector 672">
          <a:extLst>
            <a:ext uri="{FF2B5EF4-FFF2-40B4-BE49-F238E27FC236}">
              <a16:creationId xmlns:a16="http://schemas.microsoft.com/office/drawing/2014/main" id="{00000000-0008-0000-1200-0000A102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1000</xdr:row>
      <xdr:rowOff>10584</xdr:rowOff>
    </xdr:from>
    <xdr:to>
      <xdr:col>15</xdr:col>
      <xdr:colOff>560916</xdr:colOff>
      <xdr:row>1004</xdr:row>
      <xdr:rowOff>52917</xdr:rowOff>
    </xdr:to>
    <xdr:cxnSp macro="">
      <xdr:nvCxnSpPr>
        <xdr:cNvPr id="674" name="Straight Arrow Connector 673">
          <a:extLst>
            <a:ext uri="{FF2B5EF4-FFF2-40B4-BE49-F238E27FC236}">
              <a16:creationId xmlns:a16="http://schemas.microsoft.com/office/drawing/2014/main" id="{00000000-0008-0000-1200-0000A202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675" name="Straight Arrow Connector 674">
          <a:extLst>
            <a:ext uri="{FF2B5EF4-FFF2-40B4-BE49-F238E27FC236}">
              <a16:creationId xmlns:a16="http://schemas.microsoft.com/office/drawing/2014/main" id="{00000000-0008-0000-1200-0000A302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1014</xdr:row>
      <xdr:rowOff>0</xdr:rowOff>
    </xdr:from>
    <xdr:to>
      <xdr:col>16</xdr:col>
      <xdr:colOff>0</xdr:colOff>
      <xdr:row>1014</xdr:row>
      <xdr:rowOff>42334</xdr:rowOff>
    </xdr:to>
    <xdr:cxnSp macro="">
      <xdr:nvCxnSpPr>
        <xdr:cNvPr id="676" name="Straight Arrow Connector 675">
          <a:extLst>
            <a:ext uri="{FF2B5EF4-FFF2-40B4-BE49-F238E27FC236}">
              <a16:creationId xmlns:a16="http://schemas.microsoft.com/office/drawing/2014/main" id="{00000000-0008-0000-1200-0000A402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1014</xdr:row>
      <xdr:rowOff>21166</xdr:rowOff>
    </xdr:from>
    <xdr:to>
      <xdr:col>15</xdr:col>
      <xdr:colOff>560916</xdr:colOff>
      <xdr:row>1017</xdr:row>
      <xdr:rowOff>84667</xdr:rowOff>
    </xdr:to>
    <xdr:cxnSp macro="">
      <xdr:nvCxnSpPr>
        <xdr:cNvPr id="677" name="Straight Arrow Connector 676">
          <a:extLst>
            <a:ext uri="{FF2B5EF4-FFF2-40B4-BE49-F238E27FC236}">
              <a16:creationId xmlns:a16="http://schemas.microsoft.com/office/drawing/2014/main" id="{00000000-0008-0000-1200-0000A502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1014</xdr:row>
      <xdr:rowOff>52916</xdr:rowOff>
    </xdr:from>
    <xdr:to>
      <xdr:col>15</xdr:col>
      <xdr:colOff>592666</xdr:colOff>
      <xdr:row>1020</xdr:row>
      <xdr:rowOff>63501</xdr:rowOff>
    </xdr:to>
    <xdr:cxnSp macro="">
      <xdr:nvCxnSpPr>
        <xdr:cNvPr id="678" name="Straight Arrow Connector 677">
          <a:extLst>
            <a:ext uri="{FF2B5EF4-FFF2-40B4-BE49-F238E27FC236}">
              <a16:creationId xmlns:a16="http://schemas.microsoft.com/office/drawing/2014/main" id="{00000000-0008-0000-1200-0000A602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1011</xdr:row>
      <xdr:rowOff>52917</xdr:rowOff>
    </xdr:from>
    <xdr:to>
      <xdr:col>15</xdr:col>
      <xdr:colOff>603250</xdr:colOff>
      <xdr:row>1013</xdr:row>
      <xdr:rowOff>148167</xdr:rowOff>
    </xdr:to>
    <xdr:cxnSp macro="">
      <xdr:nvCxnSpPr>
        <xdr:cNvPr id="679" name="Straight Arrow Connector 678">
          <a:extLst>
            <a:ext uri="{FF2B5EF4-FFF2-40B4-BE49-F238E27FC236}">
              <a16:creationId xmlns:a16="http://schemas.microsoft.com/office/drawing/2014/main" id="{00000000-0008-0000-1200-0000A702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1055</xdr:row>
      <xdr:rowOff>95250</xdr:rowOff>
    </xdr:from>
    <xdr:to>
      <xdr:col>8</xdr:col>
      <xdr:colOff>21167</xdr:colOff>
      <xdr:row>1087</xdr:row>
      <xdr:rowOff>148166</xdr:rowOff>
    </xdr:to>
    <xdr:cxnSp macro="">
      <xdr:nvCxnSpPr>
        <xdr:cNvPr id="680" name="Straight Arrow Connector 679">
          <a:extLst>
            <a:ext uri="{FF2B5EF4-FFF2-40B4-BE49-F238E27FC236}">
              <a16:creationId xmlns:a16="http://schemas.microsoft.com/office/drawing/2014/main" id="{00000000-0008-0000-1200-0000A802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1026</xdr:row>
      <xdr:rowOff>137583</xdr:rowOff>
    </xdr:from>
    <xdr:to>
      <xdr:col>9</xdr:col>
      <xdr:colOff>603250</xdr:colOff>
      <xdr:row>1032</xdr:row>
      <xdr:rowOff>21166</xdr:rowOff>
    </xdr:to>
    <xdr:cxnSp macro="">
      <xdr:nvCxnSpPr>
        <xdr:cNvPr id="681" name="Straight Arrow Connector 680">
          <a:extLst>
            <a:ext uri="{FF2B5EF4-FFF2-40B4-BE49-F238E27FC236}">
              <a16:creationId xmlns:a16="http://schemas.microsoft.com/office/drawing/2014/main" id="{00000000-0008-0000-1200-0000A9020000}"/>
            </a:ext>
          </a:extLst>
        </xdr:cNvPr>
        <xdr:cNvCxnSpPr/>
      </xdr:nvCxnSpPr>
      <xdr:spPr>
        <a:xfrm flipV="1">
          <a:off x="6381750"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1035</xdr:row>
      <xdr:rowOff>0</xdr:rowOff>
    </xdr:from>
    <xdr:to>
      <xdr:col>9</xdr:col>
      <xdr:colOff>582083</xdr:colOff>
      <xdr:row>1043</xdr:row>
      <xdr:rowOff>10583</xdr:rowOff>
    </xdr:to>
    <xdr:cxnSp macro="">
      <xdr:nvCxnSpPr>
        <xdr:cNvPr id="682" name="Straight Arrow Connector 681">
          <a:extLst>
            <a:ext uri="{FF2B5EF4-FFF2-40B4-BE49-F238E27FC236}">
              <a16:creationId xmlns:a16="http://schemas.microsoft.com/office/drawing/2014/main" id="{00000000-0008-0000-1200-0000AA020000}"/>
            </a:ext>
          </a:extLst>
        </xdr:cNvPr>
        <xdr:cNvCxnSpPr/>
      </xdr:nvCxnSpPr>
      <xdr:spPr>
        <a:xfrm>
          <a:off x="6413500"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1040</xdr:row>
      <xdr:rowOff>169333</xdr:rowOff>
    </xdr:from>
    <xdr:to>
      <xdr:col>11</xdr:col>
      <xdr:colOff>603250</xdr:colOff>
      <xdr:row>1043</xdr:row>
      <xdr:rowOff>21167</xdr:rowOff>
    </xdr:to>
    <xdr:cxnSp macro="">
      <xdr:nvCxnSpPr>
        <xdr:cNvPr id="683" name="Straight Arrow Connector 682">
          <a:extLst>
            <a:ext uri="{FF2B5EF4-FFF2-40B4-BE49-F238E27FC236}">
              <a16:creationId xmlns:a16="http://schemas.microsoft.com/office/drawing/2014/main" id="{00000000-0008-0000-1200-0000AB020000}"/>
            </a:ext>
          </a:extLst>
        </xdr:cNvPr>
        <xdr:cNvCxnSpPr/>
      </xdr:nvCxnSpPr>
      <xdr:spPr>
        <a:xfrm flipV="1">
          <a:off x="7609417"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1046</xdr:row>
      <xdr:rowOff>42333</xdr:rowOff>
    </xdr:from>
    <xdr:to>
      <xdr:col>11</xdr:col>
      <xdr:colOff>603250</xdr:colOff>
      <xdr:row>1058</xdr:row>
      <xdr:rowOff>10583</xdr:rowOff>
    </xdr:to>
    <xdr:cxnSp macro="">
      <xdr:nvCxnSpPr>
        <xdr:cNvPr id="684" name="Straight Arrow Connector 683">
          <a:extLst>
            <a:ext uri="{FF2B5EF4-FFF2-40B4-BE49-F238E27FC236}">
              <a16:creationId xmlns:a16="http://schemas.microsoft.com/office/drawing/2014/main" id="{00000000-0008-0000-1200-0000AC020000}"/>
            </a:ext>
          </a:extLst>
        </xdr:cNvPr>
        <xdr:cNvCxnSpPr/>
      </xdr:nvCxnSpPr>
      <xdr:spPr>
        <a:xfrm>
          <a:off x="7598834"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1036</xdr:row>
      <xdr:rowOff>21167</xdr:rowOff>
    </xdr:from>
    <xdr:to>
      <xdr:col>13</xdr:col>
      <xdr:colOff>592667</xdr:colOff>
      <xdr:row>1038</xdr:row>
      <xdr:rowOff>0</xdr:rowOff>
    </xdr:to>
    <xdr:cxnSp macro="">
      <xdr:nvCxnSpPr>
        <xdr:cNvPr id="685" name="Straight Arrow Connector 684">
          <a:extLst>
            <a:ext uri="{FF2B5EF4-FFF2-40B4-BE49-F238E27FC236}">
              <a16:creationId xmlns:a16="http://schemas.microsoft.com/office/drawing/2014/main" id="{00000000-0008-0000-1200-0000AD020000}"/>
            </a:ext>
          </a:extLst>
        </xdr:cNvPr>
        <xdr:cNvCxnSpPr/>
      </xdr:nvCxnSpPr>
      <xdr:spPr>
        <a:xfrm flipV="1">
          <a:off x="8794750" y="24976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1041</xdr:row>
      <xdr:rowOff>21166</xdr:rowOff>
    </xdr:from>
    <xdr:to>
      <xdr:col>13</xdr:col>
      <xdr:colOff>592667</xdr:colOff>
      <xdr:row>1042</xdr:row>
      <xdr:rowOff>169334</xdr:rowOff>
    </xdr:to>
    <xdr:cxnSp macro="">
      <xdr:nvCxnSpPr>
        <xdr:cNvPr id="686" name="Straight Arrow Connector 685">
          <a:extLst>
            <a:ext uri="{FF2B5EF4-FFF2-40B4-BE49-F238E27FC236}">
              <a16:creationId xmlns:a16="http://schemas.microsoft.com/office/drawing/2014/main" id="{00000000-0008-0000-1200-0000AE020000}"/>
            </a:ext>
          </a:extLst>
        </xdr:cNvPr>
        <xdr:cNvCxnSpPr/>
      </xdr:nvCxnSpPr>
      <xdr:spPr>
        <a:xfrm>
          <a:off x="8784166" y="25929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1056</xdr:row>
      <xdr:rowOff>21167</xdr:rowOff>
    </xdr:from>
    <xdr:to>
      <xdr:col>13</xdr:col>
      <xdr:colOff>592667</xdr:colOff>
      <xdr:row>1058</xdr:row>
      <xdr:rowOff>63500</xdr:rowOff>
    </xdr:to>
    <xdr:cxnSp macro="">
      <xdr:nvCxnSpPr>
        <xdr:cNvPr id="687" name="Straight Arrow Connector 686">
          <a:extLst>
            <a:ext uri="{FF2B5EF4-FFF2-40B4-BE49-F238E27FC236}">
              <a16:creationId xmlns:a16="http://schemas.microsoft.com/office/drawing/2014/main" id="{00000000-0008-0000-1200-0000AF020000}"/>
            </a:ext>
          </a:extLst>
        </xdr:cNvPr>
        <xdr:cNvCxnSpPr/>
      </xdr:nvCxnSpPr>
      <xdr:spPr>
        <a:xfrm flipV="1">
          <a:off x="879475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1061</xdr:row>
      <xdr:rowOff>0</xdr:rowOff>
    </xdr:from>
    <xdr:to>
      <xdr:col>14</xdr:col>
      <xdr:colOff>10584</xdr:colOff>
      <xdr:row>1069</xdr:row>
      <xdr:rowOff>148167</xdr:rowOff>
    </xdr:to>
    <xdr:cxnSp macro="">
      <xdr:nvCxnSpPr>
        <xdr:cNvPr id="688" name="Straight Arrow Connector 687">
          <a:extLst>
            <a:ext uri="{FF2B5EF4-FFF2-40B4-BE49-F238E27FC236}">
              <a16:creationId xmlns:a16="http://schemas.microsoft.com/office/drawing/2014/main" id="{00000000-0008-0000-1200-0000B0020000}"/>
            </a:ext>
          </a:extLst>
        </xdr:cNvPr>
        <xdr:cNvCxnSpPr/>
      </xdr:nvCxnSpPr>
      <xdr:spPr>
        <a:xfrm>
          <a:off x="8805333" y="29908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1028</xdr:row>
      <xdr:rowOff>0</xdr:rowOff>
    </xdr:from>
    <xdr:to>
      <xdr:col>15</xdr:col>
      <xdr:colOff>603250</xdr:colOff>
      <xdr:row>1033</xdr:row>
      <xdr:rowOff>31750</xdr:rowOff>
    </xdr:to>
    <xdr:cxnSp macro="">
      <xdr:nvCxnSpPr>
        <xdr:cNvPr id="689" name="Straight Arrow Connector 688">
          <a:extLst>
            <a:ext uri="{FF2B5EF4-FFF2-40B4-BE49-F238E27FC236}">
              <a16:creationId xmlns:a16="http://schemas.microsoft.com/office/drawing/2014/main" id="{00000000-0008-0000-1200-0000B1020000}"/>
            </a:ext>
          </a:extLst>
        </xdr:cNvPr>
        <xdr:cNvCxnSpPr/>
      </xdr:nvCxnSpPr>
      <xdr:spPr>
        <a:xfrm flipV="1">
          <a:off x="10541000"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1031</xdr:row>
      <xdr:rowOff>52917</xdr:rowOff>
    </xdr:from>
    <xdr:to>
      <xdr:col>15</xdr:col>
      <xdr:colOff>603250</xdr:colOff>
      <xdr:row>1033</xdr:row>
      <xdr:rowOff>95250</xdr:rowOff>
    </xdr:to>
    <xdr:cxnSp macro="">
      <xdr:nvCxnSpPr>
        <xdr:cNvPr id="690" name="Straight Arrow Connector 689">
          <a:extLst>
            <a:ext uri="{FF2B5EF4-FFF2-40B4-BE49-F238E27FC236}">
              <a16:creationId xmlns:a16="http://schemas.microsoft.com/office/drawing/2014/main" id="{00000000-0008-0000-1200-0000B2020000}"/>
            </a:ext>
          </a:extLst>
        </xdr:cNvPr>
        <xdr:cNvCxnSpPr/>
      </xdr:nvCxnSpPr>
      <xdr:spPr>
        <a:xfrm flipV="1">
          <a:off x="10583333"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1033</xdr:row>
      <xdr:rowOff>158750</xdr:rowOff>
    </xdr:from>
    <xdr:to>
      <xdr:col>15</xdr:col>
      <xdr:colOff>582083</xdr:colOff>
      <xdr:row>1034</xdr:row>
      <xdr:rowOff>137583</xdr:rowOff>
    </xdr:to>
    <xdr:cxnSp macro="">
      <xdr:nvCxnSpPr>
        <xdr:cNvPr id="691" name="Straight Arrow Connector 690">
          <a:extLst>
            <a:ext uri="{FF2B5EF4-FFF2-40B4-BE49-F238E27FC236}">
              <a16:creationId xmlns:a16="http://schemas.microsoft.com/office/drawing/2014/main" id="{00000000-0008-0000-1200-0000B3020000}"/>
            </a:ext>
          </a:extLst>
        </xdr:cNvPr>
        <xdr:cNvCxnSpPr/>
      </xdr:nvCxnSpPr>
      <xdr:spPr>
        <a:xfrm>
          <a:off x="10604500"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1033</xdr:row>
      <xdr:rowOff>105834</xdr:rowOff>
    </xdr:from>
    <xdr:to>
      <xdr:col>16</xdr:col>
      <xdr:colOff>0</xdr:colOff>
      <xdr:row>1037</xdr:row>
      <xdr:rowOff>84667</xdr:rowOff>
    </xdr:to>
    <xdr:cxnSp macro="">
      <xdr:nvCxnSpPr>
        <xdr:cNvPr id="692" name="Straight Arrow Connector 691">
          <a:extLst>
            <a:ext uri="{FF2B5EF4-FFF2-40B4-BE49-F238E27FC236}">
              <a16:creationId xmlns:a16="http://schemas.microsoft.com/office/drawing/2014/main" id="{00000000-0008-0000-1200-0000B4020000}"/>
            </a:ext>
          </a:extLst>
        </xdr:cNvPr>
        <xdr:cNvCxnSpPr/>
      </xdr:nvCxnSpPr>
      <xdr:spPr>
        <a:xfrm>
          <a:off x="10519834" y="24489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1041</xdr:row>
      <xdr:rowOff>52916</xdr:rowOff>
    </xdr:from>
    <xdr:to>
      <xdr:col>16</xdr:col>
      <xdr:colOff>0</xdr:colOff>
      <xdr:row>1043</xdr:row>
      <xdr:rowOff>0</xdr:rowOff>
    </xdr:to>
    <xdr:cxnSp macro="">
      <xdr:nvCxnSpPr>
        <xdr:cNvPr id="693" name="Straight Arrow Connector 692">
          <a:extLst>
            <a:ext uri="{FF2B5EF4-FFF2-40B4-BE49-F238E27FC236}">
              <a16:creationId xmlns:a16="http://schemas.microsoft.com/office/drawing/2014/main" id="{00000000-0008-0000-1200-0000B5020000}"/>
            </a:ext>
          </a:extLst>
        </xdr:cNvPr>
        <xdr:cNvCxnSpPr/>
      </xdr:nvCxnSpPr>
      <xdr:spPr>
        <a:xfrm flipV="1">
          <a:off x="10541000" y="25960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1043</xdr:row>
      <xdr:rowOff>21167</xdr:rowOff>
    </xdr:from>
    <xdr:to>
      <xdr:col>15</xdr:col>
      <xdr:colOff>582083</xdr:colOff>
      <xdr:row>1044</xdr:row>
      <xdr:rowOff>42333</xdr:rowOff>
    </xdr:to>
    <xdr:cxnSp macro="">
      <xdr:nvCxnSpPr>
        <xdr:cNvPr id="694" name="Straight Arrow Connector 693">
          <a:extLst>
            <a:ext uri="{FF2B5EF4-FFF2-40B4-BE49-F238E27FC236}">
              <a16:creationId xmlns:a16="http://schemas.microsoft.com/office/drawing/2014/main" id="{00000000-0008-0000-1200-0000B6020000}"/>
            </a:ext>
          </a:extLst>
        </xdr:cNvPr>
        <xdr:cNvCxnSpPr/>
      </xdr:nvCxnSpPr>
      <xdr:spPr>
        <a:xfrm>
          <a:off x="10551583"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1043</xdr:row>
      <xdr:rowOff>21167</xdr:rowOff>
    </xdr:from>
    <xdr:to>
      <xdr:col>16</xdr:col>
      <xdr:colOff>42333</xdr:colOff>
      <xdr:row>1048</xdr:row>
      <xdr:rowOff>21168</xdr:rowOff>
    </xdr:to>
    <xdr:cxnSp macro="">
      <xdr:nvCxnSpPr>
        <xdr:cNvPr id="695" name="Straight Arrow Connector 694">
          <a:extLst>
            <a:ext uri="{FF2B5EF4-FFF2-40B4-BE49-F238E27FC236}">
              <a16:creationId xmlns:a16="http://schemas.microsoft.com/office/drawing/2014/main" id="{00000000-0008-0000-1200-0000B7020000}"/>
            </a:ext>
          </a:extLst>
        </xdr:cNvPr>
        <xdr:cNvCxnSpPr/>
      </xdr:nvCxnSpPr>
      <xdr:spPr>
        <a:xfrm>
          <a:off x="10530417" y="26310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696" name="Straight Arrow Connector 695">
          <a:extLst>
            <a:ext uri="{FF2B5EF4-FFF2-40B4-BE49-F238E27FC236}">
              <a16:creationId xmlns:a16="http://schemas.microsoft.com/office/drawing/2014/main" id="{00000000-0008-0000-1200-0000B8020000}"/>
            </a:ext>
          </a:extLst>
        </xdr:cNvPr>
        <xdr:cNvCxnSpPr/>
      </xdr:nvCxnSpPr>
      <xdr:spPr>
        <a:xfrm>
          <a:off x="10541000" y="26320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1080</xdr:row>
      <xdr:rowOff>42333</xdr:rowOff>
    </xdr:from>
    <xdr:to>
      <xdr:col>9</xdr:col>
      <xdr:colOff>592666</xdr:colOff>
      <xdr:row>1088</xdr:row>
      <xdr:rowOff>42333</xdr:rowOff>
    </xdr:to>
    <xdr:cxnSp macro="">
      <xdr:nvCxnSpPr>
        <xdr:cNvPr id="697" name="Straight Arrow Connector 696">
          <a:extLst>
            <a:ext uri="{FF2B5EF4-FFF2-40B4-BE49-F238E27FC236}">
              <a16:creationId xmlns:a16="http://schemas.microsoft.com/office/drawing/2014/main" id="{00000000-0008-0000-1200-0000B9020000}"/>
            </a:ext>
          </a:extLst>
        </xdr:cNvPr>
        <xdr:cNvCxnSpPr/>
      </xdr:nvCxnSpPr>
      <xdr:spPr>
        <a:xfrm flipV="1">
          <a:off x="6392333"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1090</xdr:row>
      <xdr:rowOff>169334</xdr:rowOff>
    </xdr:from>
    <xdr:to>
      <xdr:col>9</xdr:col>
      <xdr:colOff>603250</xdr:colOff>
      <xdr:row>1099</xdr:row>
      <xdr:rowOff>31750</xdr:rowOff>
    </xdr:to>
    <xdr:cxnSp macro="">
      <xdr:nvCxnSpPr>
        <xdr:cNvPr id="698" name="Straight Arrow Connector 697">
          <a:extLst>
            <a:ext uri="{FF2B5EF4-FFF2-40B4-BE49-F238E27FC236}">
              <a16:creationId xmlns:a16="http://schemas.microsoft.com/office/drawing/2014/main" id="{00000000-0008-0000-1200-0000BA020000}"/>
            </a:ext>
          </a:extLst>
        </xdr:cNvPr>
        <xdr:cNvCxnSpPr/>
      </xdr:nvCxnSpPr>
      <xdr:spPr>
        <a:xfrm>
          <a:off x="6413500"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1096</xdr:row>
      <xdr:rowOff>158750</xdr:rowOff>
    </xdr:from>
    <xdr:to>
      <xdr:col>11</xdr:col>
      <xdr:colOff>571500</xdr:colOff>
      <xdr:row>1099</xdr:row>
      <xdr:rowOff>0</xdr:rowOff>
    </xdr:to>
    <xdr:cxnSp macro="">
      <xdr:nvCxnSpPr>
        <xdr:cNvPr id="699" name="Straight Arrow Connector 698">
          <a:extLst>
            <a:ext uri="{FF2B5EF4-FFF2-40B4-BE49-F238E27FC236}">
              <a16:creationId xmlns:a16="http://schemas.microsoft.com/office/drawing/2014/main" id="{00000000-0008-0000-1200-0000BB020000}"/>
            </a:ext>
          </a:extLst>
        </xdr:cNvPr>
        <xdr:cNvCxnSpPr/>
      </xdr:nvCxnSpPr>
      <xdr:spPr>
        <a:xfrm flipV="1">
          <a:off x="7556500" y="36734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1054</xdr:row>
      <xdr:rowOff>0</xdr:rowOff>
    </xdr:from>
    <xdr:to>
      <xdr:col>15</xdr:col>
      <xdr:colOff>603250</xdr:colOff>
      <xdr:row>1056</xdr:row>
      <xdr:rowOff>1</xdr:rowOff>
    </xdr:to>
    <xdr:cxnSp macro="">
      <xdr:nvCxnSpPr>
        <xdr:cNvPr id="700" name="Straight Arrow Connector 699">
          <a:extLst>
            <a:ext uri="{FF2B5EF4-FFF2-40B4-BE49-F238E27FC236}">
              <a16:creationId xmlns:a16="http://schemas.microsoft.com/office/drawing/2014/main" id="{00000000-0008-0000-1200-0000BC020000}"/>
            </a:ext>
          </a:extLst>
        </xdr:cNvPr>
        <xdr:cNvCxnSpPr/>
      </xdr:nvCxnSpPr>
      <xdr:spPr>
        <a:xfrm flipV="1">
          <a:off x="10530417"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1056</xdr:row>
      <xdr:rowOff>10584</xdr:rowOff>
    </xdr:from>
    <xdr:to>
      <xdr:col>15</xdr:col>
      <xdr:colOff>592666</xdr:colOff>
      <xdr:row>1057</xdr:row>
      <xdr:rowOff>95250</xdr:rowOff>
    </xdr:to>
    <xdr:cxnSp macro="">
      <xdr:nvCxnSpPr>
        <xdr:cNvPr id="701" name="Straight Arrow Connector 700">
          <a:extLst>
            <a:ext uri="{FF2B5EF4-FFF2-40B4-BE49-F238E27FC236}">
              <a16:creationId xmlns:a16="http://schemas.microsoft.com/office/drawing/2014/main" id="{00000000-0008-0000-1200-0000BD020000}"/>
            </a:ext>
          </a:extLst>
        </xdr:cNvPr>
        <xdr:cNvCxnSpPr/>
      </xdr:nvCxnSpPr>
      <xdr:spPr>
        <a:xfrm>
          <a:off x="10572750"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1056</xdr:row>
      <xdr:rowOff>10584</xdr:rowOff>
    </xdr:from>
    <xdr:to>
      <xdr:col>15</xdr:col>
      <xdr:colOff>560916</xdr:colOff>
      <xdr:row>1060</xdr:row>
      <xdr:rowOff>52917</xdr:rowOff>
    </xdr:to>
    <xdr:cxnSp macro="">
      <xdr:nvCxnSpPr>
        <xdr:cNvPr id="702" name="Straight Arrow Connector 701">
          <a:extLst>
            <a:ext uri="{FF2B5EF4-FFF2-40B4-BE49-F238E27FC236}">
              <a16:creationId xmlns:a16="http://schemas.microsoft.com/office/drawing/2014/main" id="{00000000-0008-0000-1200-0000BE020000}"/>
            </a:ext>
          </a:extLst>
        </xdr:cNvPr>
        <xdr:cNvCxnSpPr/>
      </xdr:nvCxnSpPr>
      <xdr:spPr>
        <a:xfrm>
          <a:off x="10551583"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703" name="Straight Arrow Connector 702">
          <a:extLst>
            <a:ext uri="{FF2B5EF4-FFF2-40B4-BE49-F238E27FC236}">
              <a16:creationId xmlns:a16="http://schemas.microsoft.com/office/drawing/2014/main" id="{00000000-0008-0000-1200-0000BF020000}"/>
            </a:ext>
          </a:extLst>
        </xdr:cNvPr>
        <xdr:cNvCxnSpPr/>
      </xdr:nvCxnSpPr>
      <xdr:spPr>
        <a:xfrm>
          <a:off x="10583333" y="28987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1070</xdr:row>
      <xdr:rowOff>0</xdr:rowOff>
    </xdr:from>
    <xdr:to>
      <xdr:col>16</xdr:col>
      <xdr:colOff>0</xdr:colOff>
      <xdr:row>1070</xdr:row>
      <xdr:rowOff>42334</xdr:rowOff>
    </xdr:to>
    <xdr:cxnSp macro="">
      <xdr:nvCxnSpPr>
        <xdr:cNvPr id="704" name="Straight Arrow Connector 703">
          <a:extLst>
            <a:ext uri="{FF2B5EF4-FFF2-40B4-BE49-F238E27FC236}">
              <a16:creationId xmlns:a16="http://schemas.microsoft.com/office/drawing/2014/main" id="{00000000-0008-0000-1200-0000C0020000}"/>
            </a:ext>
          </a:extLst>
        </xdr:cNvPr>
        <xdr:cNvCxnSpPr/>
      </xdr:nvCxnSpPr>
      <xdr:spPr>
        <a:xfrm>
          <a:off x="10562166" y="31623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1070</xdr:row>
      <xdr:rowOff>21166</xdr:rowOff>
    </xdr:from>
    <xdr:to>
      <xdr:col>15</xdr:col>
      <xdr:colOff>560916</xdr:colOff>
      <xdr:row>1073</xdr:row>
      <xdr:rowOff>84667</xdr:rowOff>
    </xdr:to>
    <xdr:cxnSp macro="">
      <xdr:nvCxnSpPr>
        <xdr:cNvPr id="705" name="Straight Arrow Connector 704">
          <a:extLst>
            <a:ext uri="{FF2B5EF4-FFF2-40B4-BE49-F238E27FC236}">
              <a16:creationId xmlns:a16="http://schemas.microsoft.com/office/drawing/2014/main" id="{00000000-0008-0000-1200-0000C1020000}"/>
            </a:ext>
          </a:extLst>
        </xdr:cNvPr>
        <xdr:cNvCxnSpPr/>
      </xdr:nvCxnSpPr>
      <xdr:spPr>
        <a:xfrm>
          <a:off x="10615083"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1070</xdr:row>
      <xdr:rowOff>52916</xdr:rowOff>
    </xdr:from>
    <xdr:to>
      <xdr:col>15</xdr:col>
      <xdr:colOff>592666</xdr:colOff>
      <xdr:row>1076</xdr:row>
      <xdr:rowOff>63501</xdr:rowOff>
    </xdr:to>
    <xdr:cxnSp macro="">
      <xdr:nvCxnSpPr>
        <xdr:cNvPr id="706" name="Straight Arrow Connector 705">
          <a:extLst>
            <a:ext uri="{FF2B5EF4-FFF2-40B4-BE49-F238E27FC236}">
              <a16:creationId xmlns:a16="http://schemas.microsoft.com/office/drawing/2014/main" id="{00000000-0008-0000-1200-0000C2020000}"/>
            </a:ext>
          </a:extLst>
        </xdr:cNvPr>
        <xdr:cNvCxnSpPr/>
      </xdr:nvCxnSpPr>
      <xdr:spPr>
        <a:xfrm>
          <a:off x="10572750"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1084</xdr:row>
      <xdr:rowOff>116416</xdr:rowOff>
    </xdr:from>
    <xdr:to>
      <xdr:col>15</xdr:col>
      <xdr:colOff>592666</xdr:colOff>
      <xdr:row>1087</xdr:row>
      <xdr:rowOff>158750</xdr:rowOff>
    </xdr:to>
    <xdr:cxnSp macro="">
      <xdr:nvCxnSpPr>
        <xdr:cNvPr id="707" name="Straight Arrow Connector 706">
          <a:extLst>
            <a:ext uri="{FF2B5EF4-FFF2-40B4-BE49-F238E27FC236}">
              <a16:creationId xmlns:a16="http://schemas.microsoft.com/office/drawing/2014/main" id="{00000000-0008-0000-1200-0000C3020000}"/>
            </a:ext>
          </a:extLst>
        </xdr:cNvPr>
        <xdr:cNvCxnSpPr/>
      </xdr:nvCxnSpPr>
      <xdr:spPr>
        <a:xfrm flipV="1">
          <a:off x="10562166"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1086</xdr:row>
      <xdr:rowOff>95250</xdr:rowOff>
    </xdr:from>
    <xdr:to>
      <xdr:col>15</xdr:col>
      <xdr:colOff>582083</xdr:colOff>
      <xdr:row>1088</xdr:row>
      <xdr:rowOff>52917</xdr:rowOff>
    </xdr:to>
    <xdr:cxnSp macro="">
      <xdr:nvCxnSpPr>
        <xdr:cNvPr id="708" name="Straight Arrow Connector 707">
          <a:extLst>
            <a:ext uri="{FF2B5EF4-FFF2-40B4-BE49-F238E27FC236}">
              <a16:creationId xmlns:a16="http://schemas.microsoft.com/office/drawing/2014/main" id="{00000000-0008-0000-1200-0000C4020000}"/>
            </a:ext>
          </a:extLst>
        </xdr:cNvPr>
        <xdr:cNvCxnSpPr/>
      </xdr:nvCxnSpPr>
      <xdr:spPr>
        <a:xfrm flipV="1">
          <a:off x="10604500"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116417</xdr:rowOff>
    </xdr:from>
    <xdr:to>
      <xdr:col>15</xdr:col>
      <xdr:colOff>592666</xdr:colOff>
      <xdr:row>1092</xdr:row>
      <xdr:rowOff>95250</xdr:rowOff>
    </xdr:to>
    <xdr:cxnSp macro="">
      <xdr:nvCxnSpPr>
        <xdr:cNvPr id="709" name="Straight Arrow Connector 708">
          <a:extLst>
            <a:ext uri="{FF2B5EF4-FFF2-40B4-BE49-F238E27FC236}">
              <a16:creationId xmlns:a16="http://schemas.microsoft.com/office/drawing/2014/main" id="{00000000-0008-0000-1200-0000C5020000}"/>
            </a:ext>
          </a:extLst>
        </xdr:cNvPr>
        <xdr:cNvCxnSpPr/>
      </xdr:nvCxnSpPr>
      <xdr:spPr>
        <a:xfrm>
          <a:off x="10593916"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1099</xdr:row>
      <xdr:rowOff>116416</xdr:rowOff>
    </xdr:from>
    <xdr:to>
      <xdr:col>16</xdr:col>
      <xdr:colOff>0</xdr:colOff>
      <xdr:row>1106</xdr:row>
      <xdr:rowOff>74084</xdr:rowOff>
    </xdr:to>
    <xdr:cxnSp macro="">
      <xdr:nvCxnSpPr>
        <xdr:cNvPr id="710" name="Straight Arrow Connector 709">
          <a:extLst>
            <a:ext uri="{FF2B5EF4-FFF2-40B4-BE49-F238E27FC236}">
              <a16:creationId xmlns:a16="http://schemas.microsoft.com/office/drawing/2014/main" id="{00000000-0008-0000-1200-0000C6020000}"/>
            </a:ext>
          </a:extLst>
        </xdr:cNvPr>
        <xdr:cNvCxnSpPr/>
      </xdr:nvCxnSpPr>
      <xdr:spPr>
        <a:xfrm>
          <a:off x="10572750" y="37263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1067</xdr:row>
      <xdr:rowOff>52917</xdr:rowOff>
    </xdr:from>
    <xdr:to>
      <xdr:col>15</xdr:col>
      <xdr:colOff>603250</xdr:colOff>
      <xdr:row>1069</xdr:row>
      <xdr:rowOff>148167</xdr:rowOff>
    </xdr:to>
    <xdr:cxnSp macro="">
      <xdr:nvCxnSpPr>
        <xdr:cNvPr id="711" name="Straight Arrow Connector 710">
          <a:extLst>
            <a:ext uri="{FF2B5EF4-FFF2-40B4-BE49-F238E27FC236}">
              <a16:creationId xmlns:a16="http://schemas.microsoft.com/office/drawing/2014/main" id="{00000000-0008-0000-1200-0000C7020000}"/>
            </a:ext>
          </a:extLst>
        </xdr:cNvPr>
        <xdr:cNvCxnSpPr/>
      </xdr:nvCxnSpPr>
      <xdr:spPr>
        <a:xfrm flipV="1">
          <a:off x="10583333"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1102</xdr:row>
      <xdr:rowOff>42333</xdr:rowOff>
    </xdr:from>
    <xdr:to>
      <xdr:col>11</xdr:col>
      <xdr:colOff>603250</xdr:colOff>
      <xdr:row>1114</xdr:row>
      <xdr:rowOff>10583</xdr:rowOff>
    </xdr:to>
    <xdr:cxnSp macro="">
      <xdr:nvCxnSpPr>
        <xdr:cNvPr id="712" name="Straight Arrow Connector 711">
          <a:extLst>
            <a:ext uri="{FF2B5EF4-FFF2-40B4-BE49-F238E27FC236}">
              <a16:creationId xmlns:a16="http://schemas.microsoft.com/office/drawing/2014/main" id="{00000000-0008-0000-1200-0000C8020000}"/>
            </a:ext>
          </a:extLst>
        </xdr:cNvPr>
        <xdr:cNvCxnSpPr/>
      </xdr:nvCxnSpPr>
      <xdr:spPr>
        <a:xfrm>
          <a:off x="7598834"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1092</xdr:row>
      <xdr:rowOff>21167</xdr:rowOff>
    </xdr:from>
    <xdr:to>
      <xdr:col>13</xdr:col>
      <xdr:colOff>592667</xdr:colOff>
      <xdr:row>1094</xdr:row>
      <xdr:rowOff>0</xdr:rowOff>
    </xdr:to>
    <xdr:cxnSp macro="">
      <xdr:nvCxnSpPr>
        <xdr:cNvPr id="713" name="Straight Arrow Connector 712">
          <a:extLst>
            <a:ext uri="{FF2B5EF4-FFF2-40B4-BE49-F238E27FC236}">
              <a16:creationId xmlns:a16="http://schemas.microsoft.com/office/drawing/2014/main" id="{00000000-0008-0000-1200-0000C9020000}"/>
            </a:ext>
          </a:extLst>
        </xdr:cNvPr>
        <xdr:cNvCxnSpPr/>
      </xdr:nvCxnSpPr>
      <xdr:spPr>
        <a:xfrm flipV="1">
          <a:off x="8794750" y="35835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1097</xdr:row>
      <xdr:rowOff>21166</xdr:rowOff>
    </xdr:from>
    <xdr:to>
      <xdr:col>13</xdr:col>
      <xdr:colOff>592667</xdr:colOff>
      <xdr:row>1098</xdr:row>
      <xdr:rowOff>169334</xdr:rowOff>
    </xdr:to>
    <xdr:cxnSp macro="">
      <xdr:nvCxnSpPr>
        <xdr:cNvPr id="714" name="Straight Arrow Connector 713">
          <a:extLst>
            <a:ext uri="{FF2B5EF4-FFF2-40B4-BE49-F238E27FC236}">
              <a16:creationId xmlns:a16="http://schemas.microsoft.com/office/drawing/2014/main" id="{00000000-0008-0000-1200-0000CA020000}"/>
            </a:ext>
          </a:extLst>
        </xdr:cNvPr>
        <xdr:cNvCxnSpPr/>
      </xdr:nvCxnSpPr>
      <xdr:spPr>
        <a:xfrm>
          <a:off x="8784166" y="36787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1112</xdr:row>
      <xdr:rowOff>21167</xdr:rowOff>
    </xdr:from>
    <xdr:to>
      <xdr:col>13</xdr:col>
      <xdr:colOff>592667</xdr:colOff>
      <xdr:row>1114</xdr:row>
      <xdr:rowOff>63500</xdr:rowOff>
    </xdr:to>
    <xdr:cxnSp macro="">
      <xdr:nvCxnSpPr>
        <xdr:cNvPr id="715" name="Straight Arrow Connector 714">
          <a:extLst>
            <a:ext uri="{FF2B5EF4-FFF2-40B4-BE49-F238E27FC236}">
              <a16:creationId xmlns:a16="http://schemas.microsoft.com/office/drawing/2014/main" id="{00000000-0008-0000-1200-0000CB020000}"/>
            </a:ext>
          </a:extLst>
        </xdr:cNvPr>
        <xdr:cNvCxnSpPr/>
      </xdr:nvCxnSpPr>
      <xdr:spPr>
        <a:xfrm flipV="1">
          <a:off x="879475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1117</xdr:row>
      <xdr:rowOff>0</xdr:rowOff>
    </xdr:from>
    <xdr:to>
      <xdr:col>14</xdr:col>
      <xdr:colOff>10584</xdr:colOff>
      <xdr:row>1125</xdr:row>
      <xdr:rowOff>148167</xdr:rowOff>
    </xdr:to>
    <xdr:cxnSp macro="">
      <xdr:nvCxnSpPr>
        <xdr:cNvPr id="716" name="Straight Arrow Connector 715">
          <a:extLst>
            <a:ext uri="{FF2B5EF4-FFF2-40B4-BE49-F238E27FC236}">
              <a16:creationId xmlns:a16="http://schemas.microsoft.com/office/drawing/2014/main" id="{00000000-0008-0000-1200-0000CC020000}"/>
            </a:ext>
          </a:extLst>
        </xdr:cNvPr>
        <xdr:cNvCxnSpPr/>
      </xdr:nvCxnSpPr>
      <xdr:spPr>
        <a:xfrm>
          <a:off x="8805333" y="40767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95250</xdr:rowOff>
    </xdr:from>
    <xdr:to>
      <xdr:col>15</xdr:col>
      <xdr:colOff>582083</xdr:colOff>
      <xdr:row>1090</xdr:row>
      <xdr:rowOff>137583</xdr:rowOff>
    </xdr:to>
    <xdr:cxnSp macro="">
      <xdr:nvCxnSpPr>
        <xdr:cNvPr id="717" name="Straight Arrow Connector 716">
          <a:extLst>
            <a:ext uri="{FF2B5EF4-FFF2-40B4-BE49-F238E27FC236}">
              <a16:creationId xmlns:a16="http://schemas.microsoft.com/office/drawing/2014/main" id="{00000000-0008-0000-1200-0000CD020000}"/>
            </a:ext>
          </a:extLst>
        </xdr:cNvPr>
        <xdr:cNvCxnSpPr/>
      </xdr:nvCxnSpPr>
      <xdr:spPr>
        <a:xfrm>
          <a:off x="10593916"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1097</xdr:row>
      <xdr:rowOff>52916</xdr:rowOff>
    </xdr:from>
    <xdr:to>
      <xdr:col>16</xdr:col>
      <xdr:colOff>0</xdr:colOff>
      <xdr:row>1099</xdr:row>
      <xdr:rowOff>0</xdr:rowOff>
    </xdr:to>
    <xdr:cxnSp macro="">
      <xdr:nvCxnSpPr>
        <xdr:cNvPr id="718" name="Straight Arrow Connector 717">
          <a:extLst>
            <a:ext uri="{FF2B5EF4-FFF2-40B4-BE49-F238E27FC236}">
              <a16:creationId xmlns:a16="http://schemas.microsoft.com/office/drawing/2014/main" id="{00000000-0008-0000-1200-0000CE020000}"/>
            </a:ext>
          </a:extLst>
        </xdr:cNvPr>
        <xdr:cNvCxnSpPr/>
      </xdr:nvCxnSpPr>
      <xdr:spPr>
        <a:xfrm flipV="1">
          <a:off x="10541000" y="36819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21167</xdr:rowOff>
    </xdr:from>
    <xdr:to>
      <xdr:col>15</xdr:col>
      <xdr:colOff>592666</xdr:colOff>
      <xdr:row>1100</xdr:row>
      <xdr:rowOff>84667</xdr:rowOff>
    </xdr:to>
    <xdr:cxnSp macro="">
      <xdr:nvCxnSpPr>
        <xdr:cNvPr id="719" name="Straight Arrow Connector 718">
          <a:extLst>
            <a:ext uri="{FF2B5EF4-FFF2-40B4-BE49-F238E27FC236}">
              <a16:creationId xmlns:a16="http://schemas.microsoft.com/office/drawing/2014/main" id="{00000000-0008-0000-1200-0000CF020000}"/>
            </a:ext>
          </a:extLst>
        </xdr:cNvPr>
        <xdr:cNvCxnSpPr/>
      </xdr:nvCxnSpPr>
      <xdr:spPr>
        <a:xfrm>
          <a:off x="10530417"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0</xdr:rowOff>
    </xdr:from>
    <xdr:to>
      <xdr:col>16</xdr:col>
      <xdr:colOff>0</xdr:colOff>
      <xdr:row>1103</xdr:row>
      <xdr:rowOff>42334</xdr:rowOff>
    </xdr:to>
    <xdr:cxnSp macro="">
      <xdr:nvCxnSpPr>
        <xdr:cNvPr id="720" name="Straight Arrow Connector 719">
          <a:extLst>
            <a:ext uri="{FF2B5EF4-FFF2-40B4-BE49-F238E27FC236}">
              <a16:creationId xmlns:a16="http://schemas.microsoft.com/office/drawing/2014/main" id="{00000000-0008-0000-1200-0000D0020000}"/>
            </a:ext>
          </a:extLst>
        </xdr:cNvPr>
        <xdr:cNvCxnSpPr/>
      </xdr:nvCxnSpPr>
      <xdr:spPr>
        <a:xfrm>
          <a:off x="10530417" y="37147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1110</xdr:row>
      <xdr:rowOff>0</xdr:rowOff>
    </xdr:from>
    <xdr:to>
      <xdr:col>15</xdr:col>
      <xdr:colOff>603250</xdr:colOff>
      <xdr:row>1112</xdr:row>
      <xdr:rowOff>1</xdr:rowOff>
    </xdr:to>
    <xdr:cxnSp macro="">
      <xdr:nvCxnSpPr>
        <xdr:cNvPr id="721" name="Straight Arrow Connector 720">
          <a:extLst>
            <a:ext uri="{FF2B5EF4-FFF2-40B4-BE49-F238E27FC236}">
              <a16:creationId xmlns:a16="http://schemas.microsoft.com/office/drawing/2014/main" id="{00000000-0008-0000-1200-0000D1020000}"/>
            </a:ext>
          </a:extLst>
        </xdr:cNvPr>
        <xdr:cNvCxnSpPr/>
      </xdr:nvCxnSpPr>
      <xdr:spPr>
        <a:xfrm flipV="1">
          <a:off x="10530417"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1112</xdr:row>
      <xdr:rowOff>10584</xdr:rowOff>
    </xdr:from>
    <xdr:to>
      <xdr:col>15</xdr:col>
      <xdr:colOff>592666</xdr:colOff>
      <xdr:row>1113</xdr:row>
      <xdr:rowOff>95250</xdr:rowOff>
    </xdr:to>
    <xdr:cxnSp macro="">
      <xdr:nvCxnSpPr>
        <xdr:cNvPr id="722" name="Straight Arrow Connector 721">
          <a:extLst>
            <a:ext uri="{FF2B5EF4-FFF2-40B4-BE49-F238E27FC236}">
              <a16:creationId xmlns:a16="http://schemas.microsoft.com/office/drawing/2014/main" id="{00000000-0008-0000-1200-0000D2020000}"/>
            </a:ext>
          </a:extLst>
        </xdr:cNvPr>
        <xdr:cNvCxnSpPr/>
      </xdr:nvCxnSpPr>
      <xdr:spPr>
        <a:xfrm>
          <a:off x="10572750"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1112</xdr:row>
      <xdr:rowOff>10584</xdr:rowOff>
    </xdr:from>
    <xdr:to>
      <xdr:col>15</xdr:col>
      <xdr:colOff>560916</xdr:colOff>
      <xdr:row>1116</xdr:row>
      <xdr:rowOff>52917</xdr:rowOff>
    </xdr:to>
    <xdr:cxnSp macro="">
      <xdr:nvCxnSpPr>
        <xdr:cNvPr id="723" name="Straight Arrow Connector 722">
          <a:extLst>
            <a:ext uri="{FF2B5EF4-FFF2-40B4-BE49-F238E27FC236}">
              <a16:creationId xmlns:a16="http://schemas.microsoft.com/office/drawing/2014/main" id="{00000000-0008-0000-1200-0000D3020000}"/>
            </a:ext>
          </a:extLst>
        </xdr:cNvPr>
        <xdr:cNvCxnSpPr/>
      </xdr:nvCxnSpPr>
      <xdr:spPr>
        <a:xfrm>
          <a:off x="10551583"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724" name="Straight Arrow Connector 723">
          <a:extLst>
            <a:ext uri="{FF2B5EF4-FFF2-40B4-BE49-F238E27FC236}">
              <a16:creationId xmlns:a16="http://schemas.microsoft.com/office/drawing/2014/main" id="{00000000-0008-0000-1200-0000D4020000}"/>
            </a:ext>
          </a:extLst>
        </xdr:cNvPr>
        <xdr:cNvCxnSpPr/>
      </xdr:nvCxnSpPr>
      <xdr:spPr>
        <a:xfrm>
          <a:off x="10583333" y="39846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1126</xdr:row>
      <xdr:rowOff>0</xdr:rowOff>
    </xdr:from>
    <xdr:to>
      <xdr:col>16</xdr:col>
      <xdr:colOff>0</xdr:colOff>
      <xdr:row>1126</xdr:row>
      <xdr:rowOff>42334</xdr:rowOff>
    </xdr:to>
    <xdr:cxnSp macro="">
      <xdr:nvCxnSpPr>
        <xdr:cNvPr id="725" name="Straight Arrow Connector 724">
          <a:extLst>
            <a:ext uri="{FF2B5EF4-FFF2-40B4-BE49-F238E27FC236}">
              <a16:creationId xmlns:a16="http://schemas.microsoft.com/office/drawing/2014/main" id="{00000000-0008-0000-1200-0000D5020000}"/>
            </a:ext>
          </a:extLst>
        </xdr:cNvPr>
        <xdr:cNvCxnSpPr/>
      </xdr:nvCxnSpPr>
      <xdr:spPr>
        <a:xfrm>
          <a:off x="10562166" y="42481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1126</xdr:row>
      <xdr:rowOff>21166</xdr:rowOff>
    </xdr:from>
    <xdr:to>
      <xdr:col>15</xdr:col>
      <xdr:colOff>560916</xdr:colOff>
      <xdr:row>1129</xdr:row>
      <xdr:rowOff>84667</xdr:rowOff>
    </xdr:to>
    <xdr:cxnSp macro="">
      <xdr:nvCxnSpPr>
        <xdr:cNvPr id="726" name="Straight Arrow Connector 725">
          <a:extLst>
            <a:ext uri="{FF2B5EF4-FFF2-40B4-BE49-F238E27FC236}">
              <a16:creationId xmlns:a16="http://schemas.microsoft.com/office/drawing/2014/main" id="{00000000-0008-0000-1200-0000D6020000}"/>
            </a:ext>
          </a:extLst>
        </xdr:cNvPr>
        <xdr:cNvCxnSpPr/>
      </xdr:nvCxnSpPr>
      <xdr:spPr>
        <a:xfrm>
          <a:off x="10615083"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1126</xdr:row>
      <xdr:rowOff>52916</xdr:rowOff>
    </xdr:from>
    <xdr:to>
      <xdr:col>15</xdr:col>
      <xdr:colOff>592666</xdr:colOff>
      <xdr:row>1132</xdr:row>
      <xdr:rowOff>63501</xdr:rowOff>
    </xdr:to>
    <xdr:cxnSp macro="">
      <xdr:nvCxnSpPr>
        <xdr:cNvPr id="727" name="Straight Arrow Connector 726">
          <a:extLst>
            <a:ext uri="{FF2B5EF4-FFF2-40B4-BE49-F238E27FC236}">
              <a16:creationId xmlns:a16="http://schemas.microsoft.com/office/drawing/2014/main" id="{00000000-0008-0000-1200-0000D7020000}"/>
            </a:ext>
          </a:extLst>
        </xdr:cNvPr>
        <xdr:cNvCxnSpPr/>
      </xdr:nvCxnSpPr>
      <xdr:spPr>
        <a:xfrm>
          <a:off x="10572750"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1123</xdr:row>
      <xdr:rowOff>52917</xdr:rowOff>
    </xdr:from>
    <xdr:to>
      <xdr:col>15</xdr:col>
      <xdr:colOff>603250</xdr:colOff>
      <xdr:row>1125</xdr:row>
      <xdr:rowOff>148167</xdr:rowOff>
    </xdr:to>
    <xdr:cxnSp macro="">
      <xdr:nvCxnSpPr>
        <xdr:cNvPr id="728" name="Straight Arrow Connector 727">
          <a:extLst>
            <a:ext uri="{FF2B5EF4-FFF2-40B4-BE49-F238E27FC236}">
              <a16:creationId xmlns:a16="http://schemas.microsoft.com/office/drawing/2014/main" id="{00000000-0008-0000-1200-0000D8020000}"/>
            </a:ext>
          </a:extLst>
        </xdr:cNvPr>
        <xdr:cNvCxnSpPr/>
      </xdr:nvCxnSpPr>
      <xdr:spPr>
        <a:xfrm flipV="1">
          <a:off x="10583333"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1034</xdr:row>
      <xdr:rowOff>127000</xdr:rowOff>
    </xdr:from>
    <xdr:to>
      <xdr:col>8</xdr:col>
      <xdr:colOff>63500</xdr:colOff>
      <xdr:row>1053</xdr:row>
      <xdr:rowOff>0</xdr:rowOff>
    </xdr:to>
    <xdr:cxnSp macro="">
      <xdr:nvCxnSpPr>
        <xdr:cNvPr id="729" name="Straight Arrow Connector 728">
          <a:extLst>
            <a:ext uri="{FF2B5EF4-FFF2-40B4-BE49-F238E27FC236}">
              <a16:creationId xmlns:a16="http://schemas.microsoft.com/office/drawing/2014/main" id="{00000000-0008-0000-1200-0000D902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1171</xdr:row>
      <xdr:rowOff>1</xdr:rowOff>
    </xdr:from>
    <xdr:to>
      <xdr:col>6</xdr:col>
      <xdr:colOff>0</xdr:colOff>
      <xdr:row>1205</xdr:row>
      <xdr:rowOff>116417</xdr:rowOff>
    </xdr:to>
    <xdr:cxnSp macro="">
      <xdr:nvCxnSpPr>
        <xdr:cNvPr id="730" name="Straight Arrow Connector 729">
          <a:extLst>
            <a:ext uri="{FF2B5EF4-FFF2-40B4-BE49-F238E27FC236}">
              <a16:creationId xmlns:a16="http://schemas.microsoft.com/office/drawing/2014/main" id="{00000000-0008-0000-1200-0000DA020000}"/>
            </a:ext>
          </a:extLst>
        </xdr:cNvPr>
        <xdr:cNvCxnSpPr/>
      </xdr:nvCxnSpPr>
      <xdr:spPr>
        <a:xfrm flipV="1">
          <a:off x="3714750" y="51244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1208</xdr:row>
      <xdr:rowOff>169334</xdr:rowOff>
    </xdr:from>
    <xdr:to>
      <xdr:col>5</xdr:col>
      <xdr:colOff>571500</xdr:colOff>
      <xdr:row>1277</xdr:row>
      <xdr:rowOff>0</xdr:rowOff>
    </xdr:to>
    <xdr:cxnSp macro="">
      <xdr:nvCxnSpPr>
        <xdr:cNvPr id="731" name="Straight Arrow Connector 730">
          <a:extLst>
            <a:ext uri="{FF2B5EF4-FFF2-40B4-BE49-F238E27FC236}">
              <a16:creationId xmlns:a16="http://schemas.microsoft.com/office/drawing/2014/main" id="{00000000-0008-0000-1200-0000DB020000}"/>
            </a:ext>
          </a:extLst>
        </xdr:cNvPr>
        <xdr:cNvCxnSpPr/>
      </xdr:nvCxnSpPr>
      <xdr:spPr>
        <a:xfrm>
          <a:off x="379941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1146</xdr:row>
      <xdr:rowOff>148167</xdr:rowOff>
    </xdr:from>
    <xdr:to>
      <xdr:col>7</xdr:col>
      <xdr:colOff>603250</xdr:colOff>
      <xdr:row>1168</xdr:row>
      <xdr:rowOff>31750</xdr:rowOff>
    </xdr:to>
    <xdr:cxnSp macro="">
      <xdr:nvCxnSpPr>
        <xdr:cNvPr id="732" name="Straight Arrow Connector 731">
          <a:extLst>
            <a:ext uri="{FF2B5EF4-FFF2-40B4-BE49-F238E27FC236}">
              <a16:creationId xmlns:a16="http://schemas.microsoft.com/office/drawing/2014/main" id="{00000000-0008-0000-1200-0000DC020000}"/>
            </a:ext>
          </a:extLst>
        </xdr:cNvPr>
        <xdr:cNvCxnSpPr/>
      </xdr:nvCxnSpPr>
      <xdr:spPr>
        <a:xfrm flipV="1">
          <a:off x="517525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1171</xdr:row>
      <xdr:rowOff>10584</xdr:rowOff>
    </xdr:from>
    <xdr:to>
      <xdr:col>8</xdr:col>
      <xdr:colOff>21167</xdr:colOff>
      <xdr:row>1199</xdr:row>
      <xdr:rowOff>148166</xdr:rowOff>
    </xdr:to>
    <xdr:cxnSp macro="">
      <xdr:nvCxnSpPr>
        <xdr:cNvPr id="733" name="Straight Arrow Connector 732">
          <a:extLst>
            <a:ext uri="{FF2B5EF4-FFF2-40B4-BE49-F238E27FC236}">
              <a16:creationId xmlns:a16="http://schemas.microsoft.com/office/drawing/2014/main" id="{00000000-0008-0000-1200-0000DD020000}"/>
            </a:ext>
          </a:extLst>
        </xdr:cNvPr>
        <xdr:cNvCxnSpPr/>
      </xdr:nvCxnSpPr>
      <xdr:spPr>
        <a:xfrm>
          <a:off x="5175250" y="51255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1138</xdr:row>
      <xdr:rowOff>137583</xdr:rowOff>
    </xdr:from>
    <xdr:to>
      <xdr:col>9</xdr:col>
      <xdr:colOff>603250</xdr:colOff>
      <xdr:row>1144</xdr:row>
      <xdr:rowOff>21166</xdr:rowOff>
    </xdr:to>
    <xdr:cxnSp macro="">
      <xdr:nvCxnSpPr>
        <xdr:cNvPr id="734" name="Straight Arrow Connector 733">
          <a:extLst>
            <a:ext uri="{FF2B5EF4-FFF2-40B4-BE49-F238E27FC236}">
              <a16:creationId xmlns:a16="http://schemas.microsoft.com/office/drawing/2014/main" id="{00000000-0008-0000-1200-0000DE020000}"/>
            </a:ext>
          </a:extLst>
        </xdr:cNvPr>
        <xdr:cNvCxnSpPr/>
      </xdr:nvCxnSpPr>
      <xdr:spPr>
        <a:xfrm flipV="1">
          <a:off x="6381750"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1147</xdr:row>
      <xdr:rowOff>0</xdr:rowOff>
    </xdr:from>
    <xdr:to>
      <xdr:col>9</xdr:col>
      <xdr:colOff>582083</xdr:colOff>
      <xdr:row>1155</xdr:row>
      <xdr:rowOff>10583</xdr:rowOff>
    </xdr:to>
    <xdr:cxnSp macro="">
      <xdr:nvCxnSpPr>
        <xdr:cNvPr id="735" name="Straight Arrow Connector 734">
          <a:extLst>
            <a:ext uri="{FF2B5EF4-FFF2-40B4-BE49-F238E27FC236}">
              <a16:creationId xmlns:a16="http://schemas.microsoft.com/office/drawing/2014/main" id="{00000000-0008-0000-1200-0000DF020000}"/>
            </a:ext>
          </a:extLst>
        </xdr:cNvPr>
        <xdr:cNvCxnSpPr/>
      </xdr:nvCxnSpPr>
      <xdr:spPr>
        <a:xfrm>
          <a:off x="6413500"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1152</xdr:row>
      <xdr:rowOff>169333</xdr:rowOff>
    </xdr:from>
    <xdr:to>
      <xdr:col>11</xdr:col>
      <xdr:colOff>603250</xdr:colOff>
      <xdr:row>1155</xdr:row>
      <xdr:rowOff>21167</xdr:rowOff>
    </xdr:to>
    <xdr:cxnSp macro="">
      <xdr:nvCxnSpPr>
        <xdr:cNvPr id="736" name="Straight Arrow Connector 735">
          <a:extLst>
            <a:ext uri="{FF2B5EF4-FFF2-40B4-BE49-F238E27FC236}">
              <a16:creationId xmlns:a16="http://schemas.microsoft.com/office/drawing/2014/main" id="{00000000-0008-0000-1200-0000E0020000}"/>
            </a:ext>
          </a:extLst>
        </xdr:cNvPr>
        <xdr:cNvCxnSpPr/>
      </xdr:nvCxnSpPr>
      <xdr:spPr>
        <a:xfrm flipV="1">
          <a:off x="7609417"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1158</xdr:row>
      <xdr:rowOff>42333</xdr:rowOff>
    </xdr:from>
    <xdr:to>
      <xdr:col>11</xdr:col>
      <xdr:colOff>603250</xdr:colOff>
      <xdr:row>1170</xdr:row>
      <xdr:rowOff>10583</xdr:rowOff>
    </xdr:to>
    <xdr:cxnSp macro="">
      <xdr:nvCxnSpPr>
        <xdr:cNvPr id="737" name="Straight Arrow Connector 736">
          <a:extLst>
            <a:ext uri="{FF2B5EF4-FFF2-40B4-BE49-F238E27FC236}">
              <a16:creationId xmlns:a16="http://schemas.microsoft.com/office/drawing/2014/main" id="{00000000-0008-0000-1200-0000E1020000}"/>
            </a:ext>
          </a:extLst>
        </xdr:cNvPr>
        <xdr:cNvCxnSpPr/>
      </xdr:nvCxnSpPr>
      <xdr:spPr>
        <a:xfrm>
          <a:off x="7598834"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1148</xdr:row>
      <xdr:rowOff>21167</xdr:rowOff>
    </xdr:from>
    <xdr:to>
      <xdr:col>13</xdr:col>
      <xdr:colOff>592667</xdr:colOff>
      <xdr:row>1150</xdr:row>
      <xdr:rowOff>0</xdr:rowOff>
    </xdr:to>
    <xdr:cxnSp macro="">
      <xdr:nvCxnSpPr>
        <xdr:cNvPr id="738" name="Straight Arrow Connector 737">
          <a:extLst>
            <a:ext uri="{FF2B5EF4-FFF2-40B4-BE49-F238E27FC236}">
              <a16:creationId xmlns:a16="http://schemas.microsoft.com/office/drawing/2014/main" id="{00000000-0008-0000-1200-0000E2020000}"/>
            </a:ext>
          </a:extLst>
        </xdr:cNvPr>
        <xdr:cNvCxnSpPr/>
      </xdr:nvCxnSpPr>
      <xdr:spPr>
        <a:xfrm flipV="1">
          <a:off x="8794750" y="46693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1153</xdr:row>
      <xdr:rowOff>21166</xdr:rowOff>
    </xdr:from>
    <xdr:to>
      <xdr:col>13</xdr:col>
      <xdr:colOff>592667</xdr:colOff>
      <xdr:row>1154</xdr:row>
      <xdr:rowOff>169334</xdr:rowOff>
    </xdr:to>
    <xdr:cxnSp macro="">
      <xdr:nvCxnSpPr>
        <xdr:cNvPr id="739" name="Straight Arrow Connector 738">
          <a:extLst>
            <a:ext uri="{FF2B5EF4-FFF2-40B4-BE49-F238E27FC236}">
              <a16:creationId xmlns:a16="http://schemas.microsoft.com/office/drawing/2014/main" id="{00000000-0008-0000-1200-0000E3020000}"/>
            </a:ext>
          </a:extLst>
        </xdr:cNvPr>
        <xdr:cNvCxnSpPr/>
      </xdr:nvCxnSpPr>
      <xdr:spPr>
        <a:xfrm>
          <a:off x="8784166" y="47646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1168</xdr:row>
      <xdr:rowOff>21167</xdr:rowOff>
    </xdr:from>
    <xdr:to>
      <xdr:col>13</xdr:col>
      <xdr:colOff>592667</xdr:colOff>
      <xdr:row>1170</xdr:row>
      <xdr:rowOff>63500</xdr:rowOff>
    </xdr:to>
    <xdr:cxnSp macro="">
      <xdr:nvCxnSpPr>
        <xdr:cNvPr id="740" name="Straight Arrow Connector 739">
          <a:extLst>
            <a:ext uri="{FF2B5EF4-FFF2-40B4-BE49-F238E27FC236}">
              <a16:creationId xmlns:a16="http://schemas.microsoft.com/office/drawing/2014/main" id="{00000000-0008-0000-1200-0000E4020000}"/>
            </a:ext>
          </a:extLst>
        </xdr:cNvPr>
        <xdr:cNvCxnSpPr/>
      </xdr:nvCxnSpPr>
      <xdr:spPr>
        <a:xfrm flipV="1">
          <a:off x="879475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1173</xdr:row>
      <xdr:rowOff>0</xdr:rowOff>
    </xdr:from>
    <xdr:to>
      <xdr:col>14</xdr:col>
      <xdr:colOff>10584</xdr:colOff>
      <xdr:row>1181</xdr:row>
      <xdr:rowOff>148167</xdr:rowOff>
    </xdr:to>
    <xdr:cxnSp macro="">
      <xdr:nvCxnSpPr>
        <xdr:cNvPr id="741" name="Straight Arrow Connector 740">
          <a:extLst>
            <a:ext uri="{FF2B5EF4-FFF2-40B4-BE49-F238E27FC236}">
              <a16:creationId xmlns:a16="http://schemas.microsoft.com/office/drawing/2014/main" id="{00000000-0008-0000-1200-0000E5020000}"/>
            </a:ext>
          </a:extLst>
        </xdr:cNvPr>
        <xdr:cNvCxnSpPr/>
      </xdr:nvCxnSpPr>
      <xdr:spPr>
        <a:xfrm>
          <a:off x="8805333" y="51625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1140</xdr:row>
      <xdr:rowOff>0</xdr:rowOff>
    </xdr:from>
    <xdr:to>
      <xdr:col>15</xdr:col>
      <xdr:colOff>603250</xdr:colOff>
      <xdr:row>1145</xdr:row>
      <xdr:rowOff>31750</xdr:rowOff>
    </xdr:to>
    <xdr:cxnSp macro="">
      <xdr:nvCxnSpPr>
        <xdr:cNvPr id="742" name="Straight Arrow Connector 741">
          <a:extLst>
            <a:ext uri="{FF2B5EF4-FFF2-40B4-BE49-F238E27FC236}">
              <a16:creationId xmlns:a16="http://schemas.microsoft.com/office/drawing/2014/main" id="{00000000-0008-0000-1200-0000E6020000}"/>
            </a:ext>
          </a:extLst>
        </xdr:cNvPr>
        <xdr:cNvCxnSpPr/>
      </xdr:nvCxnSpPr>
      <xdr:spPr>
        <a:xfrm flipV="1">
          <a:off x="10541000"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1143</xdr:row>
      <xdr:rowOff>52917</xdr:rowOff>
    </xdr:from>
    <xdr:to>
      <xdr:col>15</xdr:col>
      <xdr:colOff>603250</xdr:colOff>
      <xdr:row>1145</xdr:row>
      <xdr:rowOff>95250</xdr:rowOff>
    </xdr:to>
    <xdr:cxnSp macro="">
      <xdr:nvCxnSpPr>
        <xdr:cNvPr id="743" name="Straight Arrow Connector 742">
          <a:extLst>
            <a:ext uri="{FF2B5EF4-FFF2-40B4-BE49-F238E27FC236}">
              <a16:creationId xmlns:a16="http://schemas.microsoft.com/office/drawing/2014/main" id="{00000000-0008-0000-1200-0000E7020000}"/>
            </a:ext>
          </a:extLst>
        </xdr:cNvPr>
        <xdr:cNvCxnSpPr/>
      </xdr:nvCxnSpPr>
      <xdr:spPr>
        <a:xfrm flipV="1">
          <a:off x="10583333"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1145</xdr:row>
      <xdr:rowOff>158750</xdr:rowOff>
    </xdr:from>
    <xdr:to>
      <xdr:col>15</xdr:col>
      <xdr:colOff>582083</xdr:colOff>
      <xdr:row>1146</xdr:row>
      <xdr:rowOff>137583</xdr:rowOff>
    </xdr:to>
    <xdr:cxnSp macro="">
      <xdr:nvCxnSpPr>
        <xdr:cNvPr id="744" name="Straight Arrow Connector 743">
          <a:extLst>
            <a:ext uri="{FF2B5EF4-FFF2-40B4-BE49-F238E27FC236}">
              <a16:creationId xmlns:a16="http://schemas.microsoft.com/office/drawing/2014/main" id="{00000000-0008-0000-1200-0000E8020000}"/>
            </a:ext>
          </a:extLst>
        </xdr:cNvPr>
        <xdr:cNvCxnSpPr/>
      </xdr:nvCxnSpPr>
      <xdr:spPr>
        <a:xfrm>
          <a:off x="10604500"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1145</xdr:row>
      <xdr:rowOff>105834</xdr:rowOff>
    </xdr:from>
    <xdr:to>
      <xdr:col>16</xdr:col>
      <xdr:colOff>0</xdr:colOff>
      <xdr:row>1149</xdr:row>
      <xdr:rowOff>84667</xdr:rowOff>
    </xdr:to>
    <xdr:cxnSp macro="">
      <xdr:nvCxnSpPr>
        <xdr:cNvPr id="745" name="Straight Arrow Connector 744">
          <a:extLst>
            <a:ext uri="{FF2B5EF4-FFF2-40B4-BE49-F238E27FC236}">
              <a16:creationId xmlns:a16="http://schemas.microsoft.com/office/drawing/2014/main" id="{00000000-0008-0000-1200-0000E9020000}"/>
            </a:ext>
          </a:extLst>
        </xdr:cNvPr>
        <xdr:cNvCxnSpPr/>
      </xdr:nvCxnSpPr>
      <xdr:spPr>
        <a:xfrm>
          <a:off x="10519834" y="46206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1153</xdr:row>
      <xdr:rowOff>52916</xdr:rowOff>
    </xdr:from>
    <xdr:to>
      <xdr:col>16</xdr:col>
      <xdr:colOff>0</xdr:colOff>
      <xdr:row>1155</xdr:row>
      <xdr:rowOff>0</xdr:rowOff>
    </xdr:to>
    <xdr:cxnSp macro="">
      <xdr:nvCxnSpPr>
        <xdr:cNvPr id="746" name="Straight Arrow Connector 745">
          <a:extLst>
            <a:ext uri="{FF2B5EF4-FFF2-40B4-BE49-F238E27FC236}">
              <a16:creationId xmlns:a16="http://schemas.microsoft.com/office/drawing/2014/main" id="{00000000-0008-0000-1200-0000EA020000}"/>
            </a:ext>
          </a:extLst>
        </xdr:cNvPr>
        <xdr:cNvCxnSpPr/>
      </xdr:nvCxnSpPr>
      <xdr:spPr>
        <a:xfrm flipV="1">
          <a:off x="10541000" y="47677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1155</xdr:row>
      <xdr:rowOff>21167</xdr:rowOff>
    </xdr:from>
    <xdr:to>
      <xdr:col>15</xdr:col>
      <xdr:colOff>582083</xdr:colOff>
      <xdr:row>1156</xdr:row>
      <xdr:rowOff>42333</xdr:rowOff>
    </xdr:to>
    <xdr:cxnSp macro="">
      <xdr:nvCxnSpPr>
        <xdr:cNvPr id="747" name="Straight Arrow Connector 746">
          <a:extLst>
            <a:ext uri="{FF2B5EF4-FFF2-40B4-BE49-F238E27FC236}">
              <a16:creationId xmlns:a16="http://schemas.microsoft.com/office/drawing/2014/main" id="{00000000-0008-0000-1200-0000EB020000}"/>
            </a:ext>
          </a:extLst>
        </xdr:cNvPr>
        <xdr:cNvCxnSpPr/>
      </xdr:nvCxnSpPr>
      <xdr:spPr>
        <a:xfrm>
          <a:off x="10551583"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1155</xdr:row>
      <xdr:rowOff>21167</xdr:rowOff>
    </xdr:from>
    <xdr:to>
      <xdr:col>16</xdr:col>
      <xdr:colOff>42333</xdr:colOff>
      <xdr:row>1160</xdr:row>
      <xdr:rowOff>21168</xdr:rowOff>
    </xdr:to>
    <xdr:cxnSp macro="">
      <xdr:nvCxnSpPr>
        <xdr:cNvPr id="748" name="Straight Arrow Connector 747">
          <a:extLst>
            <a:ext uri="{FF2B5EF4-FFF2-40B4-BE49-F238E27FC236}">
              <a16:creationId xmlns:a16="http://schemas.microsoft.com/office/drawing/2014/main" id="{00000000-0008-0000-1200-0000EC020000}"/>
            </a:ext>
          </a:extLst>
        </xdr:cNvPr>
        <xdr:cNvCxnSpPr/>
      </xdr:nvCxnSpPr>
      <xdr:spPr>
        <a:xfrm>
          <a:off x="10530417" y="48027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749" name="Straight Arrow Connector 748">
          <a:extLst>
            <a:ext uri="{FF2B5EF4-FFF2-40B4-BE49-F238E27FC236}">
              <a16:creationId xmlns:a16="http://schemas.microsoft.com/office/drawing/2014/main" id="{00000000-0008-0000-1200-0000ED020000}"/>
            </a:ext>
          </a:extLst>
        </xdr:cNvPr>
        <xdr:cNvCxnSpPr/>
      </xdr:nvCxnSpPr>
      <xdr:spPr>
        <a:xfrm>
          <a:off x="10541000" y="48037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1192</xdr:row>
      <xdr:rowOff>42333</xdr:rowOff>
    </xdr:from>
    <xdr:to>
      <xdr:col>9</xdr:col>
      <xdr:colOff>592666</xdr:colOff>
      <xdr:row>1200</xdr:row>
      <xdr:rowOff>42333</xdr:rowOff>
    </xdr:to>
    <xdr:cxnSp macro="">
      <xdr:nvCxnSpPr>
        <xdr:cNvPr id="750" name="Straight Arrow Connector 749">
          <a:extLst>
            <a:ext uri="{FF2B5EF4-FFF2-40B4-BE49-F238E27FC236}">
              <a16:creationId xmlns:a16="http://schemas.microsoft.com/office/drawing/2014/main" id="{00000000-0008-0000-1200-0000EE020000}"/>
            </a:ext>
          </a:extLst>
        </xdr:cNvPr>
        <xdr:cNvCxnSpPr/>
      </xdr:nvCxnSpPr>
      <xdr:spPr>
        <a:xfrm flipV="1">
          <a:off x="6392333"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1202</xdr:row>
      <xdr:rowOff>169334</xdr:rowOff>
    </xdr:from>
    <xdr:to>
      <xdr:col>9</xdr:col>
      <xdr:colOff>603250</xdr:colOff>
      <xdr:row>1211</xdr:row>
      <xdr:rowOff>31750</xdr:rowOff>
    </xdr:to>
    <xdr:cxnSp macro="">
      <xdr:nvCxnSpPr>
        <xdr:cNvPr id="751" name="Straight Arrow Connector 750">
          <a:extLst>
            <a:ext uri="{FF2B5EF4-FFF2-40B4-BE49-F238E27FC236}">
              <a16:creationId xmlns:a16="http://schemas.microsoft.com/office/drawing/2014/main" id="{00000000-0008-0000-1200-0000EF020000}"/>
            </a:ext>
          </a:extLst>
        </xdr:cNvPr>
        <xdr:cNvCxnSpPr/>
      </xdr:nvCxnSpPr>
      <xdr:spPr>
        <a:xfrm>
          <a:off x="6413500"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1208</xdr:row>
      <xdr:rowOff>158750</xdr:rowOff>
    </xdr:from>
    <xdr:to>
      <xdr:col>11</xdr:col>
      <xdr:colOff>571500</xdr:colOff>
      <xdr:row>1211</xdr:row>
      <xdr:rowOff>0</xdr:rowOff>
    </xdr:to>
    <xdr:cxnSp macro="">
      <xdr:nvCxnSpPr>
        <xdr:cNvPr id="752" name="Straight Arrow Connector 751">
          <a:extLst>
            <a:ext uri="{FF2B5EF4-FFF2-40B4-BE49-F238E27FC236}">
              <a16:creationId xmlns:a16="http://schemas.microsoft.com/office/drawing/2014/main" id="{00000000-0008-0000-1200-0000F0020000}"/>
            </a:ext>
          </a:extLst>
        </xdr:cNvPr>
        <xdr:cNvCxnSpPr/>
      </xdr:nvCxnSpPr>
      <xdr:spPr>
        <a:xfrm flipV="1">
          <a:off x="7556500" y="58451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1166</xdr:row>
      <xdr:rowOff>0</xdr:rowOff>
    </xdr:from>
    <xdr:to>
      <xdr:col>15</xdr:col>
      <xdr:colOff>603250</xdr:colOff>
      <xdr:row>1168</xdr:row>
      <xdr:rowOff>1</xdr:rowOff>
    </xdr:to>
    <xdr:cxnSp macro="">
      <xdr:nvCxnSpPr>
        <xdr:cNvPr id="753" name="Straight Arrow Connector 752">
          <a:extLst>
            <a:ext uri="{FF2B5EF4-FFF2-40B4-BE49-F238E27FC236}">
              <a16:creationId xmlns:a16="http://schemas.microsoft.com/office/drawing/2014/main" id="{00000000-0008-0000-1200-0000F1020000}"/>
            </a:ext>
          </a:extLst>
        </xdr:cNvPr>
        <xdr:cNvCxnSpPr/>
      </xdr:nvCxnSpPr>
      <xdr:spPr>
        <a:xfrm flipV="1">
          <a:off x="10530417"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1168</xdr:row>
      <xdr:rowOff>10584</xdr:rowOff>
    </xdr:from>
    <xdr:to>
      <xdr:col>15</xdr:col>
      <xdr:colOff>592666</xdr:colOff>
      <xdr:row>1169</xdr:row>
      <xdr:rowOff>95250</xdr:rowOff>
    </xdr:to>
    <xdr:cxnSp macro="">
      <xdr:nvCxnSpPr>
        <xdr:cNvPr id="754" name="Straight Arrow Connector 753">
          <a:extLst>
            <a:ext uri="{FF2B5EF4-FFF2-40B4-BE49-F238E27FC236}">
              <a16:creationId xmlns:a16="http://schemas.microsoft.com/office/drawing/2014/main" id="{00000000-0008-0000-1200-0000F2020000}"/>
            </a:ext>
          </a:extLst>
        </xdr:cNvPr>
        <xdr:cNvCxnSpPr/>
      </xdr:nvCxnSpPr>
      <xdr:spPr>
        <a:xfrm>
          <a:off x="10572750"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1168</xdr:row>
      <xdr:rowOff>10584</xdr:rowOff>
    </xdr:from>
    <xdr:to>
      <xdr:col>15</xdr:col>
      <xdr:colOff>560916</xdr:colOff>
      <xdr:row>1172</xdr:row>
      <xdr:rowOff>52917</xdr:rowOff>
    </xdr:to>
    <xdr:cxnSp macro="">
      <xdr:nvCxnSpPr>
        <xdr:cNvPr id="755" name="Straight Arrow Connector 754">
          <a:extLst>
            <a:ext uri="{FF2B5EF4-FFF2-40B4-BE49-F238E27FC236}">
              <a16:creationId xmlns:a16="http://schemas.microsoft.com/office/drawing/2014/main" id="{00000000-0008-0000-1200-0000F3020000}"/>
            </a:ext>
          </a:extLst>
        </xdr:cNvPr>
        <xdr:cNvCxnSpPr/>
      </xdr:nvCxnSpPr>
      <xdr:spPr>
        <a:xfrm>
          <a:off x="10551583"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756" name="Straight Arrow Connector 755">
          <a:extLst>
            <a:ext uri="{FF2B5EF4-FFF2-40B4-BE49-F238E27FC236}">
              <a16:creationId xmlns:a16="http://schemas.microsoft.com/office/drawing/2014/main" id="{00000000-0008-0000-1200-0000F4020000}"/>
            </a:ext>
          </a:extLst>
        </xdr:cNvPr>
        <xdr:cNvCxnSpPr/>
      </xdr:nvCxnSpPr>
      <xdr:spPr>
        <a:xfrm>
          <a:off x="10583333" y="50704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1182</xdr:row>
      <xdr:rowOff>0</xdr:rowOff>
    </xdr:from>
    <xdr:to>
      <xdr:col>16</xdr:col>
      <xdr:colOff>0</xdr:colOff>
      <xdr:row>1182</xdr:row>
      <xdr:rowOff>42334</xdr:rowOff>
    </xdr:to>
    <xdr:cxnSp macro="">
      <xdr:nvCxnSpPr>
        <xdr:cNvPr id="757" name="Straight Arrow Connector 756">
          <a:extLst>
            <a:ext uri="{FF2B5EF4-FFF2-40B4-BE49-F238E27FC236}">
              <a16:creationId xmlns:a16="http://schemas.microsoft.com/office/drawing/2014/main" id="{00000000-0008-0000-1200-0000F5020000}"/>
            </a:ext>
          </a:extLst>
        </xdr:cNvPr>
        <xdr:cNvCxnSpPr/>
      </xdr:nvCxnSpPr>
      <xdr:spPr>
        <a:xfrm>
          <a:off x="10562166" y="53340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1182</xdr:row>
      <xdr:rowOff>21166</xdr:rowOff>
    </xdr:from>
    <xdr:to>
      <xdr:col>15</xdr:col>
      <xdr:colOff>560916</xdr:colOff>
      <xdr:row>1185</xdr:row>
      <xdr:rowOff>84667</xdr:rowOff>
    </xdr:to>
    <xdr:cxnSp macro="">
      <xdr:nvCxnSpPr>
        <xdr:cNvPr id="758" name="Straight Arrow Connector 757">
          <a:extLst>
            <a:ext uri="{FF2B5EF4-FFF2-40B4-BE49-F238E27FC236}">
              <a16:creationId xmlns:a16="http://schemas.microsoft.com/office/drawing/2014/main" id="{00000000-0008-0000-1200-0000F6020000}"/>
            </a:ext>
          </a:extLst>
        </xdr:cNvPr>
        <xdr:cNvCxnSpPr/>
      </xdr:nvCxnSpPr>
      <xdr:spPr>
        <a:xfrm>
          <a:off x="10615083"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1182</xdr:row>
      <xdr:rowOff>52916</xdr:rowOff>
    </xdr:from>
    <xdr:to>
      <xdr:col>15</xdr:col>
      <xdr:colOff>592666</xdr:colOff>
      <xdr:row>1188</xdr:row>
      <xdr:rowOff>63501</xdr:rowOff>
    </xdr:to>
    <xdr:cxnSp macro="">
      <xdr:nvCxnSpPr>
        <xdr:cNvPr id="759" name="Straight Arrow Connector 758">
          <a:extLst>
            <a:ext uri="{FF2B5EF4-FFF2-40B4-BE49-F238E27FC236}">
              <a16:creationId xmlns:a16="http://schemas.microsoft.com/office/drawing/2014/main" id="{00000000-0008-0000-1200-0000F7020000}"/>
            </a:ext>
          </a:extLst>
        </xdr:cNvPr>
        <xdr:cNvCxnSpPr/>
      </xdr:nvCxnSpPr>
      <xdr:spPr>
        <a:xfrm>
          <a:off x="10572750"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1196</xdr:row>
      <xdr:rowOff>116416</xdr:rowOff>
    </xdr:from>
    <xdr:to>
      <xdr:col>15</xdr:col>
      <xdr:colOff>592666</xdr:colOff>
      <xdr:row>1199</xdr:row>
      <xdr:rowOff>158750</xdr:rowOff>
    </xdr:to>
    <xdr:cxnSp macro="">
      <xdr:nvCxnSpPr>
        <xdr:cNvPr id="760" name="Straight Arrow Connector 759">
          <a:extLst>
            <a:ext uri="{FF2B5EF4-FFF2-40B4-BE49-F238E27FC236}">
              <a16:creationId xmlns:a16="http://schemas.microsoft.com/office/drawing/2014/main" id="{00000000-0008-0000-1200-0000F8020000}"/>
            </a:ext>
          </a:extLst>
        </xdr:cNvPr>
        <xdr:cNvCxnSpPr/>
      </xdr:nvCxnSpPr>
      <xdr:spPr>
        <a:xfrm flipV="1">
          <a:off x="10562166"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1198</xdr:row>
      <xdr:rowOff>95250</xdr:rowOff>
    </xdr:from>
    <xdr:to>
      <xdr:col>15</xdr:col>
      <xdr:colOff>582083</xdr:colOff>
      <xdr:row>1200</xdr:row>
      <xdr:rowOff>52917</xdr:rowOff>
    </xdr:to>
    <xdr:cxnSp macro="">
      <xdr:nvCxnSpPr>
        <xdr:cNvPr id="761" name="Straight Arrow Connector 760">
          <a:extLst>
            <a:ext uri="{FF2B5EF4-FFF2-40B4-BE49-F238E27FC236}">
              <a16:creationId xmlns:a16="http://schemas.microsoft.com/office/drawing/2014/main" id="{00000000-0008-0000-1200-0000F9020000}"/>
            </a:ext>
          </a:extLst>
        </xdr:cNvPr>
        <xdr:cNvCxnSpPr/>
      </xdr:nvCxnSpPr>
      <xdr:spPr>
        <a:xfrm flipV="1">
          <a:off x="10604500"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116417</xdr:rowOff>
    </xdr:from>
    <xdr:to>
      <xdr:col>15</xdr:col>
      <xdr:colOff>592666</xdr:colOff>
      <xdr:row>1204</xdr:row>
      <xdr:rowOff>95250</xdr:rowOff>
    </xdr:to>
    <xdr:cxnSp macro="">
      <xdr:nvCxnSpPr>
        <xdr:cNvPr id="762" name="Straight Arrow Connector 761">
          <a:extLst>
            <a:ext uri="{FF2B5EF4-FFF2-40B4-BE49-F238E27FC236}">
              <a16:creationId xmlns:a16="http://schemas.microsoft.com/office/drawing/2014/main" id="{00000000-0008-0000-1200-0000FA020000}"/>
            </a:ext>
          </a:extLst>
        </xdr:cNvPr>
        <xdr:cNvCxnSpPr/>
      </xdr:nvCxnSpPr>
      <xdr:spPr>
        <a:xfrm>
          <a:off x="10593916"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1211</xdr:row>
      <xdr:rowOff>116416</xdr:rowOff>
    </xdr:from>
    <xdr:to>
      <xdr:col>16</xdr:col>
      <xdr:colOff>0</xdr:colOff>
      <xdr:row>1218</xdr:row>
      <xdr:rowOff>74084</xdr:rowOff>
    </xdr:to>
    <xdr:cxnSp macro="">
      <xdr:nvCxnSpPr>
        <xdr:cNvPr id="763" name="Straight Arrow Connector 762">
          <a:extLst>
            <a:ext uri="{FF2B5EF4-FFF2-40B4-BE49-F238E27FC236}">
              <a16:creationId xmlns:a16="http://schemas.microsoft.com/office/drawing/2014/main" id="{00000000-0008-0000-1200-0000FB020000}"/>
            </a:ext>
          </a:extLst>
        </xdr:cNvPr>
        <xdr:cNvCxnSpPr/>
      </xdr:nvCxnSpPr>
      <xdr:spPr>
        <a:xfrm>
          <a:off x="10572750" y="58980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1179</xdr:row>
      <xdr:rowOff>52917</xdr:rowOff>
    </xdr:from>
    <xdr:to>
      <xdr:col>15</xdr:col>
      <xdr:colOff>603250</xdr:colOff>
      <xdr:row>1181</xdr:row>
      <xdr:rowOff>148167</xdr:rowOff>
    </xdr:to>
    <xdr:cxnSp macro="">
      <xdr:nvCxnSpPr>
        <xdr:cNvPr id="764" name="Straight Arrow Connector 763">
          <a:extLst>
            <a:ext uri="{FF2B5EF4-FFF2-40B4-BE49-F238E27FC236}">
              <a16:creationId xmlns:a16="http://schemas.microsoft.com/office/drawing/2014/main" id="{00000000-0008-0000-1200-0000FC020000}"/>
            </a:ext>
          </a:extLst>
        </xdr:cNvPr>
        <xdr:cNvCxnSpPr/>
      </xdr:nvCxnSpPr>
      <xdr:spPr>
        <a:xfrm flipV="1">
          <a:off x="10583333"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1214</xdr:row>
      <xdr:rowOff>42333</xdr:rowOff>
    </xdr:from>
    <xdr:to>
      <xdr:col>11</xdr:col>
      <xdr:colOff>603250</xdr:colOff>
      <xdr:row>1226</xdr:row>
      <xdr:rowOff>10583</xdr:rowOff>
    </xdr:to>
    <xdr:cxnSp macro="">
      <xdr:nvCxnSpPr>
        <xdr:cNvPr id="765" name="Straight Arrow Connector 764">
          <a:extLst>
            <a:ext uri="{FF2B5EF4-FFF2-40B4-BE49-F238E27FC236}">
              <a16:creationId xmlns:a16="http://schemas.microsoft.com/office/drawing/2014/main" id="{00000000-0008-0000-1200-0000FD020000}"/>
            </a:ext>
          </a:extLst>
        </xdr:cNvPr>
        <xdr:cNvCxnSpPr/>
      </xdr:nvCxnSpPr>
      <xdr:spPr>
        <a:xfrm>
          <a:off x="7598834"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1204</xdr:row>
      <xdr:rowOff>21167</xdr:rowOff>
    </xdr:from>
    <xdr:to>
      <xdr:col>13</xdr:col>
      <xdr:colOff>592667</xdr:colOff>
      <xdr:row>1206</xdr:row>
      <xdr:rowOff>0</xdr:rowOff>
    </xdr:to>
    <xdr:cxnSp macro="">
      <xdr:nvCxnSpPr>
        <xdr:cNvPr id="766" name="Straight Arrow Connector 765">
          <a:extLst>
            <a:ext uri="{FF2B5EF4-FFF2-40B4-BE49-F238E27FC236}">
              <a16:creationId xmlns:a16="http://schemas.microsoft.com/office/drawing/2014/main" id="{00000000-0008-0000-1200-0000FE020000}"/>
            </a:ext>
          </a:extLst>
        </xdr:cNvPr>
        <xdr:cNvCxnSpPr/>
      </xdr:nvCxnSpPr>
      <xdr:spPr>
        <a:xfrm flipV="1">
          <a:off x="8794750" y="57552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1209</xdr:row>
      <xdr:rowOff>21166</xdr:rowOff>
    </xdr:from>
    <xdr:to>
      <xdr:col>13</xdr:col>
      <xdr:colOff>592667</xdr:colOff>
      <xdr:row>1210</xdr:row>
      <xdr:rowOff>169334</xdr:rowOff>
    </xdr:to>
    <xdr:cxnSp macro="">
      <xdr:nvCxnSpPr>
        <xdr:cNvPr id="767" name="Straight Arrow Connector 766">
          <a:extLst>
            <a:ext uri="{FF2B5EF4-FFF2-40B4-BE49-F238E27FC236}">
              <a16:creationId xmlns:a16="http://schemas.microsoft.com/office/drawing/2014/main" id="{00000000-0008-0000-1200-0000FF020000}"/>
            </a:ext>
          </a:extLst>
        </xdr:cNvPr>
        <xdr:cNvCxnSpPr/>
      </xdr:nvCxnSpPr>
      <xdr:spPr>
        <a:xfrm>
          <a:off x="8784166" y="58504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1224</xdr:row>
      <xdr:rowOff>21167</xdr:rowOff>
    </xdr:from>
    <xdr:to>
      <xdr:col>13</xdr:col>
      <xdr:colOff>592667</xdr:colOff>
      <xdr:row>1226</xdr:row>
      <xdr:rowOff>63500</xdr:rowOff>
    </xdr:to>
    <xdr:cxnSp macro="">
      <xdr:nvCxnSpPr>
        <xdr:cNvPr id="768" name="Straight Arrow Connector 767">
          <a:extLst>
            <a:ext uri="{FF2B5EF4-FFF2-40B4-BE49-F238E27FC236}">
              <a16:creationId xmlns:a16="http://schemas.microsoft.com/office/drawing/2014/main" id="{00000000-0008-0000-1200-000000030000}"/>
            </a:ext>
          </a:extLst>
        </xdr:cNvPr>
        <xdr:cNvCxnSpPr/>
      </xdr:nvCxnSpPr>
      <xdr:spPr>
        <a:xfrm flipV="1">
          <a:off x="879475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1229</xdr:row>
      <xdr:rowOff>0</xdr:rowOff>
    </xdr:from>
    <xdr:to>
      <xdr:col>14</xdr:col>
      <xdr:colOff>10584</xdr:colOff>
      <xdr:row>1237</xdr:row>
      <xdr:rowOff>148167</xdr:rowOff>
    </xdr:to>
    <xdr:cxnSp macro="">
      <xdr:nvCxnSpPr>
        <xdr:cNvPr id="769" name="Straight Arrow Connector 768">
          <a:extLst>
            <a:ext uri="{FF2B5EF4-FFF2-40B4-BE49-F238E27FC236}">
              <a16:creationId xmlns:a16="http://schemas.microsoft.com/office/drawing/2014/main" id="{00000000-0008-0000-1200-000001030000}"/>
            </a:ext>
          </a:extLst>
        </xdr:cNvPr>
        <xdr:cNvCxnSpPr/>
      </xdr:nvCxnSpPr>
      <xdr:spPr>
        <a:xfrm>
          <a:off x="8805333" y="62484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95250</xdr:rowOff>
    </xdr:from>
    <xdr:to>
      <xdr:col>15</xdr:col>
      <xdr:colOff>582083</xdr:colOff>
      <xdr:row>1202</xdr:row>
      <xdr:rowOff>137583</xdr:rowOff>
    </xdr:to>
    <xdr:cxnSp macro="">
      <xdr:nvCxnSpPr>
        <xdr:cNvPr id="770" name="Straight Arrow Connector 769">
          <a:extLst>
            <a:ext uri="{FF2B5EF4-FFF2-40B4-BE49-F238E27FC236}">
              <a16:creationId xmlns:a16="http://schemas.microsoft.com/office/drawing/2014/main" id="{00000000-0008-0000-1200-000002030000}"/>
            </a:ext>
          </a:extLst>
        </xdr:cNvPr>
        <xdr:cNvCxnSpPr/>
      </xdr:nvCxnSpPr>
      <xdr:spPr>
        <a:xfrm>
          <a:off x="10593916"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1209</xdr:row>
      <xdr:rowOff>52916</xdr:rowOff>
    </xdr:from>
    <xdr:to>
      <xdr:col>16</xdr:col>
      <xdr:colOff>0</xdr:colOff>
      <xdr:row>1211</xdr:row>
      <xdr:rowOff>0</xdr:rowOff>
    </xdr:to>
    <xdr:cxnSp macro="">
      <xdr:nvCxnSpPr>
        <xdr:cNvPr id="771" name="Straight Arrow Connector 770">
          <a:extLst>
            <a:ext uri="{FF2B5EF4-FFF2-40B4-BE49-F238E27FC236}">
              <a16:creationId xmlns:a16="http://schemas.microsoft.com/office/drawing/2014/main" id="{00000000-0008-0000-1200-000003030000}"/>
            </a:ext>
          </a:extLst>
        </xdr:cNvPr>
        <xdr:cNvCxnSpPr/>
      </xdr:nvCxnSpPr>
      <xdr:spPr>
        <a:xfrm flipV="1">
          <a:off x="10541000" y="58536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21167</xdr:rowOff>
    </xdr:from>
    <xdr:to>
      <xdr:col>15</xdr:col>
      <xdr:colOff>592666</xdr:colOff>
      <xdr:row>1212</xdr:row>
      <xdr:rowOff>84667</xdr:rowOff>
    </xdr:to>
    <xdr:cxnSp macro="">
      <xdr:nvCxnSpPr>
        <xdr:cNvPr id="772" name="Straight Arrow Connector 771">
          <a:extLst>
            <a:ext uri="{FF2B5EF4-FFF2-40B4-BE49-F238E27FC236}">
              <a16:creationId xmlns:a16="http://schemas.microsoft.com/office/drawing/2014/main" id="{00000000-0008-0000-1200-000004030000}"/>
            </a:ext>
          </a:extLst>
        </xdr:cNvPr>
        <xdr:cNvCxnSpPr/>
      </xdr:nvCxnSpPr>
      <xdr:spPr>
        <a:xfrm>
          <a:off x="10530417"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0</xdr:rowOff>
    </xdr:from>
    <xdr:to>
      <xdr:col>16</xdr:col>
      <xdr:colOff>0</xdr:colOff>
      <xdr:row>1215</xdr:row>
      <xdr:rowOff>42334</xdr:rowOff>
    </xdr:to>
    <xdr:cxnSp macro="">
      <xdr:nvCxnSpPr>
        <xdr:cNvPr id="773" name="Straight Arrow Connector 772">
          <a:extLst>
            <a:ext uri="{FF2B5EF4-FFF2-40B4-BE49-F238E27FC236}">
              <a16:creationId xmlns:a16="http://schemas.microsoft.com/office/drawing/2014/main" id="{00000000-0008-0000-1200-000005030000}"/>
            </a:ext>
          </a:extLst>
        </xdr:cNvPr>
        <xdr:cNvCxnSpPr/>
      </xdr:nvCxnSpPr>
      <xdr:spPr>
        <a:xfrm>
          <a:off x="10530417" y="58864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1222</xdr:row>
      <xdr:rowOff>0</xdr:rowOff>
    </xdr:from>
    <xdr:to>
      <xdr:col>15</xdr:col>
      <xdr:colOff>603250</xdr:colOff>
      <xdr:row>1224</xdr:row>
      <xdr:rowOff>1</xdr:rowOff>
    </xdr:to>
    <xdr:cxnSp macro="">
      <xdr:nvCxnSpPr>
        <xdr:cNvPr id="774" name="Straight Arrow Connector 773">
          <a:extLst>
            <a:ext uri="{FF2B5EF4-FFF2-40B4-BE49-F238E27FC236}">
              <a16:creationId xmlns:a16="http://schemas.microsoft.com/office/drawing/2014/main" id="{00000000-0008-0000-1200-000006030000}"/>
            </a:ext>
          </a:extLst>
        </xdr:cNvPr>
        <xdr:cNvCxnSpPr/>
      </xdr:nvCxnSpPr>
      <xdr:spPr>
        <a:xfrm flipV="1">
          <a:off x="10530417"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1224</xdr:row>
      <xdr:rowOff>10584</xdr:rowOff>
    </xdr:from>
    <xdr:to>
      <xdr:col>15</xdr:col>
      <xdr:colOff>592666</xdr:colOff>
      <xdr:row>1225</xdr:row>
      <xdr:rowOff>95250</xdr:rowOff>
    </xdr:to>
    <xdr:cxnSp macro="">
      <xdr:nvCxnSpPr>
        <xdr:cNvPr id="775" name="Straight Arrow Connector 774">
          <a:extLst>
            <a:ext uri="{FF2B5EF4-FFF2-40B4-BE49-F238E27FC236}">
              <a16:creationId xmlns:a16="http://schemas.microsoft.com/office/drawing/2014/main" id="{00000000-0008-0000-1200-000007030000}"/>
            </a:ext>
          </a:extLst>
        </xdr:cNvPr>
        <xdr:cNvCxnSpPr/>
      </xdr:nvCxnSpPr>
      <xdr:spPr>
        <a:xfrm>
          <a:off x="10572750"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1224</xdr:row>
      <xdr:rowOff>10584</xdr:rowOff>
    </xdr:from>
    <xdr:to>
      <xdr:col>15</xdr:col>
      <xdr:colOff>560916</xdr:colOff>
      <xdr:row>1228</xdr:row>
      <xdr:rowOff>52917</xdr:rowOff>
    </xdr:to>
    <xdr:cxnSp macro="">
      <xdr:nvCxnSpPr>
        <xdr:cNvPr id="776" name="Straight Arrow Connector 775">
          <a:extLst>
            <a:ext uri="{FF2B5EF4-FFF2-40B4-BE49-F238E27FC236}">
              <a16:creationId xmlns:a16="http://schemas.microsoft.com/office/drawing/2014/main" id="{00000000-0008-0000-1200-000008030000}"/>
            </a:ext>
          </a:extLst>
        </xdr:cNvPr>
        <xdr:cNvCxnSpPr/>
      </xdr:nvCxnSpPr>
      <xdr:spPr>
        <a:xfrm>
          <a:off x="10551583"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777" name="Straight Arrow Connector 776">
          <a:extLst>
            <a:ext uri="{FF2B5EF4-FFF2-40B4-BE49-F238E27FC236}">
              <a16:creationId xmlns:a16="http://schemas.microsoft.com/office/drawing/2014/main" id="{00000000-0008-0000-1200-000009030000}"/>
            </a:ext>
          </a:extLst>
        </xdr:cNvPr>
        <xdr:cNvCxnSpPr/>
      </xdr:nvCxnSpPr>
      <xdr:spPr>
        <a:xfrm>
          <a:off x="10583333" y="61563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1238</xdr:row>
      <xdr:rowOff>0</xdr:rowOff>
    </xdr:from>
    <xdr:to>
      <xdr:col>16</xdr:col>
      <xdr:colOff>0</xdr:colOff>
      <xdr:row>1238</xdr:row>
      <xdr:rowOff>42334</xdr:rowOff>
    </xdr:to>
    <xdr:cxnSp macro="">
      <xdr:nvCxnSpPr>
        <xdr:cNvPr id="778" name="Straight Arrow Connector 777">
          <a:extLst>
            <a:ext uri="{FF2B5EF4-FFF2-40B4-BE49-F238E27FC236}">
              <a16:creationId xmlns:a16="http://schemas.microsoft.com/office/drawing/2014/main" id="{00000000-0008-0000-1200-00000A030000}"/>
            </a:ext>
          </a:extLst>
        </xdr:cNvPr>
        <xdr:cNvCxnSpPr/>
      </xdr:nvCxnSpPr>
      <xdr:spPr>
        <a:xfrm>
          <a:off x="10562166" y="64198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1238</xdr:row>
      <xdr:rowOff>21166</xdr:rowOff>
    </xdr:from>
    <xdr:to>
      <xdr:col>15</xdr:col>
      <xdr:colOff>560916</xdr:colOff>
      <xdr:row>1241</xdr:row>
      <xdr:rowOff>84667</xdr:rowOff>
    </xdr:to>
    <xdr:cxnSp macro="">
      <xdr:nvCxnSpPr>
        <xdr:cNvPr id="779" name="Straight Arrow Connector 778">
          <a:extLst>
            <a:ext uri="{FF2B5EF4-FFF2-40B4-BE49-F238E27FC236}">
              <a16:creationId xmlns:a16="http://schemas.microsoft.com/office/drawing/2014/main" id="{00000000-0008-0000-1200-00000B030000}"/>
            </a:ext>
          </a:extLst>
        </xdr:cNvPr>
        <xdr:cNvCxnSpPr/>
      </xdr:nvCxnSpPr>
      <xdr:spPr>
        <a:xfrm>
          <a:off x="10615083"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1238</xdr:row>
      <xdr:rowOff>52916</xdr:rowOff>
    </xdr:from>
    <xdr:to>
      <xdr:col>15</xdr:col>
      <xdr:colOff>592666</xdr:colOff>
      <xdr:row>1244</xdr:row>
      <xdr:rowOff>63501</xdr:rowOff>
    </xdr:to>
    <xdr:cxnSp macro="">
      <xdr:nvCxnSpPr>
        <xdr:cNvPr id="780" name="Straight Arrow Connector 779">
          <a:extLst>
            <a:ext uri="{FF2B5EF4-FFF2-40B4-BE49-F238E27FC236}">
              <a16:creationId xmlns:a16="http://schemas.microsoft.com/office/drawing/2014/main" id="{00000000-0008-0000-1200-00000C030000}"/>
            </a:ext>
          </a:extLst>
        </xdr:cNvPr>
        <xdr:cNvCxnSpPr/>
      </xdr:nvCxnSpPr>
      <xdr:spPr>
        <a:xfrm>
          <a:off x="10572750"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1235</xdr:row>
      <xdr:rowOff>52917</xdr:rowOff>
    </xdr:from>
    <xdr:to>
      <xdr:col>15</xdr:col>
      <xdr:colOff>603250</xdr:colOff>
      <xdr:row>1237</xdr:row>
      <xdr:rowOff>148167</xdr:rowOff>
    </xdr:to>
    <xdr:cxnSp macro="">
      <xdr:nvCxnSpPr>
        <xdr:cNvPr id="781" name="Straight Arrow Connector 780">
          <a:extLst>
            <a:ext uri="{FF2B5EF4-FFF2-40B4-BE49-F238E27FC236}">
              <a16:creationId xmlns:a16="http://schemas.microsoft.com/office/drawing/2014/main" id="{00000000-0008-0000-1200-00000D030000}"/>
            </a:ext>
          </a:extLst>
        </xdr:cNvPr>
        <xdr:cNvCxnSpPr/>
      </xdr:nvCxnSpPr>
      <xdr:spPr>
        <a:xfrm flipV="1">
          <a:off x="10583333"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1279</xdr:row>
      <xdr:rowOff>95250</xdr:rowOff>
    </xdr:from>
    <xdr:to>
      <xdr:col>8</xdr:col>
      <xdr:colOff>21167</xdr:colOff>
      <xdr:row>1311</xdr:row>
      <xdr:rowOff>148166</xdr:rowOff>
    </xdr:to>
    <xdr:cxnSp macro="">
      <xdr:nvCxnSpPr>
        <xdr:cNvPr id="782" name="Straight Arrow Connector 781">
          <a:extLst>
            <a:ext uri="{FF2B5EF4-FFF2-40B4-BE49-F238E27FC236}">
              <a16:creationId xmlns:a16="http://schemas.microsoft.com/office/drawing/2014/main" id="{00000000-0008-0000-1200-00000E030000}"/>
            </a:ext>
          </a:extLst>
        </xdr:cNvPr>
        <xdr:cNvCxnSpPr/>
      </xdr:nvCxnSpPr>
      <xdr:spPr>
        <a:xfrm>
          <a:off x="5080000" y="72294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1250</xdr:row>
      <xdr:rowOff>137583</xdr:rowOff>
    </xdr:from>
    <xdr:to>
      <xdr:col>9</xdr:col>
      <xdr:colOff>603250</xdr:colOff>
      <xdr:row>1256</xdr:row>
      <xdr:rowOff>21166</xdr:rowOff>
    </xdr:to>
    <xdr:cxnSp macro="">
      <xdr:nvCxnSpPr>
        <xdr:cNvPr id="783" name="Straight Arrow Connector 782">
          <a:extLst>
            <a:ext uri="{FF2B5EF4-FFF2-40B4-BE49-F238E27FC236}">
              <a16:creationId xmlns:a16="http://schemas.microsoft.com/office/drawing/2014/main" id="{00000000-0008-0000-1200-00000F030000}"/>
            </a:ext>
          </a:extLst>
        </xdr:cNvPr>
        <xdr:cNvCxnSpPr/>
      </xdr:nvCxnSpPr>
      <xdr:spPr>
        <a:xfrm flipV="1">
          <a:off x="6381750"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1259</xdr:row>
      <xdr:rowOff>0</xdr:rowOff>
    </xdr:from>
    <xdr:to>
      <xdr:col>9</xdr:col>
      <xdr:colOff>582083</xdr:colOff>
      <xdr:row>1267</xdr:row>
      <xdr:rowOff>10583</xdr:rowOff>
    </xdr:to>
    <xdr:cxnSp macro="">
      <xdr:nvCxnSpPr>
        <xdr:cNvPr id="784" name="Straight Arrow Connector 783">
          <a:extLst>
            <a:ext uri="{FF2B5EF4-FFF2-40B4-BE49-F238E27FC236}">
              <a16:creationId xmlns:a16="http://schemas.microsoft.com/office/drawing/2014/main" id="{00000000-0008-0000-1200-000010030000}"/>
            </a:ext>
          </a:extLst>
        </xdr:cNvPr>
        <xdr:cNvCxnSpPr/>
      </xdr:nvCxnSpPr>
      <xdr:spPr>
        <a:xfrm>
          <a:off x="6413500"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1264</xdr:row>
      <xdr:rowOff>169333</xdr:rowOff>
    </xdr:from>
    <xdr:to>
      <xdr:col>11</xdr:col>
      <xdr:colOff>603250</xdr:colOff>
      <xdr:row>1267</xdr:row>
      <xdr:rowOff>21167</xdr:rowOff>
    </xdr:to>
    <xdr:cxnSp macro="">
      <xdr:nvCxnSpPr>
        <xdr:cNvPr id="785" name="Straight Arrow Connector 784">
          <a:extLst>
            <a:ext uri="{FF2B5EF4-FFF2-40B4-BE49-F238E27FC236}">
              <a16:creationId xmlns:a16="http://schemas.microsoft.com/office/drawing/2014/main" id="{00000000-0008-0000-1200-000011030000}"/>
            </a:ext>
          </a:extLst>
        </xdr:cNvPr>
        <xdr:cNvCxnSpPr/>
      </xdr:nvCxnSpPr>
      <xdr:spPr>
        <a:xfrm flipV="1">
          <a:off x="7609417"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1270</xdr:row>
      <xdr:rowOff>42333</xdr:rowOff>
    </xdr:from>
    <xdr:to>
      <xdr:col>11</xdr:col>
      <xdr:colOff>603250</xdr:colOff>
      <xdr:row>1282</xdr:row>
      <xdr:rowOff>10583</xdr:rowOff>
    </xdr:to>
    <xdr:cxnSp macro="">
      <xdr:nvCxnSpPr>
        <xdr:cNvPr id="786" name="Straight Arrow Connector 785">
          <a:extLst>
            <a:ext uri="{FF2B5EF4-FFF2-40B4-BE49-F238E27FC236}">
              <a16:creationId xmlns:a16="http://schemas.microsoft.com/office/drawing/2014/main" id="{00000000-0008-0000-1200-000012030000}"/>
            </a:ext>
          </a:extLst>
        </xdr:cNvPr>
        <xdr:cNvCxnSpPr/>
      </xdr:nvCxnSpPr>
      <xdr:spPr>
        <a:xfrm>
          <a:off x="7598834"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1260</xdr:row>
      <xdr:rowOff>21167</xdr:rowOff>
    </xdr:from>
    <xdr:to>
      <xdr:col>13</xdr:col>
      <xdr:colOff>592667</xdr:colOff>
      <xdr:row>1262</xdr:row>
      <xdr:rowOff>0</xdr:rowOff>
    </xdr:to>
    <xdr:cxnSp macro="">
      <xdr:nvCxnSpPr>
        <xdr:cNvPr id="787" name="Straight Arrow Connector 786">
          <a:extLst>
            <a:ext uri="{FF2B5EF4-FFF2-40B4-BE49-F238E27FC236}">
              <a16:creationId xmlns:a16="http://schemas.microsoft.com/office/drawing/2014/main" id="{00000000-0008-0000-1200-000013030000}"/>
            </a:ext>
          </a:extLst>
        </xdr:cNvPr>
        <xdr:cNvCxnSpPr/>
      </xdr:nvCxnSpPr>
      <xdr:spPr>
        <a:xfrm flipV="1">
          <a:off x="8794750" y="68410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1265</xdr:row>
      <xdr:rowOff>21166</xdr:rowOff>
    </xdr:from>
    <xdr:to>
      <xdr:col>13</xdr:col>
      <xdr:colOff>592667</xdr:colOff>
      <xdr:row>1266</xdr:row>
      <xdr:rowOff>169334</xdr:rowOff>
    </xdr:to>
    <xdr:cxnSp macro="">
      <xdr:nvCxnSpPr>
        <xdr:cNvPr id="788" name="Straight Arrow Connector 787">
          <a:extLst>
            <a:ext uri="{FF2B5EF4-FFF2-40B4-BE49-F238E27FC236}">
              <a16:creationId xmlns:a16="http://schemas.microsoft.com/office/drawing/2014/main" id="{00000000-0008-0000-1200-000014030000}"/>
            </a:ext>
          </a:extLst>
        </xdr:cNvPr>
        <xdr:cNvCxnSpPr/>
      </xdr:nvCxnSpPr>
      <xdr:spPr>
        <a:xfrm>
          <a:off x="8784166" y="69363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1280</xdr:row>
      <xdr:rowOff>21167</xdr:rowOff>
    </xdr:from>
    <xdr:to>
      <xdr:col>13</xdr:col>
      <xdr:colOff>592667</xdr:colOff>
      <xdr:row>1282</xdr:row>
      <xdr:rowOff>63500</xdr:rowOff>
    </xdr:to>
    <xdr:cxnSp macro="">
      <xdr:nvCxnSpPr>
        <xdr:cNvPr id="789" name="Straight Arrow Connector 788">
          <a:extLst>
            <a:ext uri="{FF2B5EF4-FFF2-40B4-BE49-F238E27FC236}">
              <a16:creationId xmlns:a16="http://schemas.microsoft.com/office/drawing/2014/main" id="{00000000-0008-0000-1200-000015030000}"/>
            </a:ext>
          </a:extLst>
        </xdr:cNvPr>
        <xdr:cNvCxnSpPr/>
      </xdr:nvCxnSpPr>
      <xdr:spPr>
        <a:xfrm flipV="1">
          <a:off x="879475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1285</xdr:row>
      <xdr:rowOff>0</xdr:rowOff>
    </xdr:from>
    <xdr:to>
      <xdr:col>14</xdr:col>
      <xdr:colOff>10584</xdr:colOff>
      <xdr:row>1293</xdr:row>
      <xdr:rowOff>148167</xdr:rowOff>
    </xdr:to>
    <xdr:cxnSp macro="">
      <xdr:nvCxnSpPr>
        <xdr:cNvPr id="790" name="Straight Arrow Connector 789">
          <a:extLst>
            <a:ext uri="{FF2B5EF4-FFF2-40B4-BE49-F238E27FC236}">
              <a16:creationId xmlns:a16="http://schemas.microsoft.com/office/drawing/2014/main" id="{00000000-0008-0000-1200-000016030000}"/>
            </a:ext>
          </a:extLst>
        </xdr:cNvPr>
        <xdr:cNvCxnSpPr/>
      </xdr:nvCxnSpPr>
      <xdr:spPr>
        <a:xfrm>
          <a:off x="8805333" y="73342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1252</xdr:row>
      <xdr:rowOff>0</xdr:rowOff>
    </xdr:from>
    <xdr:to>
      <xdr:col>15</xdr:col>
      <xdr:colOff>603250</xdr:colOff>
      <xdr:row>1257</xdr:row>
      <xdr:rowOff>31750</xdr:rowOff>
    </xdr:to>
    <xdr:cxnSp macro="">
      <xdr:nvCxnSpPr>
        <xdr:cNvPr id="791" name="Straight Arrow Connector 790">
          <a:extLst>
            <a:ext uri="{FF2B5EF4-FFF2-40B4-BE49-F238E27FC236}">
              <a16:creationId xmlns:a16="http://schemas.microsoft.com/office/drawing/2014/main" id="{00000000-0008-0000-1200-000017030000}"/>
            </a:ext>
          </a:extLst>
        </xdr:cNvPr>
        <xdr:cNvCxnSpPr/>
      </xdr:nvCxnSpPr>
      <xdr:spPr>
        <a:xfrm flipV="1">
          <a:off x="10541000"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1255</xdr:row>
      <xdr:rowOff>52917</xdr:rowOff>
    </xdr:from>
    <xdr:to>
      <xdr:col>15</xdr:col>
      <xdr:colOff>603250</xdr:colOff>
      <xdr:row>1257</xdr:row>
      <xdr:rowOff>95250</xdr:rowOff>
    </xdr:to>
    <xdr:cxnSp macro="">
      <xdr:nvCxnSpPr>
        <xdr:cNvPr id="792" name="Straight Arrow Connector 791">
          <a:extLst>
            <a:ext uri="{FF2B5EF4-FFF2-40B4-BE49-F238E27FC236}">
              <a16:creationId xmlns:a16="http://schemas.microsoft.com/office/drawing/2014/main" id="{00000000-0008-0000-1200-000018030000}"/>
            </a:ext>
          </a:extLst>
        </xdr:cNvPr>
        <xdr:cNvCxnSpPr/>
      </xdr:nvCxnSpPr>
      <xdr:spPr>
        <a:xfrm flipV="1">
          <a:off x="10583333"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1257</xdr:row>
      <xdr:rowOff>158750</xdr:rowOff>
    </xdr:from>
    <xdr:to>
      <xdr:col>15</xdr:col>
      <xdr:colOff>582083</xdr:colOff>
      <xdr:row>1258</xdr:row>
      <xdr:rowOff>137583</xdr:rowOff>
    </xdr:to>
    <xdr:cxnSp macro="">
      <xdr:nvCxnSpPr>
        <xdr:cNvPr id="793" name="Straight Arrow Connector 792">
          <a:extLst>
            <a:ext uri="{FF2B5EF4-FFF2-40B4-BE49-F238E27FC236}">
              <a16:creationId xmlns:a16="http://schemas.microsoft.com/office/drawing/2014/main" id="{00000000-0008-0000-1200-000019030000}"/>
            </a:ext>
          </a:extLst>
        </xdr:cNvPr>
        <xdr:cNvCxnSpPr/>
      </xdr:nvCxnSpPr>
      <xdr:spPr>
        <a:xfrm>
          <a:off x="10604500"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1257</xdr:row>
      <xdr:rowOff>105834</xdr:rowOff>
    </xdr:from>
    <xdr:to>
      <xdr:col>16</xdr:col>
      <xdr:colOff>0</xdr:colOff>
      <xdr:row>1261</xdr:row>
      <xdr:rowOff>84667</xdr:rowOff>
    </xdr:to>
    <xdr:cxnSp macro="">
      <xdr:nvCxnSpPr>
        <xdr:cNvPr id="794" name="Straight Arrow Connector 793">
          <a:extLst>
            <a:ext uri="{FF2B5EF4-FFF2-40B4-BE49-F238E27FC236}">
              <a16:creationId xmlns:a16="http://schemas.microsoft.com/office/drawing/2014/main" id="{00000000-0008-0000-1200-00001A030000}"/>
            </a:ext>
          </a:extLst>
        </xdr:cNvPr>
        <xdr:cNvCxnSpPr/>
      </xdr:nvCxnSpPr>
      <xdr:spPr>
        <a:xfrm>
          <a:off x="10519834" y="67923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1265</xdr:row>
      <xdr:rowOff>52916</xdr:rowOff>
    </xdr:from>
    <xdr:to>
      <xdr:col>16</xdr:col>
      <xdr:colOff>0</xdr:colOff>
      <xdr:row>1267</xdr:row>
      <xdr:rowOff>0</xdr:rowOff>
    </xdr:to>
    <xdr:cxnSp macro="">
      <xdr:nvCxnSpPr>
        <xdr:cNvPr id="795" name="Straight Arrow Connector 794">
          <a:extLst>
            <a:ext uri="{FF2B5EF4-FFF2-40B4-BE49-F238E27FC236}">
              <a16:creationId xmlns:a16="http://schemas.microsoft.com/office/drawing/2014/main" id="{00000000-0008-0000-1200-00001B030000}"/>
            </a:ext>
          </a:extLst>
        </xdr:cNvPr>
        <xdr:cNvCxnSpPr/>
      </xdr:nvCxnSpPr>
      <xdr:spPr>
        <a:xfrm flipV="1">
          <a:off x="10541000" y="69394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1267</xdr:row>
      <xdr:rowOff>21167</xdr:rowOff>
    </xdr:from>
    <xdr:to>
      <xdr:col>15</xdr:col>
      <xdr:colOff>582083</xdr:colOff>
      <xdr:row>1268</xdr:row>
      <xdr:rowOff>42333</xdr:rowOff>
    </xdr:to>
    <xdr:cxnSp macro="">
      <xdr:nvCxnSpPr>
        <xdr:cNvPr id="796" name="Straight Arrow Connector 795">
          <a:extLst>
            <a:ext uri="{FF2B5EF4-FFF2-40B4-BE49-F238E27FC236}">
              <a16:creationId xmlns:a16="http://schemas.microsoft.com/office/drawing/2014/main" id="{00000000-0008-0000-1200-00001C030000}"/>
            </a:ext>
          </a:extLst>
        </xdr:cNvPr>
        <xdr:cNvCxnSpPr/>
      </xdr:nvCxnSpPr>
      <xdr:spPr>
        <a:xfrm>
          <a:off x="10551583"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1267</xdr:row>
      <xdr:rowOff>21167</xdr:rowOff>
    </xdr:from>
    <xdr:to>
      <xdr:col>16</xdr:col>
      <xdr:colOff>42333</xdr:colOff>
      <xdr:row>1272</xdr:row>
      <xdr:rowOff>21168</xdr:rowOff>
    </xdr:to>
    <xdr:cxnSp macro="">
      <xdr:nvCxnSpPr>
        <xdr:cNvPr id="797" name="Straight Arrow Connector 796">
          <a:extLst>
            <a:ext uri="{FF2B5EF4-FFF2-40B4-BE49-F238E27FC236}">
              <a16:creationId xmlns:a16="http://schemas.microsoft.com/office/drawing/2014/main" id="{00000000-0008-0000-1200-00001D030000}"/>
            </a:ext>
          </a:extLst>
        </xdr:cNvPr>
        <xdr:cNvCxnSpPr/>
      </xdr:nvCxnSpPr>
      <xdr:spPr>
        <a:xfrm>
          <a:off x="10530417" y="69744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798" name="Straight Arrow Connector 797">
          <a:extLst>
            <a:ext uri="{FF2B5EF4-FFF2-40B4-BE49-F238E27FC236}">
              <a16:creationId xmlns:a16="http://schemas.microsoft.com/office/drawing/2014/main" id="{00000000-0008-0000-1200-00001E030000}"/>
            </a:ext>
          </a:extLst>
        </xdr:cNvPr>
        <xdr:cNvCxnSpPr/>
      </xdr:nvCxnSpPr>
      <xdr:spPr>
        <a:xfrm>
          <a:off x="10541000" y="69754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1304</xdr:row>
      <xdr:rowOff>42333</xdr:rowOff>
    </xdr:from>
    <xdr:to>
      <xdr:col>9</xdr:col>
      <xdr:colOff>592666</xdr:colOff>
      <xdr:row>1312</xdr:row>
      <xdr:rowOff>42333</xdr:rowOff>
    </xdr:to>
    <xdr:cxnSp macro="">
      <xdr:nvCxnSpPr>
        <xdr:cNvPr id="799" name="Straight Arrow Connector 798">
          <a:extLst>
            <a:ext uri="{FF2B5EF4-FFF2-40B4-BE49-F238E27FC236}">
              <a16:creationId xmlns:a16="http://schemas.microsoft.com/office/drawing/2014/main" id="{00000000-0008-0000-1200-00001F030000}"/>
            </a:ext>
          </a:extLst>
        </xdr:cNvPr>
        <xdr:cNvCxnSpPr/>
      </xdr:nvCxnSpPr>
      <xdr:spPr>
        <a:xfrm flipV="1">
          <a:off x="6392333"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1314</xdr:row>
      <xdr:rowOff>169334</xdr:rowOff>
    </xdr:from>
    <xdr:to>
      <xdr:col>9</xdr:col>
      <xdr:colOff>603250</xdr:colOff>
      <xdr:row>1323</xdr:row>
      <xdr:rowOff>31750</xdr:rowOff>
    </xdr:to>
    <xdr:cxnSp macro="">
      <xdr:nvCxnSpPr>
        <xdr:cNvPr id="800" name="Straight Arrow Connector 799">
          <a:extLst>
            <a:ext uri="{FF2B5EF4-FFF2-40B4-BE49-F238E27FC236}">
              <a16:creationId xmlns:a16="http://schemas.microsoft.com/office/drawing/2014/main" id="{00000000-0008-0000-1200-000020030000}"/>
            </a:ext>
          </a:extLst>
        </xdr:cNvPr>
        <xdr:cNvCxnSpPr/>
      </xdr:nvCxnSpPr>
      <xdr:spPr>
        <a:xfrm>
          <a:off x="6413500"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1320</xdr:row>
      <xdr:rowOff>158750</xdr:rowOff>
    </xdr:from>
    <xdr:to>
      <xdr:col>11</xdr:col>
      <xdr:colOff>571500</xdr:colOff>
      <xdr:row>1323</xdr:row>
      <xdr:rowOff>0</xdr:rowOff>
    </xdr:to>
    <xdr:cxnSp macro="">
      <xdr:nvCxnSpPr>
        <xdr:cNvPr id="801" name="Straight Arrow Connector 800">
          <a:extLst>
            <a:ext uri="{FF2B5EF4-FFF2-40B4-BE49-F238E27FC236}">
              <a16:creationId xmlns:a16="http://schemas.microsoft.com/office/drawing/2014/main" id="{00000000-0008-0000-1200-000021030000}"/>
            </a:ext>
          </a:extLst>
        </xdr:cNvPr>
        <xdr:cNvCxnSpPr/>
      </xdr:nvCxnSpPr>
      <xdr:spPr>
        <a:xfrm flipV="1">
          <a:off x="7556500" y="80168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1278</xdr:row>
      <xdr:rowOff>0</xdr:rowOff>
    </xdr:from>
    <xdr:to>
      <xdr:col>15</xdr:col>
      <xdr:colOff>603250</xdr:colOff>
      <xdr:row>1280</xdr:row>
      <xdr:rowOff>1</xdr:rowOff>
    </xdr:to>
    <xdr:cxnSp macro="">
      <xdr:nvCxnSpPr>
        <xdr:cNvPr id="802" name="Straight Arrow Connector 801">
          <a:extLst>
            <a:ext uri="{FF2B5EF4-FFF2-40B4-BE49-F238E27FC236}">
              <a16:creationId xmlns:a16="http://schemas.microsoft.com/office/drawing/2014/main" id="{00000000-0008-0000-1200-000022030000}"/>
            </a:ext>
          </a:extLst>
        </xdr:cNvPr>
        <xdr:cNvCxnSpPr/>
      </xdr:nvCxnSpPr>
      <xdr:spPr>
        <a:xfrm flipV="1">
          <a:off x="10530417"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1280</xdr:row>
      <xdr:rowOff>10584</xdr:rowOff>
    </xdr:from>
    <xdr:to>
      <xdr:col>15</xdr:col>
      <xdr:colOff>592666</xdr:colOff>
      <xdr:row>1281</xdr:row>
      <xdr:rowOff>95250</xdr:rowOff>
    </xdr:to>
    <xdr:cxnSp macro="">
      <xdr:nvCxnSpPr>
        <xdr:cNvPr id="803" name="Straight Arrow Connector 802">
          <a:extLst>
            <a:ext uri="{FF2B5EF4-FFF2-40B4-BE49-F238E27FC236}">
              <a16:creationId xmlns:a16="http://schemas.microsoft.com/office/drawing/2014/main" id="{00000000-0008-0000-1200-000023030000}"/>
            </a:ext>
          </a:extLst>
        </xdr:cNvPr>
        <xdr:cNvCxnSpPr/>
      </xdr:nvCxnSpPr>
      <xdr:spPr>
        <a:xfrm>
          <a:off x="10572750"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1280</xdr:row>
      <xdr:rowOff>10584</xdr:rowOff>
    </xdr:from>
    <xdr:to>
      <xdr:col>15</xdr:col>
      <xdr:colOff>560916</xdr:colOff>
      <xdr:row>1284</xdr:row>
      <xdr:rowOff>52917</xdr:rowOff>
    </xdr:to>
    <xdr:cxnSp macro="">
      <xdr:nvCxnSpPr>
        <xdr:cNvPr id="804" name="Straight Arrow Connector 803">
          <a:extLst>
            <a:ext uri="{FF2B5EF4-FFF2-40B4-BE49-F238E27FC236}">
              <a16:creationId xmlns:a16="http://schemas.microsoft.com/office/drawing/2014/main" id="{00000000-0008-0000-1200-000024030000}"/>
            </a:ext>
          </a:extLst>
        </xdr:cNvPr>
        <xdr:cNvCxnSpPr/>
      </xdr:nvCxnSpPr>
      <xdr:spPr>
        <a:xfrm>
          <a:off x="10551583"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805" name="Straight Arrow Connector 804">
          <a:extLst>
            <a:ext uri="{FF2B5EF4-FFF2-40B4-BE49-F238E27FC236}">
              <a16:creationId xmlns:a16="http://schemas.microsoft.com/office/drawing/2014/main" id="{00000000-0008-0000-1200-000025030000}"/>
            </a:ext>
          </a:extLst>
        </xdr:cNvPr>
        <xdr:cNvCxnSpPr/>
      </xdr:nvCxnSpPr>
      <xdr:spPr>
        <a:xfrm>
          <a:off x="10583333" y="72421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1294</xdr:row>
      <xdr:rowOff>0</xdr:rowOff>
    </xdr:from>
    <xdr:to>
      <xdr:col>16</xdr:col>
      <xdr:colOff>0</xdr:colOff>
      <xdr:row>1294</xdr:row>
      <xdr:rowOff>42334</xdr:rowOff>
    </xdr:to>
    <xdr:cxnSp macro="">
      <xdr:nvCxnSpPr>
        <xdr:cNvPr id="806" name="Straight Arrow Connector 805">
          <a:extLst>
            <a:ext uri="{FF2B5EF4-FFF2-40B4-BE49-F238E27FC236}">
              <a16:creationId xmlns:a16="http://schemas.microsoft.com/office/drawing/2014/main" id="{00000000-0008-0000-1200-000026030000}"/>
            </a:ext>
          </a:extLst>
        </xdr:cNvPr>
        <xdr:cNvCxnSpPr/>
      </xdr:nvCxnSpPr>
      <xdr:spPr>
        <a:xfrm>
          <a:off x="10562166" y="75057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1294</xdr:row>
      <xdr:rowOff>21166</xdr:rowOff>
    </xdr:from>
    <xdr:to>
      <xdr:col>15</xdr:col>
      <xdr:colOff>560916</xdr:colOff>
      <xdr:row>1297</xdr:row>
      <xdr:rowOff>84667</xdr:rowOff>
    </xdr:to>
    <xdr:cxnSp macro="">
      <xdr:nvCxnSpPr>
        <xdr:cNvPr id="807" name="Straight Arrow Connector 806">
          <a:extLst>
            <a:ext uri="{FF2B5EF4-FFF2-40B4-BE49-F238E27FC236}">
              <a16:creationId xmlns:a16="http://schemas.microsoft.com/office/drawing/2014/main" id="{00000000-0008-0000-1200-000027030000}"/>
            </a:ext>
          </a:extLst>
        </xdr:cNvPr>
        <xdr:cNvCxnSpPr/>
      </xdr:nvCxnSpPr>
      <xdr:spPr>
        <a:xfrm>
          <a:off x="10615083"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1294</xdr:row>
      <xdr:rowOff>52916</xdr:rowOff>
    </xdr:from>
    <xdr:to>
      <xdr:col>15</xdr:col>
      <xdr:colOff>592666</xdr:colOff>
      <xdr:row>1300</xdr:row>
      <xdr:rowOff>63501</xdr:rowOff>
    </xdr:to>
    <xdr:cxnSp macro="">
      <xdr:nvCxnSpPr>
        <xdr:cNvPr id="808" name="Straight Arrow Connector 807">
          <a:extLst>
            <a:ext uri="{FF2B5EF4-FFF2-40B4-BE49-F238E27FC236}">
              <a16:creationId xmlns:a16="http://schemas.microsoft.com/office/drawing/2014/main" id="{00000000-0008-0000-1200-000028030000}"/>
            </a:ext>
          </a:extLst>
        </xdr:cNvPr>
        <xdr:cNvCxnSpPr/>
      </xdr:nvCxnSpPr>
      <xdr:spPr>
        <a:xfrm>
          <a:off x="10572750"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1308</xdr:row>
      <xdr:rowOff>116416</xdr:rowOff>
    </xdr:from>
    <xdr:to>
      <xdr:col>15</xdr:col>
      <xdr:colOff>592666</xdr:colOff>
      <xdr:row>1311</xdr:row>
      <xdr:rowOff>158750</xdr:rowOff>
    </xdr:to>
    <xdr:cxnSp macro="">
      <xdr:nvCxnSpPr>
        <xdr:cNvPr id="809" name="Straight Arrow Connector 808">
          <a:extLst>
            <a:ext uri="{FF2B5EF4-FFF2-40B4-BE49-F238E27FC236}">
              <a16:creationId xmlns:a16="http://schemas.microsoft.com/office/drawing/2014/main" id="{00000000-0008-0000-1200-000029030000}"/>
            </a:ext>
          </a:extLst>
        </xdr:cNvPr>
        <xdr:cNvCxnSpPr/>
      </xdr:nvCxnSpPr>
      <xdr:spPr>
        <a:xfrm flipV="1">
          <a:off x="10562166"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1310</xdr:row>
      <xdr:rowOff>95250</xdr:rowOff>
    </xdr:from>
    <xdr:to>
      <xdr:col>15</xdr:col>
      <xdr:colOff>582083</xdr:colOff>
      <xdr:row>1312</xdr:row>
      <xdr:rowOff>52917</xdr:rowOff>
    </xdr:to>
    <xdr:cxnSp macro="">
      <xdr:nvCxnSpPr>
        <xdr:cNvPr id="810" name="Straight Arrow Connector 809">
          <a:extLst>
            <a:ext uri="{FF2B5EF4-FFF2-40B4-BE49-F238E27FC236}">
              <a16:creationId xmlns:a16="http://schemas.microsoft.com/office/drawing/2014/main" id="{00000000-0008-0000-1200-00002A030000}"/>
            </a:ext>
          </a:extLst>
        </xdr:cNvPr>
        <xdr:cNvCxnSpPr/>
      </xdr:nvCxnSpPr>
      <xdr:spPr>
        <a:xfrm flipV="1">
          <a:off x="10604500"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116417</xdr:rowOff>
    </xdr:from>
    <xdr:to>
      <xdr:col>15</xdr:col>
      <xdr:colOff>592666</xdr:colOff>
      <xdr:row>1316</xdr:row>
      <xdr:rowOff>95250</xdr:rowOff>
    </xdr:to>
    <xdr:cxnSp macro="">
      <xdr:nvCxnSpPr>
        <xdr:cNvPr id="811" name="Straight Arrow Connector 810">
          <a:extLst>
            <a:ext uri="{FF2B5EF4-FFF2-40B4-BE49-F238E27FC236}">
              <a16:creationId xmlns:a16="http://schemas.microsoft.com/office/drawing/2014/main" id="{00000000-0008-0000-1200-00002B030000}"/>
            </a:ext>
          </a:extLst>
        </xdr:cNvPr>
        <xdr:cNvCxnSpPr/>
      </xdr:nvCxnSpPr>
      <xdr:spPr>
        <a:xfrm>
          <a:off x="10593916"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1323</xdr:row>
      <xdr:rowOff>116416</xdr:rowOff>
    </xdr:from>
    <xdr:to>
      <xdr:col>16</xdr:col>
      <xdr:colOff>0</xdr:colOff>
      <xdr:row>1330</xdr:row>
      <xdr:rowOff>74084</xdr:rowOff>
    </xdr:to>
    <xdr:cxnSp macro="">
      <xdr:nvCxnSpPr>
        <xdr:cNvPr id="812" name="Straight Arrow Connector 811">
          <a:extLst>
            <a:ext uri="{FF2B5EF4-FFF2-40B4-BE49-F238E27FC236}">
              <a16:creationId xmlns:a16="http://schemas.microsoft.com/office/drawing/2014/main" id="{00000000-0008-0000-1200-00002C030000}"/>
            </a:ext>
          </a:extLst>
        </xdr:cNvPr>
        <xdr:cNvCxnSpPr/>
      </xdr:nvCxnSpPr>
      <xdr:spPr>
        <a:xfrm>
          <a:off x="10572750" y="80697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1291</xdr:row>
      <xdr:rowOff>52917</xdr:rowOff>
    </xdr:from>
    <xdr:to>
      <xdr:col>15</xdr:col>
      <xdr:colOff>603250</xdr:colOff>
      <xdr:row>1293</xdr:row>
      <xdr:rowOff>148167</xdr:rowOff>
    </xdr:to>
    <xdr:cxnSp macro="">
      <xdr:nvCxnSpPr>
        <xdr:cNvPr id="813" name="Straight Arrow Connector 812">
          <a:extLst>
            <a:ext uri="{FF2B5EF4-FFF2-40B4-BE49-F238E27FC236}">
              <a16:creationId xmlns:a16="http://schemas.microsoft.com/office/drawing/2014/main" id="{00000000-0008-0000-1200-00002D030000}"/>
            </a:ext>
          </a:extLst>
        </xdr:cNvPr>
        <xdr:cNvCxnSpPr/>
      </xdr:nvCxnSpPr>
      <xdr:spPr>
        <a:xfrm flipV="1">
          <a:off x="10583333"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1326</xdr:row>
      <xdr:rowOff>42333</xdr:rowOff>
    </xdr:from>
    <xdr:to>
      <xdr:col>11</xdr:col>
      <xdr:colOff>603250</xdr:colOff>
      <xdr:row>1338</xdr:row>
      <xdr:rowOff>10583</xdr:rowOff>
    </xdr:to>
    <xdr:cxnSp macro="">
      <xdr:nvCxnSpPr>
        <xdr:cNvPr id="814" name="Straight Arrow Connector 813">
          <a:extLst>
            <a:ext uri="{FF2B5EF4-FFF2-40B4-BE49-F238E27FC236}">
              <a16:creationId xmlns:a16="http://schemas.microsoft.com/office/drawing/2014/main" id="{00000000-0008-0000-1200-00002E030000}"/>
            </a:ext>
          </a:extLst>
        </xdr:cNvPr>
        <xdr:cNvCxnSpPr/>
      </xdr:nvCxnSpPr>
      <xdr:spPr>
        <a:xfrm>
          <a:off x="7598834"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1316</xdr:row>
      <xdr:rowOff>21167</xdr:rowOff>
    </xdr:from>
    <xdr:to>
      <xdr:col>13</xdr:col>
      <xdr:colOff>592667</xdr:colOff>
      <xdr:row>1318</xdr:row>
      <xdr:rowOff>0</xdr:rowOff>
    </xdr:to>
    <xdr:cxnSp macro="">
      <xdr:nvCxnSpPr>
        <xdr:cNvPr id="815" name="Straight Arrow Connector 814">
          <a:extLst>
            <a:ext uri="{FF2B5EF4-FFF2-40B4-BE49-F238E27FC236}">
              <a16:creationId xmlns:a16="http://schemas.microsoft.com/office/drawing/2014/main" id="{00000000-0008-0000-1200-00002F030000}"/>
            </a:ext>
          </a:extLst>
        </xdr:cNvPr>
        <xdr:cNvCxnSpPr/>
      </xdr:nvCxnSpPr>
      <xdr:spPr>
        <a:xfrm flipV="1">
          <a:off x="8794750" y="7926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1321</xdr:row>
      <xdr:rowOff>21166</xdr:rowOff>
    </xdr:from>
    <xdr:to>
      <xdr:col>13</xdr:col>
      <xdr:colOff>592667</xdr:colOff>
      <xdr:row>1322</xdr:row>
      <xdr:rowOff>169334</xdr:rowOff>
    </xdr:to>
    <xdr:cxnSp macro="">
      <xdr:nvCxnSpPr>
        <xdr:cNvPr id="816" name="Straight Arrow Connector 815">
          <a:extLst>
            <a:ext uri="{FF2B5EF4-FFF2-40B4-BE49-F238E27FC236}">
              <a16:creationId xmlns:a16="http://schemas.microsoft.com/office/drawing/2014/main" id="{00000000-0008-0000-1200-000030030000}"/>
            </a:ext>
          </a:extLst>
        </xdr:cNvPr>
        <xdr:cNvCxnSpPr/>
      </xdr:nvCxnSpPr>
      <xdr:spPr>
        <a:xfrm>
          <a:off x="8784166" y="8022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1336</xdr:row>
      <xdr:rowOff>21167</xdr:rowOff>
    </xdr:from>
    <xdr:to>
      <xdr:col>13</xdr:col>
      <xdr:colOff>592667</xdr:colOff>
      <xdr:row>1338</xdr:row>
      <xdr:rowOff>63500</xdr:rowOff>
    </xdr:to>
    <xdr:cxnSp macro="">
      <xdr:nvCxnSpPr>
        <xdr:cNvPr id="817" name="Straight Arrow Connector 816">
          <a:extLst>
            <a:ext uri="{FF2B5EF4-FFF2-40B4-BE49-F238E27FC236}">
              <a16:creationId xmlns:a16="http://schemas.microsoft.com/office/drawing/2014/main" id="{00000000-0008-0000-1200-000031030000}"/>
            </a:ext>
          </a:extLst>
        </xdr:cNvPr>
        <xdr:cNvCxnSpPr/>
      </xdr:nvCxnSpPr>
      <xdr:spPr>
        <a:xfrm flipV="1">
          <a:off x="879475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1341</xdr:row>
      <xdr:rowOff>0</xdr:rowOff>
    </xdr:from>
    <xdr:to>
      <xdr:col>14</xdr:col>
      <xdr:colOff>10584</xdr:colOff>
      <xdr:row>1349</xdr:row>
      <xdr:rowOff>148167</xdr:rowOff>
    </xdr:to>
    <xdr:cxnSp macro="">
      <xdr:nvCxnSpPr>
        <xdr:cNvPr id="818" name="Straight Arrow Connector 817">
          <a:extLst>
            <a:ext uri="{FF2B5EF4-FFF2-40B4-BE49-F238E27FC236}">
              <a16:creationId xmlns:a16="http://schemas.microsoft.com/office/drawing/2014/main" id="{00000000-0008-0000-1200-000032030000}"/>
            </a:ext>
          </a:extLst>
        </xdr:cNvPr>
        <xdr:cNvCxnSpPr/>
      </xdr:nvCxnSpPr>
      <xdr:spPr>
        <a:xfrm>
          <a:off x="8805333" y="8420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95250</xdr:rowOff>
    </xdr:from>
    <xdr:to>
      <xdr:col>15</xdr:col>
      <xdr:colOff>582083</xdr:colOff>
      <xdr:row>1314</xdr:row>
      <xdr:rowOff>137583</xdr:rowOff>
    </xdr:to>
    <xdr:cxnSp macro="">
      <xdr:nvCxnSpPr>
        <xdr:cNvPr id="819" name="Straight Arrow Connector 818">
          <a:extLst>
            <a:ext uri="{FF2B5EF4-FFF2-40B4-BE49-F238E27FC236}">
              <a16:creationId xmlns:a16="http://schemas.microsoft.com/office/drawing/2014/main" id="{00000000-0008-0000-1200-000033030000}"/>
            </a:ext>
          </a:extLst>
        </xdr:cNvPr>
        <xdr:cNvCxnSpPr/>
      </xdr:nvCxnSpPr>
      <xdr:spPr>
        <a:xfrm>
          <a:off x="10593916"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1321</xdr:row>
      <xdr:rowOff>52916</xdr:rowOff>
    </xdr:from>
    <xdr:to>
      <xdr:col>16</xdr:col>
      <xdr:colOff>0</xdr:colOff>
      <xdr:row>1323</xdr:row>
      <xdr:rowOff>0</xdr:rowOff>
    </xdr:to>
    <xdr:cxnSp macro="">
      <xdr:nvCxnSpPr>
        <xdr:cNvPr id="820" name="Straight Arrow Connector 819">
          <a:extLst>
            <a:ext uri="{FF2B5EF4-FFF2-40B4-BE49-F238E27FC236}">
              <a16:creationId xmlns:a16="http://schemas.microsoft.com/office/drawing/2014/main" id="{00000000-0008-0000-1200-000034030000}"/>
            </a:ext>
          </a:extLst>
        </xdr:cNvPr>
        <xdr:cNvCxnSpPr/>
      </xdr:nvCxnSpPr>
      <xdr:spPr>
        <a:xfrm flipV="1">
          <a:off x="10541000" y="8025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21167</xdr:rowOff>
    </xdr:from>
    <xdr:to>
      <xdr:col>15</xdr:col>
      <xdr:colOff>592666</xdr:colOff>
      <xdr:row>1324</xdr:row>
      <xdr:rowOff>84667</xdr:rowOff>
    </xdr:to>
    <xdr:cxnSp macro="">
      <xdr:nvCxnSpPr>
        <xdr:cNvPr id="821" name="Straight Arrow Connector 820">
          <a:extLst>
            <a:ext uri="{FF2B5EF4-FFF2-40B4-BE49-F238E27FC236}">
              <a16:creationId xmlns:a16="http://schemas.microsoft.com/office/drawing/2014/main" id="{00000000-0008-0000-1200-000035030000}"/>
            </a:ext>
          </a:extLst>
        </xdr:cNvPr>
        <xdr:cNvCxnSpPr/>
      </xdr:nvCxnSpPr>
      <xdr:spPr>
        <a:xfrm>
          <a:off x="10530417"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0</xdr:rowOff>
    </xdr:from>
    <xdr:to>
      <xdr:col>16</xdr:col>
      <xdr:colOff>0</xdr:colOff>
      <xdr:row>1327</xdr:row>
      <xdr:rowOff>42334</xdr:rowOff>
    </xdr:to>
    <xdr:cxnSp macro="">
      <xdr:nvCxnSpPr>
        <xdr:cNvPr id="822" name="Straight Arrow Connector 821">
          <a:extLst>
            <a:ext uri="{FF2B5EF4-FFF2-40B4-BE49-F238E27FC236}">
              <a16:creationId xmlns:a16="http://schemas.microsoft.com/office/drawing/2014/main" id="{00000000-0008-0000-1200-000036030000}"/>
            </a:ext>
          </a:extLst>
        </xdr:cNvPr>
        <xdr:cNvCxnSpPr/>
      </xdr:nvCxnSpPr>
      <xdr:spPr>
        <a:xfrm>
          <a:off x="10530417" y="80581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1334</xdr:row>
      <xdr:rowOff>0</xdr:rowOff>
    </xdr:from>
    <xdr:to>
      <xdr:col>15</xdr:col>
      <xdr:colOff>603250</xdr:colOff>
      <xdr:row>1336</xdr:row>
      <xdr:rowOff>1</xdr:rowOff>
    </xdr:to>
    <xdr:cxnSp macro="">
      <xdr:nvCxnSpPr>
        <xdr:cNvPr id="823" name="Straight Arrow Connector 822">
          <a:extLst>
            <a:ext uri="{FF2B5EF4-FFF2-40B4-BE49-F238E27FC236}">
              <a16:creationId xmlns:a16="http://schemas.microsoft.com/office/drawing/2014/main" id="{00000000-0008-0000-1200-000037030000}"/>
            </a:ext>
          </a:extLst>
        </xdr:cNvPr>
        <xdr:cNvCxnSpPr/>
      </xdr:nvCxnSpPr>
      <xdr:spPr>
        <a:xfrm flipV="1">
          <a:off x="10530417"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1336</xdr:row>
      <xdr:rowOff>10584</xdr:rowOff>
    </xdr:from>
    <xdr:to>
      <xdr:col>15</xdr:col>
      <xdr:colOff>592666</xdr:colOff>
      <xdr:row>1337</xdr:row>
      <xdr:rowOff>95250</xdr:rowOff>
    </xdr:to>
    <xdr:cxnSp macro="">
      <xdr:nvCxnSpPr>
        <xdr:cNvPr id="824" name="Straight Arrow Connector 823">
          <a:extLst>
            <a:ext uri="{FF2B5EF4-FFF2-40B4-BE49-F238E27FC236}">
              <a16:creationId xmlns:a16="http://schemas.microsoft.com/office/drawing/2014/main" id="{00000000-0008-0000-1200-000038030000}"/>
            </a:ext>
          </a:extLst>
        </xdr:cNvPr>
        <xdr:cNvCxnSpPr/>
      </xdr:nvCxnSpPr>
      <xdr:spPr>
        <a:xfrm>
          <a:off x="10572750"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1336</xdr:row>
      <xdr:rowOff>10584</xdr:rowOff>
    </xdr:from>
    <xdr:to>
      <xdr:col>15</xdr:col>
      <xdr:colOff>560916</xdr:colOff>
      <xdr:row>1340</xdr:row>
      <xdr:rowOff>52917</xdr:rowOff>
    </xdr:to>
    <xdr:cxnSp macro="">
      <xdr:nvCxnSpPr>
        <xdr:cNvPr id="825" name="Straight Arrow Connector 824">
          <a:extLst>
            <a:ext uri="{FF2B5EF4-FFF2-40B4-BE49-F238E27FC236}">
              <a16:creationId xmlns:a16="http://schemas.microsoft.com/office/drawing/2014/main" id="{00000000-0008-0000-1200-000039030000}"/>
            </a:ext>
          </a:extLst>
        </xdr:cNvPr>
        <xdr:cNvCxnSpPr/>
      </xdr:nvCxnSpPr>
      <xdr:spPr>
        <a:xfrm>
          <a:off x="10551583"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826" name="Straight Arrow Connector 825">
          <a:extLst>
            <a:ext uri="{FF2B5EF4-FFF2-40B4-BE49-F238E27FC236}">
              <a16:creationId xmlns:a16="http://schemas.microsoft.com/office/drawing/2014/main" id="{00000000-0008-0000-1200-00003A030000}"/>
            </a:ext>
          </a:extLst>
        </xdr:cNvPr>
        <xdr:cNvCxnSpPr/>
      </xdr:nvCxnSpPr>
      <xdr:spPr>
        <a:xfrm>
          <a:off x="10583333" y="8328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1350</xdr:row>
      <xdr:rowOff>0</xdr:rowOff>
    </xdr:from>
    <xdr:to>
      <xdr:col>16</xdr:col>
      <xdr:colOff>0</xdr:colOff>
      <xdr:row>1350</xdr:row>
      <xdr:rowOff>42334</xdr:rowOff>
    </xdr:to>
    <xdr:cxnSp macro="">
      <xdr:nvCxnSpPr>
        <xdr:cNvPr id="827" name="Straight Arrow Connector 826">
          <a:extLst>
            <a:ext uri="{FF2B5EF4-FFF2-40B4-BE49-F238E27FC236}">
              <a16:creationId xmlns:a16="http://schemas.microsoft.com/office/drawing/2014/main" id="{00000000-0008-0000-1200-00003B030000}"/>
            </a:ext>
          </a:extLst>
        </xdr:cNvPr>
        <xdr:cNvCxnSpPr/>
      </xdr:nvCxnSpPr>
      <xdr:spPr>
        <a:xfrm>
          <a:off x="10562166" y="8591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1350</xdr:row>
      <xdr:rowOff>21166</xdr:rowOff>
    </xdr:from>
    <xdr:to>
      <xdr:col>15</xdr:col>
      <xdr:colOff>560916</xdr:colOff>
      <xdr:row>1353</xdr:row>
      <xdr:rowOff>84667</xdr:rowOff>
    </xdr:to>
    <xdr:cxnSp macro="">
      <xdr:nvCxnSpPr>
        <xdr:cNvPr id="828" name="Straight Arrow Connector 827">
          <a:extLst>
            <a:ext uri="{FF2B5EF4-FFF2-40B4-BE49-F238E27FC236}">
              <a16:creationId xmlns:a16="http://schemas.microsoft.com/office/drawing/2014/main" id="{00000000-0008-0000-1200-00003C030000}"/>
            </a:ext>
          </a:extLst>
        </xdr:cNvPr>
        <xdr:cNvCxnSpPr/>
      </xdr:nvCxnSpPr>
      <xdr:spPr>
        <a:xfrm>
          <a:off x="10615083"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1350</xdr:row>
      <xdr:rowOff>52916</xdr:rowOff>
    </xdr:from>
    <xdr:to>
      <xdr:col>15</xdr:col>
      <xdr:colOff>592666</xdr:colOff>
      <xdr:row>1356</xdr:row>
      <xdr:rowOff>63501</xdr:rowOff>
    </xdr:to>
    <xdr:cxnSp macro="">
      <xdr:nvCxnSpPr>
        <xdr:cNvPr id="829" name="Straight Arrow Connector 828">
          <a:extLst>
            <a:ext uri="{FF2B5EF4-FFF2-40B4-BE49-F238E27FC236}">
              <a16:creationId xmlns:a16="http://schemas.microsoft.com/office/drawing/2014/main" id="{00000000-0008-0000-1200-00003D030000}"/>
            </a:ext>
          </a:extLst>
        </xdr:cNvPr>
        <xdr:cNvCxnSpPr/>
      </xdr:nvCxnSpPr>
      <xdr:spPr>
        <a:xfrm>
          <a:off x="10572750"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1347</xdr:row>
      <xdr:rowOff>52917</xdr:rowOff>
    </xdr:from>
    <xdr:to>
      <xdr:col>15</xdr:col>
      <xdr:colOff>603250</xdr:colOff>
      <xdr:row>1349</xdr:row>
      <xdr:rowOff>148167</xdr:rowOff>
    </xdr:to>
    <xdr:cxnSp macro="">
      <xdr:nvCxnSpPr>
        <xdr:cNvPr id="830" name="Straight Arrow Connector 829">
          <a:extLst>
            <a:ext uri="{FF2B5EF4-FFF2-40B4-BE49-F238E27FC236}">
              <a16:creationId xmlns:a16="http://schemas.microsoft.com/office/drawing/2014/main" id="{00000000-0008-0000-1200-00003E030000}"/>
            </a:ext>
          </a:extLst>
        </xdr:cNvPr>
        <xdr:cNvCxnSpPr/>
      </xdr:nvCxnSpPr>
      <xdr:spPr>
        <a:xfrm flipV="1">
          <a:off x="10583333"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1258</xdr:row>
      <xdr:rowOff>127000</xdr:rowOff>
    </xdr:from>
    <xdr:to>
      <xdr:col>8</xdr:col>
      <xdr:colOff>63500</xdr:colOff>
      <xdr:row>1277</xdr:row>
      <xdr:rowOff>0</xdr:rowOff>
    </xdr:to>
    <xdr:cxnSp macro="">
      <xdr:nvCxnSpPr>
        <xdr:cNvPr id="831" name="Straight Arrow Connector 830">
          <a:extLst>
            <a:ext uri="{FF2B5EF4-FFF2-40B4-BE49-F238E27FC236}">
              <a16:creationId xmlns:a16="http://schemas.microsoft.com/office/drawing/2014/main" id="{00000000-0008-0000-1200-00003F030000}"/>
            </a:ext>
          </a:extLst>
        </xdr:cNvPr>
        <xdr:cNvCxnSpPr/>
      </xdr:nvCxnSpPr>
      <xdr:spPr>
        <a:xfrm flipV="1">
          <a:off x="5207000" y="68135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832" name="Straight Arrow Connector 831">
          <a:extLst>
            <a:ext uri="{FF2B5EF4-FFF2-40B4-BE49-F238E27FC236}">
              <a16:creationId xmlns:a16="http://schemas.microsoft.com/office/drawing/2014/main" id="{00000000-0008-0000-1200-000040030000}"/>
            </a:ext>
          </a:extLst>
        </xdr:cNvPr>
        <xdr:cNvCxnSpPr/>
      </xdr:nvCxnSpPr>
      <xdr:spPr>
        <a:xfrm flipV="1">
          <a:off x="603250" y="963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833" name="Straight Arrow Connector 832">
          <a:extLst>
            <a:ext uri="{FF2B5EF4-FFF2-40B4-BE49-F238E27FC236}">
              <a16:creationId xmlns:a16="http://schemas.microsoft.com/office/drawing/2014/main" id="{00000000-0008-0000-1200-000041030000}"/>
            </a:ext>
          </a:extLst>
        </xdr:cNvPr>
        <xdr:cNvCxnSpPr/>
      </xdr:nvCxnSpPr>
      <xdr:spPr>
        <a:xfrm>
          <a:off x="603250" y="19790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834" name="Straight Arrow Connector 833">
          <a:extLst>
            <a:ext uri="{FF2B5EF4-FFF2-40B4-BE49-F238E27FC236}">
              <a16:creationId xmlns:a16="http://schemas.microsoft.com/office/drawing/2014/main" id="{00000000-0008-0000-1200-000042030000}"/>
            </a:ext>
          </a:extLst>
        </xdr:cNvPr>
        <xdr:cNvCxnSpPr/>
      </xdr:nvCxnSpPr>
      <xdr:spPr>
        <a:xfrm flipV="1">
          <a:off x="2296584"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835" name="Straight Arrow Connector 834">
          <a:extLst>
            <a:ext uri="{FF2B5EF4-FFF2-40B4-BE49-F238E27FC236}">
              <a16:creationId xmlns:a16="http://schemas.microsoft.com/office/drawing/2014/main" id="{00000000-0008-0000-1200-000043030000}"/>
            </a:ext>
          </a:extLst>
        </xdr:cNvPr>
        <xdr:cNvCxnSpPr/>
      </xdr:nvCxnSpPr>
      <xdr:spPr>
        <a:xfrm>
          <a:off x="2307167" y="28395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836" name="Straight Arrow Connector 835">
          <a:extLst>
            <a:ext uri="{FF2B5EF4-FFF2-40B4-BE49-F238E27FC236}">
              <a16:creationId xmlns:a16="http://schemas.microsoft.com/office/drawing/2014/main" id="{00000000-0008-0000-1200-000044030000}"/>
            </a:ext>
          </a:extLst>
        </xdr:cNvPr>
        <xdr:cNvCxnSpPr/>
      </xdr:nvCxnSpPr>
      <xdr:spPr>
        <a:xfrm flipV="1">
          <a:off x="3714750" y="7810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837" name="Straight Arrow Connector 836">
          <a:extLst>
            <a:ext uri="{FF2B5EF4-FFF2-40B4-BE49-F238E27FC236}">
              <a16:creationId xmlns:a16="http://schemas.microsoft.com/office/drawing/2014/main" id="{00000000-0008-0000-1200-00004503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838" name="Straight Arrow Connector 837">
          <a:extLst>
            <a:ext uri="{FF2B5EF4-FFF2-40B4-BE49-F238E27FC236}">
              <a16:creationId xmlns:a16="http://schemas.microsoft.com/office/drawing/2014/main" id="{00000000-0008-0000-1200-000046030000}"/>
            </a:ext>
          </a:extLst>
        </xdr:cNvPr>
        <xdr:cNvCxnSpPr/>
      </xdr:nvCxnSpPr>
      <xdr:spPr>
        <a:xfrm flipV="1">
          <a:off x="517525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839" name="Straight Arrow Connector 838">
          <a:extLst>
            <a:ext uri="{FF2B5EF4-FFF2-40B4-BE49-F238E27FC236}">
              <a16:creationId xmlns:a16="http://schemas.microsoft.com/office/drawing/2014/main" id="{00000000-0008-0000-1200-000047030000}"/>
            </a:ext>
          </a:extLst>
        </xdr:cNvPr>
        <xdr:cNvCxnSpPr/>
      </xdr:nvCxnSpPr>
      <xdr:spPr>
        <a:xfrm>
          <a:off x="5175250" y="7821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840" name="Straight Arrow Connector 839">
          <a:extLst>
            <a:ext uri="{FF2B5EF4-FFF2-40B4-BE49-F238E27FC236}">
              <a16:creationId xmlns:a16="http://schemas.microsoft.com/office/drawing/2014/main" id="{00000000-0008-0000-1200-00004803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841" name="Straight Arrow Connector 840">
          <a:extLst>
            <a:ext uri="{FF2B5EF4-FFF2-40B4-BE49-F238E27FC236}">
              <a16:creationId xmlns:a16="http://schemas.microsoft.com/office/drawing/2014/main" id="{00000000-0008-0000-1200-00004903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842" name="Straight Arrow Connector 841">
          <a:extLst>
            <a:ext uri="{FF2B5EF4-FFF2-40B4-BE49-F238E27FC236}">
              <a16:creationId xmlns:a16="http://schemas.microsoft.com/office/drawing/2014/main" id="{00000000-0008-0000-1200-00004A03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843" name="Straight Arrow Connector 842">
          <a:extLst>
            <a:ext uri="{FF2B5EF4-FFF2-40B4-BE49-F238E27FC236}">
              <a16:creationId xmlns:a16="http://schemas.microsoft.com/office/drawing/2014/main" id="{00000000-0008-0000-1200-00004B03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844" name="Straight Arrow Connector 843">
          <a:extLst>
            <a:ext uri="{FF2B5EF4-FFF2-40B4-BE49-F238E27FC236}">
              <a16:creationId xmlns:a16="http://schemas.microsoft.com/office/drawing/2014/main" id="{00000000-0008-0000-1200-00004C03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845" name="Straight Arrow Connector 844">
          <a:extLst>
            <a:ext uri="{FF2B5EF4-FFF2-40B4-BE49-F238E27FC236}">
              <a16:creationId xmlns:a16="http://schemas.microsoft.com/office/drawing/2014/main" id="{00000000-0008-0000-1200-00004D03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846" name="Straight Arrow Connector 845">
          <a:extLst>
            <a:ext uri="{FF2B5EF4-FFF2-40B4-BE49-F238E27FC236}">
              <a16:creationId xmlns:a16="http://schemas.microsoft.com/office/drawing/2014/main" id="{00000000-0008-0000-1200-00004E03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847" name="Straight Arrow Connector 846">
          <a:extLst>
            <a:ext uri="{FF2B5EF4-FFF2-40B4-BE49-F238E27FC236}">
              <a16:creationId xmlns:a16="http://schemas.microsoft.com/office/drawing/2014/main" id="{00000000-0008-0000-1200-00004F03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1368</xdr:row>
      <xdr:rowOff>0</xdr:rowOff>
    </xdr:from>
    <xdr:to>
      <xdr:col>15</xdr:col>
      <xdr:colOff>603250</xdr:colOff>
      <xdr:row>1373</xdr:row>
      <xdr:rowOff>31750</xdr:rowOff>
    </xdr:to>
    <xdr:cxnSp macro="">
      <xdr:nvCxnSpPr>
        <xdr:cNvPr id="848" name="Straight Arrow Connector 847">
          <a:extLst>
            <a:ext uri="{FF2B5EF4-FFF2-40B4-BE49-F238E27FC236}">
              <a16:creationId xmlns:a16="http://schemas.microsoft.com/office/drawing/2014/main" id="{00000000-0008-0000-1200-00005003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849" name="Straight Arrow Connector 848">
          <a:extLst>
            <a:ext uri="{FF2B5EF4-FFF2-40B4-BE49-F238E27FC236}">
              <a16:creationId xmlns:a16="http://schemas.microsoft.com/office/drawing/2014/main" id="{00000000-0008-0000-1200-00005103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850" name="Straight Arrow Connector 849">
          <a:extLst>
            <a:ext uri="{FF2B5EF4-FFF2-40B4-BE49-F238E27FC236}">
              <a16:creationId xmlns:a16="http://schemas.microsoft.com/office/drawing/2014/main" id="{00000000-0008-0000-1200-00005203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851" name="Straight Arrow Connector 850">
          <a:extLst>
            <a:ext uri="{FF2B5EF4-FFF2-40B4-BE49-F238E27FC236}">
              <a16:creationId xmlns:a16="http://schemas.microsoft.com/office/drawing/2014/main" id="{00000000-0008-0000-1200-00005303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1381</xdr:row>
      <xdr:rowOff>52916</xdr:rowOff>
    </xdr:from>
    <xdr:to>
      <xdr:col>16</xdr:col>
      <xdr:colOff>0</xdr:colOff>
      <xdr:row>1383</xdr:row>
      <xdr:rowOff>0</xdr:rowOff>
    </xdr:to>
    <xdr:cxnSp macro="">
      <xdr:nvCxnSpPr>
        <xdr:cNvPr id="852" name="Straight Arrow Connector 851">
          <a:extLst>
            <a:ext uri="{FF2B5EF4-FFF2-40B4-BE49-F238E27FC236}">
              <a16:creationId xmlns:a16="http://schemas.microsoft.com/office/drawing/2014/main" id="{00000000-0008-0000-1200-00005403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853" name="Straight Arrow Connector 852">
          <a:extLst>
            <a:ext uri="{FF2B5EF4-FFF2-40B4-BE49-F238E27FC236}">
              <a16:creationId xmlns:a16="http://schemas.microsoft.com/office/drawing/2014/main" id="{00000000-0008-0000-1200-00005503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854" name="Straight Arrow Connector 853">
          <a:extLst>
            <a:ext uri="{FF2B5EF4-FFF2-40B4-BE49-F238E27FC236}">
              <a16:creationId xmlns:a16="http://schemas.microsoft.com/office/drawing/2014/main" id="{00000000-0008-0000-1200-00005603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1383</xdr:row>
      <xdr:rowOff>31750</xdr:rowOff>
    </xdr:from>
    <xdr:to>
      <xdr:col>16</xdr:col>
      <xdr:colOff>42334</xdr:colOff>
      <xdr:row>1390</xdr:row>
      <xdr:rowOff>63501</xdr:rowOff>
    </xdr:to>
    <xdr:cxnSp macro="">
      <xdr:nvCxnSpPr>
        <xdr:cNvPr id="855" name="Straight Arrow Connector 854">
          <a:extLst>
            <a:ext uri="{FF2B5EF4-FFF2-40B4-BE49-F238E27FC236}">
              <a16:creationId xmlns:a16="http://schemas.microsoft.com/office/drawing/2014/main" id="{00000000-0008-0000-1200-000057030000}"/>
            </a:ext>
          </a:extLst>
        </xdr:cNvPr>
        <xdr:cNvCxnSpPr/>
      </xdr:nvCxnSpPr>
      <xdr:spPr>
        <a:xfrm>
          <a:off x="10541000" y="460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856" name="Straight Arrow Connector 855">
          <a:extLst>
            <a:ext uri="{FF2B5EF4-FFF2-40B4-BE49-F238E27FC236}">
              <a16:creationId xmlns:a16="http://schemas.microsoft.com/office/drawing/2014/main" id="{00000000-0008-0000-1200-00005803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857" name="Straight Arrow Connector 856">
          <a:extLst>
            <a:ext uri="{FF2B5EF4-FFF2-40B4-BE49-F238E27FC236}">
              <a16:creationId xmlns:a16="http://schemas.microsoft.com/office/drawing/2014/main" id="{00000000-0008-0000-1200-00005903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858" name="Straight Arrow Connector 857">
          <a:extLst>
            <a:ext uri="{FF2B5EF4-FFF2-40B4-BE49-F238E27FC236}">
              <a16:creationId xmlns:a16="http://schemas.microsoft.com/office/drawing/2014/main" id="{00000000-0008-0000-1200-00005A03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859" name="Straight Arrow Connector 858">
          <a:extLst>
            <a:ext uri="{FF2B5EF4-FFF2-40B4-BE49-F238E27FC236}">
              <a16:creationId xmlns:a16="http://schemas.microsoft.com/office/drawing/2014/main" id="{00000000-0008-0000-1200-00005B030000}"/>
            </a:ext>
          </a:extLst>
        </xdr:cNvPr>
        <xdr:cNvCxnSpPr/>
      </xdr:nvCxnSpPr>
      <xdr:spPr>
        <a:xfrm flipV="1">
          <a:off x="10530417"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860" name="Straight Arrow Connector 859">
          <a:extLst>
            <a:ext uri="{FF2B5EF4-FFF2-40B4-BE49-F238E27FC236}">
              <a16:creationId xmlns:a16="http://schemas.microsoft.com/office/drawing/2014/main" id="{00000000-0008-0000-1200-00005C03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861" name="Straight Arrow Connector 860">
          <a:extLst>
            <a:ext uri="{FF2B5EF4-FFF2-40B4-BE49-F238E27FC236}">
              <a16:creationId xmlns:a16="http://schemas.microsoft.com/office/drawing/2014/main" id="{00000000-0008-0000-1200-00005D03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862" name="Straight Arrow Connector 861">
          <a:extLst>
            <a:ext uri="{FF2B5EF4-FFF2-40B4-BE49-F238E27FC236}">
              <a16:creationId xmlns:a16="http://schemas.microsoft.com/office/drawing/2014/main" id="{00000000-0008-0000-1200-00005E03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863" name="Straight Arrow Connector 862">
          <a:extLst>
            <a:ext uri="{FF2B5EF4-FFF2-40B4-BE49-F238E27FC236}">
              <a16:creationId xmlns:a16="http://schemas.microsoft.com/office/drawing/2014/main" id="{00000000-0008-0000-1200-00005F03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864" name="Straight Arrow Connector 863">
          <a:extLst>
            <a:ext uri="{FF2B5EF4-FFF2-40B4-BE49-F238E27FC236}">
              <a16:creationId xmlns:a16="http://schemas.microsoft.com/office/drawing/2014/main" id="{00000000-0008-0000-1200-00006003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865" name="Straight Arrow Connector 864">
          <a:extLst>
            <a:ext uri="{FF2B5EF4-FFF2-40B4-BE49-F238E27FC236}">
              <a16:creationId xmlns:a16="http://schemas.microsoft.com/office/drawing/2014/main" id="{00000000-0008-0000-1200-00006103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866" name="Straight Arrow Connector 865">
          <a:extLst>
            <a:ext uri="{FF2B5EF4-FFF2-40B4-BE49-F238E27FC236}">
              <a16:creationId xmlns:a16="http://schemas.microsoft.com/office/drawing/2014/main" id="{00000000-0008-0000-1200-00006203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867" name="Straight Arrow Connector 866">
          <a:extLst>
            <a:ext uri="{FF2B5EF4-FFF2-40B4-BE49-F238E27FC236}">
              <a16:creationId xmlns:a16="http://schemas.microsoft.com/office/drawing/2014/main" id="{00000000-0008-0000-1200-00006303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868" name="Straight Arrow Connector 867">
          <a:extLst>
            <a:ext uri="{FF2B5EF4-FFF2-40B4-BE49-F238E27FC236}">
              <a16:creationId xmlns:a16="http://schemas.microsoft.com/office/drawing/2014/main" id="{00000000-0008-0000-1200-00006403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869" name="Straight Arrow Connector 868">
          <a:extLst>
            <a:ext uri="{FF2B5EF4-FFF2-40B4-BE49-F238E27FC236}">
              <a16:creationId xmlns:a16="http://schemas.microsoft.com/office/drawing/2014/main" id="{00000000-0008-0000-1200-00006503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870" name="Straight Arrow Connector 869">
          <a:extLst>
            <a:ext uri="{FF2B5EF4-FFF2-40B4-BE49-F238E27FC236}">
              <a16:creationId xmlns:a16="http://schemas.microsoft.com/office/drawing/2014/main" id="{00000000-0008-0000-1200-00006603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871" name="Straight Arrow Connector 870">
          <a:extLst>
            <a:ext uri="{FF2B5EF4-FFF2-40B4-BE49-F238E27FC236}">
              <a16:creationId xmlns:a16="http://schemas.microsoft.com/office/drawing/2014/main" id="{00000000-0008-0000-1200-00006703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872" name="Straight Arrow Connector 871">
          <a:extLst>
            <a:ext uri="{FF2B5EF4-FFF2-40B4-BE49-F238E27FC236}">
              <a16:creationId xmlns:a16="http://schemas.microsoft.com/office/drawing/2014/main" id="{00000000-0008-0000-1200-00006803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873" name="Straight Arrow Connector 872">
          <a:extLst>
            <a:ext uri="{FF2B5EF4-FFF2-40B4-BE49-F238E27FC236}">
              <a16:creationId xmlns:a16="http://schemas.microsoft.com/office/drawing/2014/main" id="{00000000-0008-0000-1200-00006903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874" name="Straight Arrow Connector 873">
          <a:extLst>
            <a:ext uri="{FF2B5EF4-FFF2-40B4-BE49-F238E27FC236}">
              <a16:creationId xmlns:a16="http://schemas.microsoft.com/office/drawing/2014/main" id="{00000000-0008-0000-1200-00006A03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875" name="Straight Arrow Connector 874">
          <a:extLst>
            <a:ext uri="{FF2B5EF4-FFF2-40B4-BE49-F238E27FC236}">
              <a16:creationId xmlns:a16="http://schemas.microsoft.com/office/drawing/2014/main" id="{00000000-0008-0000-1200-00006B03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876" name="Straight Arrow Connector 875">
          <a:extLst>
            <a:ext uri="{FF2B5EF4-FFF2-40B4-BE49-F238E27FC236}">
              <a16:creationId xmlns:a16="http://schemas.microsoft.com/office/drawing/2014/main" id="{00000000-0008-0000-1200-00006C03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1437</xdr:row>
      <xdr:rowOff>52916</xdr:rowOff>
    </xdr:from>
    <xdr:to>
      <xdr:col>16</xdr:col>
      <xdr:colOff>0</xdr:colOff>
      <xdr:row>1439</xdr:row>
      <xdr:rowOff>0</xdr:rowOff>
    </xdr:to>
    <xdr:cxnSp macro="">
      <xdr:nvCxnSpPr>
        <xdr:cNvPr id="877" name="Straight Arrow Connector 876">
          <a:extLst>
            <a:ext uri="{FF2B5EF4-FFF2-40B4-BE49-F238E27FC236}">
              <a16:creationId xmlns:a16="http://schemas.microsoft.com/office/drawing/2014/main" id="{00000000-0008-0000-1200-00006D03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878" name="Straight Arrow Connector 877">
          <a:extLst>
            <a:ext uri="{FF2B5EF4-FFF2-40B4-BE49-F238E27FC236}">
              <a16:creationId xmlns:a16="http://schemas.microsoft.com/office/drawing/2014/main" id="{00000000-0008-0000-1200-00006E030000}"/>
            </a:ext>
          </a:extLst>
        </xdr:cNvPr>
        <xdr:cNvCxnSpPr/>
      </xdr:nvCxnSpPr>
      <xdr:spPr>
        <a:xfrm>
          <a:off x="10530417"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879" name="Straight Arrow Connector 878">
          <a:extLst>
            <a:ext uri="{FF2B5EF4-FFF2-40B4-BE49-F238E27FC236}">
              <a16:creationId xmlns:a16="http://schemas.microsoft.com/office/drawing/2014/main" id="{00000000-0008-0000-1200-00006F03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880" name="Straight Arrow Connector 879">
          <a:extLst>
            <a:ext uri="{FF2B5EF4-FFF2-40B4-BE49-F238E27FC236}">
              <a16:creationId xmlns:a16="http://schemas.microsoft.com/office/drawing/2014/main" id="{00000000-0008-0000-1200-00007003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881" name="Straight Arrow Connector 880">
          <a:extLst>
            <a:ext uri="{FF2B5EF4-FFF2-40B4-BE49-F238E27FC236}">
              <a16:creationId xmlns:a16="http://schemas.microsoft.com/office/drawing/2014/main" id="{00000000-0008-0000-1200-00007103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882" name="Straight Arrow Connector 881">
          <a:extLst>
            <a:ext uri="{FF2B5EF4-FFF2-40B4-BE49-F238E27FC236}">
              <a16:creationId xmlns:a16="http://schemas.microsoft.com/office/drawing/2014/main" id="{00000000-0008-0000-1200-00007203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883" name="Straight Arrow Connector 882">
          <a:extLst>
            <a:ext uri="{FF2B5EF4-FFF2-40B4-BE49-F238E27FC236}">
              <a16:creationId xmlns:a16="http://schemas.microsoft.com/office/drawing/2014/main" id="{00000000-0008-0000-1200-00007303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1466</xdr:row>
      <xdr:rowOff>0</xdr:rowOff>
    </xdr:from>
    <xdr:to>
      <xdr:col>16</xdr:col>
      <xdr:colOff>0</xdr:colOff>
      <xdr:row>1466</xdr:row>
      <xdr:rowOff>42334</xdr:rowOff>
    </xdr:to>
    <xdr:cxnSp macro="">
      <xdr:nvCxnSpPr>
        <xdr:cNvPr id="884" name="Straight Arrow Connector 883">
          <a:extLst>
            <a:ext uri="{FF2B5EF4-FFF2-40B4-BE49-F238E27FC236}">
              <a16:creationId xmlns:a16="http://schemas.microsoft.com/office/drawing/2014/main" id="{00000000-0008-0000-1200-00007403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1466</xdr:row>
      <xdr:rowOff>21166</xdr:rowOff>
    </xdr:from>
    <xdr:to>
      <xdr:col>15</xdr:col>
      <xdr:colOff>560916</xdr:colOff>
      <xdr:row>1469</xdr:row>
      <xdr:rowOff>84667</xdr:rowOff>
    </xdr:to>
    <xdr:cxnSp macro="">
      <xdr:nvCxnSpPr>
        <xdr:cNvPr id="885" name="Straight Arrow Connector 884">
          <a:extLst>
            <a:ext uri="{FF2B5EF4-FFF2-40B4-BE49-F238E27FC236}">
              <a16:creationId xmlns:a16="http://schemas.microsoft.com/office/drawing/2014/main" id="{00000000-0008-0000-1200-00007503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1466</xdr:row>
      <xdr:rowOff>52916</xdr:rowOff>
    </xdr:from>
    <xdr:to>
      <xdr:col>15</xdr:col>
      <xdr:colOff>592666</xdr:colOff>
      <xdr:row>1472</xdr:row>
      <xdr:rowOff>63501</xdr:rowOff>
    </xdr:to>
    <xdr:cxnSp macro="">
      <xdr:nvCxnSpPr>
        <xdr:cNvPr id="886" name="Straight Arrow Connector 885">
          <a:extLst>
            <a:ext uri="{FF2B5EF4-FFF2-40B4-BE49-F238E27FC236}">
              <a16:creationId xmlns:a16="http://schemas.microsoft.com/office/drawing/2014/main" id="{00000000-0008-0000-1200-00007603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1463</xdr:row>
      <xdr:rowOff>52917</xdr:rowOff>
    </xdr:from>
    <xdr:to>
      <xdr:col>15</xdr:col>
      <xdr:colOff>603250</xdr:colOff>
      <xdr:row>1465</xdr:row>
      <xdr:rowOff>148167</xdr:rowOff>
    </xdr:to>
    <xdr:cxnSp macro="">
      <xdr:nvCxnSpPr>
        <xdr:cNvPr id="887" name="Straight Arrow Connector 886">
          <a:extLst>
            <a:ext uri="{FF2B5EF4-FFF2-40B4-BE49-F238E27FC236}">
              <a16:creationId xmlns:a16="http://schemas.microsoft.com/office/drawing/2014/main" id="{00000000-0008-0000-1200-00007703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888" name="Straight Arrow Connector 887">
          <a:extLst>
            <a:ext uri="{FF2B5EF4-FFF2-40B4-BE49-F238E27FC236}">
              <a16:creationId xmlns:a16="http://schemas.microsoft.com/office/drawing/2014/main" id="{00000000-0008-0000-1200-00007803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889" name="Straight Arrow Connector 888">
          <a:extLst>
            <a:ext uri="{FF2B5EF4-FFF2-40B4-BE49-F238E27FC236}">
              <a16:creationId xmlns:a16="http://schemas.microsoft.com/office/drawing/2014/main" id="{00000000-0008-0000-1200-000079030000}"/>
            </a:ext>
          </a:extLst>
        </xdr:cNvPr>
        <xdr:cNvCxnSpPr/>
      </xdr:nvCxnSpPr>
      <xdr:spPr>
        <a:xfrm flipV="1">
          <a:off x="6381750"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890" name="Straight Arrow Connector 889">
          <a:extLst>
            <a:ext uri="{FF2B5EF4-FFF2-40B4-BE49-F238E27FC236}">
              <a16:creationId xmlns:a16="http://schemas.microsoft.com/office/drawing/2014/main" id="{00000000-0008-0000-1200-00007A030000}"/>
            </a:ext>
          </a:extLst>
        </xdr:cNvPr>
        <xdr:cNvCxnSpPr/>
      </xdr:nvCxnSpPr>
      <xdr:spPr>
        <a:xfrm>
          <a:off x="6413500"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891" name="Straight Arrow Connector 890">
          <a:extLst>
            <a:ext uri="{FF2B5EF4-FFF2-40B4-BE49-F238E27FC236}">
              <a16:creationId xmlns:a16="http://schemas.microsoft.com/office/drawing/2014/main" id="{00000000-0008-0000-1200-00007B030000}"/>
            </a:ext>
          </a:extLst>
        </xdr:cNvPr>
        <xdr:cNvCxnSpPr/>
      </xdr:nvCxnSpPr>
      <xdr:spPr>
        <a:xfrm flipV="1">
          <a:off x="7609417"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892" name="Straight Arrow Connector 891">
          <a:extLst>
            <a:ext uri="{FF2B5EF4-FFF2-40B4-BE49-F238E27FC236}">
              <a16:creationId xmlns:a16="http://schemas.microsoft.com/office/drawing/2014/main" id="{00000000-0008-0000-1200-00007C030000}"/>
            </a:ext>
          </a:extLst>
        </xdr:cNvPr>
        <xdr:cNvCxnSpPr/>
      </xdr:nvCxnSpPr>
      <xdr:spPr>
        <a:xfrm>
          <a:off x="7598834"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893" name="Straight Arrow Connector 892">
          <a:extLst>
            <a:ext uri="{FF2B5EF4-FFF2-40B4-BE49-F238E27FC236}">
              <a16:creationId xmlns:a16="http://schemas.microsoft.com/office/drawing/2014/main" id="{00000000-0008-0000-1200-00007D030000}"/>
            </a:ext>
          </a:extLst>
        </xdr:cNvPr>
        <xdr:cNvCxnSpPr/>
      </xdr:nvCxnSpPr>
      <xdr:spPr>
        <a:xfrm flipV="1">
          <a:off x="8794750" y="24976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894" name="Straight Arrow Connector 893">
          <a:extLst>
            <a:ext uri="{FF2B5EF4-FFF2-40B4-BE49-F238E27FC236}">
              <a16:creationId xmlns:a16="http://schemas.microsoft.com/office/drawing/2014/main" id="{00000000-0008-0000-1200-00007E030000}"/>
            </a:ext>
          </a:extLst>
        </xdr:cNvPr>
        <xdr:cNvCxnSpPr/>
      </xdr:nvCxnSpPr>
      <xdr:spPr>
        <a:xfrm>
          <a:off x="8784166" y="25929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895" name="Straight Arrow Connector 894">
          <a:extLst>
            <a:ext uri="{FF2B5EF4-FFF2-40B4-BE49-F238E27FC236}">
              <a16:creationId xmlns:a16="http://schemas.microsoft.com/office/drawing/2014/main" id="{00000000-0008-0000-1200-00007F030000}"/>
            </a:ext>
          </a:extLst>
        </xdr:cNvPr>
        <xdr:cNvCxnSpPr/>
      </xdr:nvCxnSpPr>
      <xdr:spPr>
        <a:xfrm flipV="1">
          <a:off x="879475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896" name="Straight Arrow Connector 895">
          <a:extLst>
            <a:ext uri="{FF2B5EF4-FFF2-40B4-BE49-F238E27FC236}">
              <a16:creationId xmlns:a16="http://schemas.microsoft.com/office/drawing/2014/main" id="{00000000-0008-0000-1200-000080030000}"/>
            </a:ext>
          </a:extLst>
        </xdr:cNvPr>
        <xdr:cNvCxnSpPr/>
      </xdr:nvCxnSpPr>
      <xdr:spPr>
        <a:xfrm>
          <a:off x="8805333" y="29908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1480</xdr:row>
      <xdr:rowOff>0</xdr:rowOff>
    </xdr:from>
    <xdr:to>
      <xdr:col>15</xdr:col>
      <xdr:colOff>603250</xdr:colOff>
      <xdr:row>1485</xdr:row>
      <xdr:rowOff>31750</xdr:rowOff>
    </xdr:to>
    <xdr:cxnSp macro="">
      <xdr:nvCxnSpPr>
        <xdr:cNvPr id="897" name="Straight Arrow Connector 896">
          <a:extLst>
            <a:ext uri="{FF2B5EF4-FFF2-40B4-BE49-F238E27FC236}">
              <a16:creationId xmlns:a16="http://schemas.microsoft.com/office/drawing/2014/main" id="{00000000-0008-0000-1200-000081030000}"/>
            </a:ext>
          </a:extLst>
        </xdr:cNvPr>
        <xdr:cNvCxnSpPr/>
      </xdr:nvCxnSpPr>
      <xdr:spPr>
        <a:xfrm flipV="1">
          <a:off x="10541000"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898" name="Straight Arrow Connector 897">
          <a:extLst>
            <a:ext uri="{FF2B5EF4-FFF2-40B4-BE49-F238E27FC236}">
              <a16:creationId xmlns:a16="http://schemas.microsoft.com/office/drawing/2014/main" id="{00000000-0008-0000-1200-000082030000}"/>
            </a:ext>
          </a:extLst>
        </xdr:cNvPr>
        <xdr:cNvCxnSpPr/>
      </xdr:nvCxnSpPr>
      <xdr:spPr>
        <a:xfrm flipV="1">
          <a:off x="10583333"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899" name="Straight Arrow Connector 898">
          <a:extLst>
            <a:ext uri="{FF2B5EF4-FFF2-40B4-BE49-F238E27FC236}">
              <a16:creationId xmlns:a16="http://schemas.microsoft.com/office/drawing/2014/main" id="{00000000-0008-0000-1200-000083030000}"/>
            </a:ext>
          </a:extLst>
        </xdr:cNvPr>
        <xdr:cNvCxnSpPr/>
      </xdr:nvCxnSpPr>
      <xdr:spPr>
        <a:xfrm>
          <a:off x="10604500"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900" name="Straight Arrow Connector 899">
          <a:extLst>
            <a:ext uri="{FF2B5EF4-FFF2-40B4-BE49-F238E27FC236}">
              <a16:creationId xmlns:a16="http://schemas.microsoft.com/office/drawing/2014/main" id="{00000000-0008-0000-1200-000084030000}"/>
            </a:ext>
          </a:extLst>
        </xdr:cNvPr>
        <xdr:cNvCxnSpPr/>
      </xdr:nvCxnSpPr>
      <xdr:spPr>
        <a:xfrm>
          <a:off x="10519834" y="24489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1493</xdr:row>
      <xdr:rowOff>52916</xdr:rowOff>
    </xdr:from>
    <xdr:to>
      <xdr:col>16</xdr:col>
      <xdr:colOff>0</xdr:colOff>
      <xdr:row>1495</xdr:row>
      <xdr:rowOff>0</xdr:rowOff>
    </xdr:to>
    <xdr:cxnSp macro="">
      <xdr:nvCxnSpPr>
        <xdr:cNvPr id="901" name="Straight Arrow Connector 900">
          <a:extLst>
            <a:ext uri="{FF2B5EF4-FFF2-40B4-BE49-F238E27FC236}">
              <a16:creationId xmlns:a16="http://schemas.microsoft.com/office/drawing/2014/main" id="{00000000-0008-0000-1200-000085030000}"/>
            </a:ext>
          </a:extLst>
        </xdr:cNvPr>
        <xdr:cNvCxnSpPr/>
      </xdr:nvCxnSpPr>
      <xdr:spPr>
        <a:xfrm flipV="1">
          <a:off x="10541000" y="25960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902" name="Straight Arrow Connector 901">
          <a:extLst>
            <a:ext uri="{FF2B5EF4-FFF2-40B4-BE49-F238E27FC236}">
              <a16:creationId xmlns:a16="http://schemas.microsoft.com/office/drawing/2014/main" id="{00000000-0008-0000-1200-000086030000}"/>
            </a:ext>
          </a:extLst>
        </xdr:cNvPr>
        <xdr:cNvCxnSpPr/>
      </xdr:nvCxnSpPr>
      <xdr:spPr>
        <a:xfrm>
          <a:off x="10551583"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903" name="Straight Arrow Connector 902">
          <a:extLst>
            <a:ext uri="{FF2B5EF4-FFF2-40B4-BE49-F238E27FC236}">
              <a16:creationId xmlns:a16="http://schemas.microsoft.com/office/drawing/2014/main" id="{00000000-0008-0000-1200-000087030000}"/>
            </a:ext>
          </a:extLst>
        </xdr:cNvPr>
        <xdr:cNvCxnSpPr/>
      </xdr:nvCxnSpPr>
      <xdr:spPr>
        <a:xfrm>
          <a:off x="10530417" y="26310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904" name="Straight Arrow Connector 903">
          <a:extLst>
            <a:ext uri="{FF2B5EF4-FFF2-40B4-BE49-F238E27FC236}">
              <a16:creationId xmlns:a16="http://schemas.microsoft.com/office/drawing/2014/main" id="{00000000-0008-0000-1200-000088030000}"/>
            </a:ext>
          </a:extLst>
        </xdr:cNvPr>
        <xdr:cNvCxnSpPr/>
      </xdr:nvCxnSpPr>
      <xdr:spPr>
        <a:xfrm>
          <a:off x="10541000" y="26320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905" name="Straight Arrow Connector 904">
          <a:extLst>
            <a:ext uri="{FF2B5EF4-FFF2-40B4-BE49-F238E27FC236}">
              <a16:creationId xmlns:a16="http://schemas.microsoft.com/office/drawing/2014/main" id="{00000000-0008-0000-1200-000089030000}"/>
            </a:ext>
          </a:extLst>
        </xdr:cNvPr>
        <xdr:cNvCxnSpPr/>
      </xdr:nvCxnSpPr>
      <xdr:spPr>
        <a:xfrm flipV="1">
          <a:off x="6392333"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906" name="Straight Arrow Connector 905">
          <a:extLst>
            <a:ext uri="{FF2B5EF4-FFF2-40B4-BE49-F238E27FC236}">
              <a16:creationId xmlns:a16="http://schemas.microsoft.com/office/drawing/2014/main" id="{00000000-0008-0000-1200-00008A030000}"/>
            </a:ext>
          </a:extLst>
        </xdr:cNvPr>
        <xdr:cNvCxnSpPr/>
      </xdr:nvCxnSpPr>
      <xdr:spPr>
        <a:xfrm>
          <a:off x="6413500"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907" name="Straight Arrow Connector 906">
          <a:extLst>
            <a:ext uri="{FF2B5EF4-FFF2-40B4-BE49-F238E27FC236}">
              <a16:creationId xmlns:a16="http://schemas.microsoft.com/office/drawing/2014/main" id="{00000000-0008-0000-1200-00008B030000}"/>
            </a:ext>
          </a:extLst>
        </xdr:cNvPr>
        <xdr:cNvCxnSpPr/>
      </xdr:nvCxnSpPr>
      <xdr:spPr>
        <a:xfrm flipV="1">
          <a:off x="7556500" y="36734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908" name="Straight Arrow Connector 907">
          <a:extLst>
            <a:ext uri="{FF2B5EF4-FFF2-40B4-BE49-F238E27FC236}">
              <a16:creationId xmlns:a16="http://schemas.microsoft.com/office/drawing/2014/main" id="{00000000-0008-0000-1200-00008C030000}"/>
            </a:ext>
          </a:extLst>
        </xdr:cNvPr>
        <xdr:cNvCxnSpPr/>
      </xdr:nvCxnSpPr>
      <xdr:spPr>
        <a:xfrm flipV="1">
          <a:off x="10530417"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909" name="Straight Arrow Connector 908">
          <a:extLst>
            <a:ext uri="{FF2B5EF4-FFF2-40B4-BE49-F238E27FC236}">
              <a16:creationId xmlns:a16="http://schemas.microsoft.com/office/drawing/2014/main" id="{00000000-0008-0000-1200-00008D030000}"/>
            </a:ext>
          </a:extLst>
        </xdr:cNvPr>
        <xdr:cNvCxnSpPr/>
      </xdr:nvCxnSpPr>
      <xdr:spPr>
        <a:xfrm>
          <a:off x="10572750"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910" name="Straight Arrow Connector 909">
          <a:extLst>
            <a:ext uri="{FF2B5EF4-FFF2-40B4-BE49-F238E27FC236}">
              <a16:creationId xmlns:a16="http://schemas.microsoft.com/office/drawing/2014/main" id="{00000000-0008-0000-1200-00008E030000}"/>
            </a:ext>
          </a:extLst>
        </xdr:cNvPr>
        <xdr:cNvCxnSpPr/>
      </xdr:nvCxnSpPr>
      <xdr:spPr>
        <a:xfrm>
          <a:off x="10551583"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911" name="Straight Arrow Connector 910">
          <a:extLst>
            <a:ext uri="{FF2B5EF4-FFF2-40B4-BE49-F238E27FC236}">
              <a16:creationId xmlns:a16="http://schemas.microsoft.com/office/drawing/2014/main" id="{00000000-0008-0000-1200-00008F030000}"/>
            </a:ext>
          </a:extLst>
        </xdr:cNvPr>
        <xdr:cNvCxnSpPr/>
      </xdr:nvCxnSpPr>
      <xdr:spPr>
        <a:xfrm>
          <a:off x="10583333" y="28987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912" name="Straight Arrow Connector 911">
          <a:extLst>
            <a:ext uri="{FF2B5EF4-FFF2-40B4-BE49-F238E27FC236}">
              <a16:creationId xmlns:a16="http://schemas.microsoft.com/office/drawing/2014/main" id="{00000000-0008-0000-1200-000090030000}"/>
            </a:ext>
          </a:extLst>
        </xdr:cNvPr>
        <xdr:cNvCxnSpPr/>
      </xdr:nvCxnSpPr>
      <xdr:spPr>
        <a:xfrm>
          <a:off x="10562166" y="31623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913" name="Straight Arrow Connector 912">
          <a:extLst>
            <a:ext uri="{FF2B5EF4-FFF2-40B4-BE49-F238E27FC236}">
              <a16:creationId xmlns:a16="http://schemas.microsoft.com/office/drawing/2014/main" id="{00000000-0008-0000-1200-000091030000}"/>
            </a:ext>
          </a:extLst>
        </xdr:cNvPr>
        <xdr:cNvCxnSpPr/>
      </xdr:nvCxnSpPr>
      <xdr:spPr>
        <a:xfrm>
          <a:off x="10615083"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914" name="Straight Arrow Connector 913">
          <a:extLst>
            <a:ext uri="{FF2B5EF4-FFF2-40B4-BE49-F238E27FC236}">
              <a16:creationId xmlns:a16="http://schemas.microsoft.com/office/drawing/2014/main" id="{00000000-0008-0000-1200-000092030000}"/>
            </a:ext>
          </a:extLst>
        </xdr:cNvPr>
        <xdr:cNvCxnSpPr/>
      </xdr:nvCxnSpPr>
      <xdr:spPr>
        <a:xfrm>
          <a:off x="10572750"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915" name="Straight Arrow Connector 914">
          <a:extLst>
            <a:ext uri="{FF2B5EF4-FFF2-40B4-BE49-F238E27FC236}">
              <a16:creationId xmlns:a16="http://schemas.microsoft.com/office/drawing/2014/main" id="{00000000-0008-0000-1200-000093030000}"/>
            </a:ext>
          </a:extLst>
        </xdr:cNvPr>
        <xdr:cNvCxnSpPr/>
      </xdr:nvCxnSpPr>
      <xdr:spPr>
        <a:xfrm flipV="1">
          <a:off x="10562166"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916" name="Straight Arrow Connector 915">
          <a:extLst>
            <a:ext uri="{FF2B5EF4-FFF2-40B4-BE49-F238E27FC236}">
              <a16:creationId xmlns:a16="http://schemas.microsoft.com/office/drawing/2014/main" id="{00000000-0008-0000-1200-000094030000}"/>
            </a:ext>
          </a:extLst>
        </xdr:cNvPr>
        <xdr:cNvCxnSpPr/>
      </xdr:nvCxnSpPr>
      <xdr:spPr>
        <a:xfrm flipV="1">
          <a:off x="10604500"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917" name="Straight Arrow Connector 916">
          <a:extLst>
            <a:ext uri="{FF2B5EF4-FFF2-40B4-BE49-F238E27FC236}">
              <a16:creationId xmlns:a16="http://schemas.microsoft.com/office/drawing/2014/main" id="{00000000-0008-0000-1200-000095030000}"/>
            </a:ext>
          </a:extLst>
        </xdr:cNvPr>
        <xdr:cNvCxnSpPr/>
      </xdr:nvCxnSpPr>
      <xdr:spPr>
        <a:xfrm>
          <a:off x="10593916"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918" name="Straight Arrow Connector 917">
          <a:extLst>
            <a:ext uri="{FF2B5EF4-FFF2-40B4-BE49-F238E27FC236}">
              <a16:creationId xmlns:a16="http://schemas.microsoft.com/office/drawing/2014/main" id="{00000000-0008-0000-1200-000096030000}"/>
            </a:ext>
          </a:extLst>
        </xdr:cNvPr>
        <xdr:cNvCxnSpPr/>
      </xdr:nvCxnSpPr>
      <xdr:spPr>
        <a:xfrm>
          <a:off x="10572750" y="37263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919" name="Straight Arrow Connector 918">
          <a:extLst>
            <a:ext uri="{FF2B5EF4-FFF2-40B4-BE49-F238E27FC236}">
              <a16:creationId xmlns:a16="http://schemas.microsoft.com/office/drawing/2014/main" id="{00000000-0008-0000-1200-000097030000}"/>
            </a:ext>
          </a:extLst>
        </xdr:cNvPr>
        <xdr:cNvCxnSpPr/>
      </xdr:nvCxnSpPr>
      <xdr:spPr>
        <a:xfrm flipV="1">
          <a:off x="10583333"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920" name="Straight Arrow Connector 919">
          <a:extLst>
            <a:ext uri="{FF2B5EF4-FFF2-40B4-BE49-F238E27FC236}">
              <a16:creationId xmlns:a16="http://schemas.microsoft.com/office/drawing/2014/main" id="{00000000-0008-0000-1200-000098030000}"/>
            </a:ext>
          </a:extLst>
        </xdr:cNvPr>
        <xdr:cNvCxnSpPr/>
      </xdr:nvCxnSpPr>
      <xdr:spPr>
        <a:xfrm>
          <a:off x="7598834"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921" name="Straight Arrow Connector 920">
          <a:extLst>
            <a:ext uri="{FF2B5EF4-FFF2-40B4-BE49-F238E27FC236}">
              <a16:creationId xmlns:a16="http://schemas.microsoft.com/office/drawing/2014/main" id="{00000000-0008-0000-1200-000099030000}"/>
            </a:ext>
          </a:extLst>
        </xdr:cNvPr>
        <xdr:cNvCxnSpPr/>
      </xdr:nvCxnSpPr>
      <xdr:spPr>
        <a:xfrm flipV="1">
          <a:off x="8794750" y="35835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922" name="Straight Arrow Connector 921">
          <a:extLst>
            <a:ext uri="{FF2B5EF4-FFF2-40B4-BE49-F238E27FC236}">
              <a16:creationId xmlns:a16="http://schemas.microsoft.com/office/drawing/2014/main" id="{00000000-0008-0000-1200-00009A030000}"/>
            </a:ext>
          </a:extLst>
        </xdr:cNvPr>
        <xdr:cNvCxnSpPr/>
      </xdr:nvCxnSpPr>
      <xdr:spPr>
        <a:xfrm>
          <a:off x="8784166" y="36787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923" name="Straight Arrow Connector 922">
          <a:extLst>
            <a:ext uri="{FF2B5EF4-FFF2-40B4-BE49-F238E27FC236}">
              <a16:creationId xmlns:a16="http://schemas.microsoft.com/office/drawing/2014/main" id="{00000000-0008-0000-1200-00009B030000}"/>
            </a:ext>
          </a:extLst>
        </xdr:cNvPr>
        <xdr:cNvCxnSpPr/>
      </xdr:nvCxnSpPr>
      <xdr:spPr>
        <a:xfrm flipV="1">
          <a:off x="879475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924" name="Straight Arrow Connector 923">
          <a:extLst>
            <a:ext uri="{FF2B5EF4-FFF2-40B4-BE49-F238E27FC236}">
              <a16:creationId xmlns:a16="http://schemas.microsoft.com/office/drawing/2014/main" id="{00000000-0008-0000-1200-00009C030000}"/>
            </a:ext>
          </a:extLst>
        </xdr:cNvPr>
        <xdr:cNvCxnSpPr/>
      </xdr:nvCxnSpPr>
      <xdr:spPr>
        <a:xfrm>
          <a:off x="8805333" y="40767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925" name="Straight Arrow Connector 924">
          <a:extLst>
            <a:ext uri="{FF2B5EF4-FFF2-40B4-BE49-F238E27FC236}">
              <a16:creationId xmlns:a16="http://schemas.microsoft.com/office/drawing/2014/main" id="{00000000-0008-0000-1200-00009D030000}"/>
            </a:ext>
          </a:extLst>
        </xdr:cNvPr>
        <xdr:cNvCxnSpPr/>
      </xdr:nvCxnSpPr>
      <xdr:spPr>
        <a:xfrm>
          <a:off x="10593916"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1549</xdr:row>
      <xdr:rowOff>52916</xdr:rowOff>
    </xdr:from>
    <xdr:to>
      <xdr:col>16</xdr:col>
      <xdr:colOff>0</xdr:colOff>
      <xdr:row>1551</xdr:row>
      <xdr:rowOff>0</xdr:rowOff>
    </xdr:to>
    <xdr:cxnSp macro="">
      <xdr:nvCxnSpPr>
        <xdr:cNvPr id="926" name="Straight Arrow Connector 925">
          <a:extLst>
            <a:ext uri="{FF2B5EF4-FFF2-40B4-BE49-F238E27FC236}">
              <a16:creationId xmlns:a16="http://schemas.microsoft.com/office/drawing/2014/main" id="{00000000-0008-0000-1200-00009E030000}"/>
            </a:ext>
          </a:extLst>
        </xdr:cNvPr>
        <xdr:cNvCxnSpPr/>
      </xdr:nvCxnSpPr>
      <xdr:spPr>
        <a:xfrm flipV="1">
          <a:off x="10541000" y="36819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927" name="Straight Arrow Connector 926">
          <a:extLst>
            <a:ext uri="{FF2B5EF4-FFF2-40B4-BE49-F238E27FC236}">
              <a16:creationId xmlns:a16="http://schemas.microsoft.com/office/drawing/2014/main" id="{00000000-0008-0000-1200-00009F030000}"/>
            </a:ext>
          </a:extLst>
        </xdr:cNvPr>
        <xdr:cNvCxnSpPr/>
      </xdr:nvCxnSpPr>
      <xdr:spPr>
        <a:xfrm>
          <a:off x="10530417"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928" name="Straight Arrow Connector 927">
          <a:extLst>
            <a:ext uri="{FF2B5EF4-FFF2-40B4-BE49-F238E27FC236}">
              <a16:creationId xmlns:a16="http://schemas.microsoft.com/office/drawing/2014/main" id="{00000000-0008-0000-1200-0000A0030000}"/>
            </a:ext>
          </a:extLst>
        </xdr:cNvPr>
        <xdr:cNvCxnSpPr/>
      </xdr:nvCxnSpPr>
      <xdr:spPr>
        <a:xfrm>
          <a:off x="10530417" y="37147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929" name="Straight Arrow Connector 928">
          <a:extLst>
            <a:ext uri="{FF2B5EF4-FFF2-40B4-BE49-F238E27FC236}">
              <a16:creationId xmlns:a16="http://schemas.microsoft.com/office/drawing/2014/main" id="{00000000-0008-0000-1200-0000A1030000}"/>
            </a:ext>
          </a:extLst>
        </xdr:cNvPr>
        <xdr:cNvCxnSpPr/>
      </xdr:nvCxnSpPr>
      <xdr:spPr>
        <a:xfrm flipV="1">
          <a:off x="10530417"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930" name="Straight Arrow Connector 929">
          <a:extLst>
            <a:ext uri="{FF2B5EF4-FFF2-40B4-BE49-F238E27FC236}">
              <a16:creationId xmlns:a16="http://schemas.microsoft.com/office/drawing/2014/main" id="{00000000-0008-0000-1200-0000A2030000}"/>
            </a:ext>
          </a:extLst>
        </xdr:cNvPr>
        <xdr:cNvCxnSpPr/>
      </xdr:nvCxnSpPr>
      <xdr:spPr>
        <a:xfrm>
          <a:off x="10572750"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931" name="Straight Arrow Connector 930">
          <a:extLst>
            <a:ext uri="{FF2B5EF4-FFF2-40B4-BE49-F238E27FC236}">
              <a16:creationId xmlns:a16="http://schemas.microsoft.com/office/drawing/2014/main" id="{00000000-0008-0000-1200-0000A3030000}"/>
            </a:ext>
          </a:extLst>
        </xdr:cNvPr>
        <xdr:cNvCxnSpPr/>
      </xdr:nvCxnSpPr>
      <xdr:spPr>
        <a:xfrm>
          <a:off x="10551583"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932" name="Straight Arrow Connector 931">
          <a:extLst>
            <a:ext uri="{FF2B5EF4-FFF2-40B4-BE49-F238E27FC236}">
              <a16:creationId xmlns:a16="http://schemas.microsoft.com/office/drawing/2014/main" id="{00000000-0008-0000-1200-0000A4030000}"/>
            </a:ext>
          </a:extLst>
        </xdr:cNvPr>
        <xdr:cNvCxnSpPr/>
      </xdr:nvCxnSpPr>
      <xdr:spPr>
        <a:xfrm>
          <a:off x="10583333" y="39846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933" name="Straight Arrow Connector 932">
          <a:extLst>
            <a:ext uri="{FF2B5EF4-FFF2-40B4-BE49-F238E27FC236}">
              <a16:creationId xmlns:a16="http://schemas.microsoft.com/office/drawing/2014/main" id="{00000000-0008-0000-1200-0000A5030000}"/>
            </a:ext>
          </a:extLst>
        </xdr:cNvPr>
        <xdr:cNvCxnSpPr/>
      </xdr:nvCxnSpPr>
      <xdr:spPr>
        <a:xfrm>
          <a:off x="10562166" y="42481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934" name="Straight Arrow Connector 933">
          <a:extLst>
            <a:ext uri="{FF2B5EF4-FFF2-40B4-BE49-F238E27FC236}">
              <a16:creationId xmlns:a16="http://schemas.microsoft.com/office/drawing/2014/main" id="{00000000-0008-0000-1200-0000A6030000}"/>
            </a:ext>
          </a:extLst>
        </xdr:cNvPr>
        <xdr:cNvCxnSpPr/>
      </xdr:nvCxnSpPr>
      <xdr:spPr>
        <a:xfrm>
          <a:off x="10615083"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935" name="Straight Arrow Connector 934">
          <a:extLst>
            <a:ext uri="{FF2B5EF4-FFF2-40B4-BE49-F238E27FC236}">
              <a16:creationId xmlns:a16="http://schemas.microsoft.com/office/drawing/2014/main" id="{00000000-0008-0000-1200-0000A7030000}"/>
            </a:ext>
          </a:extLst>
        </xdr:cNvPr>
        <xdr:cNvCxnSpPr/>
      </xdr:nvCxnSpPr>
      <xdr:spPr>
        <a:xfrm>
          <a:off x="10572750"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936" name="Straight Arrow Connector 935">
          <a:extLst>
            <a:ext uri="{FF2B5EF4-FFF2-40B4-BE49-F238E27FC236}">
              <a16:creationId xmlns:a16="http://schemas.microsoft.com/office/drawing/2014/main" id="{00000000-0008-0000-1200-0000A8030000}"/>
            </a:ext>
          </a:extLst>
        </xdr:cNvPr>
        <xdr:cNvCxnSpPr/>
      </xdr:nvCxnSpPr>
      <xdr:spPr>
        <a:xfrm flipV="1">
          <a:off x="10583333"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937" name="Straight Arrow Connector 936">
          <a:extLst>
            <a:ext uri="{FF2B5EF4-FFF2-40B4-BE49-F238E27FC236}">
              <a16:creationId xmlns:a16="http://schemas.microsoft.com/office/drawing/2014/main" id="{00000000-0008-0000-1200-0000A903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938" name="Straight Arrow Connector 937">
          <a:extLst>
            <a:ext uri="{FF2B5EF4-FFF2-40B4-BE49-F238E27FC236}">
              <a16:creationId xmlns:a16="http://schemas.microsoft.com/office/drawing/2014/main" id="{00000000-0008-0000-1200-0000AA030000}"/>
            </a:ext>
          </a:extLst>
        </xdr:cNvPr>
        <xdr:cNvCxnSpPr/>
      </xdr:nvCxnSpPr>
      <xdr:spPr>
        <a:xfrm flipV="1">
          <a:off x="3714750" y="51244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939" name="Straight Arrow Connector 938">
          <a:extLst>
            <a:ext uri="{FF2B5EF4-FFF2-40B4-BE49-F238E27FC236}">
              <a16:creationId xmlns:a16="http://schemas.microsoft.com/office/drawing/2014/main" id="{00000000-0008-0000-1200-0000AB030000}"/>
            </a:ext>
          </a:extLst>
        </xdr:cNvPr>
        <xdr:cNvCxnSpPr/>
      </xdr:nvCxnSpPr>
      <xdr:spPr>
        <a:xfrm>
          <a:off x="379941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940" name="Straight Arrow Connector 939">
          <a:extLst>
            <a:ext uri="{FF2B5EF4-FFF2-40B4-BE49-F238E27FC236}">
              <a16:creationId xmlns:a16="http://schemas.microsoft.com/office/drawing/2014/main" id="{00000000-0008-0000-1200-0000AC030000}"/>
            </a:ext>
          </a:extLst>
        </xdr:cNvPr>
        <xdr:cNvCxnSpPr/>
      </xdr:nvCxnSpPr>
      <xdr:spPr>
        <a:xfrm flipV="1">
          <a:off x="517525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941" name="Straight Arrow Connector 940">
          <a:extLst>
            <a:ext uri="{FF2B5EF4-FFF2-40B4-BE49-F238E27FC236}">
              <a16:creationId xmlns:a16="http://schemas.microsoft.com/office/drawing/2014/main" id="{00000000-0008-0000-1200-0000AD030000}"/>
            </a:ext>
          </a:extLst>
        </xdr:cNvPr>
        <xdr:cNvCxnSpPr/>
      </xdr:nvCxnSpPr>
      <xdr:spPr>
        <a:xfrm>
          <a:off x="5175250" y="51255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942" name="Straight Arrow Connector 941">
          <a:extLst>
            <a:ext uri="{FF2B5EF4-FFF2-40B4-BE49-F238E27FC236}">
              <a16:creationId xmlns:a16="http://schemas.microsoft.com/office/drawing/2014/main" id="{00000000-0008-0000-1200-0000AE030000}"/>
            </a:ext>
          </a:extLst>
        </xdr:cNvPr>
        <xdr:cNvCxnSpPr/>
      </xdr:nvCxnSpPr>
      <xdr:spPr>
        <a:xfrm flipV="1">
          <a:off x="6381750"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943" name="Straight Arrow Connector 942">
          <a:extLst>
            <a:ext uri="{FF2B5EF4-FFF2-40B4-BE49-F238E27FC236}">
              <a16:creationId xmlns:a16="http://schemas.microsoft.com/office/drawing/2014/main" id="{00000000-0008-0000-1200-0000AF030000}"/>
            </a:ext>
          </a:extLst>
        </xdr:cNvPr>
        <xdr:cNvCxnSpPr/>
      </xdr:nvCxnSpPr>
      <xdr:spPr>
        <a:xfrm>
          <a:off x="6413500"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944" name="Straight Arrow Connector 943">
          <a:extLst>
            <a:ext uri="{FF2B5EF4-FFF2-40B4-BE49-F238E27FC236}">
              <a16:creationId xmlns:a16="http://schemas.microsoft.com/office/drawing/2014/main" id="{00000000-0008-0000-1200-0000B0030000}"/>
            </a:ext>
          </a:extLst>
        </xdr:cNvPr>
        <xdr:cNvCxnSpPr/>
      </xdr:nvCxnSpPr>
      <xdr:spPr>
        <a:xfrm flipV="1">
          <a:off x="7609417"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945" name="Straight Arrow Connector 944">
          <a:extLst>
            <a:ext uri="{FF2B5EF4-FFF2-40B4-BE49-F238E27FC236}">
              <a16:creationId xmlns:a16="http://schemas.microsoft.com/office/drawing/2014/main" id="{00000000-0008-0000-1200-0000B1030000}"/>
            </a:ext>
          </a:extLst>
        </xdr:cNvPr>
        <xdr:cNvCxnSpPr/>
      </xdr:nvCxnSpPr>
      <xdr:spPr>
        <a:xfrm>
          <a:off x="7598834"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946" name="Straight Arrow Connector 945">
          <a:extLst>
            <a:ext uri="{FF2B5EF4-FFF2-40B4-BE49-F238E27FC236}">
              <a16:creationId xmlns:a16="http://schemas.microsoft.com/office/drawing/2014/main" id="{00000000-0008-0000-1200-0000B2030000}"/>
            </a:ext>
          </a:extLst>
        </xdr:cNvPr>
        <xdr:cNvCxnSpPr/>
      </xdr:nvCxnSpPr>
      <xdr:spPr>
        <a:xfrm flipV="1">
          <a:off x="8794750" y="46693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947" name="Straight Arrow Connector 946">
          <a:extLst>
            <a:ext uri="{FF2B5EF4-FFF2-40B4-BE49-F238E27FC236}">
              <a16:creationId xmlns:a16="http://schemas.microsoft.com/office/drawing/2014/main" id="{00000000-0008-0000-1200-0000B3030000}"/>
            </a:ext>
          </a:extLst>
        </xdr:cNvPr>
        <xdr:cNvCxnSpPr/>
      </xdr:nvCxnSpPr>
      <xdr:spPr>
        <a:xfrm>
          <a:off x="8784166" y="47646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948" name="Straight Arrow Connector 947">
          <a:extLst>
            <a:ext uri="{FF2B5EF4-FFF2-40B4-BE49-F238E27FC236}">
              <a16:creationId xmlns:a16="http://schemas.microsoft.com/office/drawing/2014/main" id="{00000000-0008-0000-1200-0000B4030000}"/>
            </a:ext>
          </a:extLst>
        </xdr:cNvPr>
        <xdr:cNvCxnSpPr/>
      </xdr:nvCxnSpPr>
      <xdr:spPr>
        <a:xfrm flipV="1">
          <a:off x="879475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949" name="Straight Arrow Connector 948">
          <a:extLst>
            <a:ext uri="{FF2B5EF4-FFF2-40B4-BE49-F238E27FC236}">
              <a16:creationId xmlns:a16="http://schemas.microsoft.com/office/drawing/2014/main" id="{00000000-0008-0000-1200-0000B5030000}"/>
            </a:ext>
          </a:extLst>
        </xdr:cNvPr>
        <xdr:cNvCxnSpPr/>
      </xdr:nvCxnSpPr>
      <xdr:spPr>
        <a:xfrm>
          <a:off x="8805333" y="51625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1592</xdr:row>
      <xdr:rowOff>0</xdr:rowOff>
    </xdr:from>
    <xdr:to>
      <xdr:col>15</xdr:col>
      <xdr:colOff>603250</xdr:colOff>
      <xdr:row>1597</xdr:row>
      <xdr:rowOff>31750</xdr:rowOff>
    </xdr:to>
    <xdr:cxnSp macro="">
      <xdr:nvCxnSpPr>
        <xdr:cNvPr id="950" name="Straight Arrow Connector 949">
          <a:extLst>
            <a:ext uri="{FF2B5EF4-FFF2-40B4-BE49-F238E27FC236}">
              <a16:creationId xmlns:a16="http://schemas.microsoft.com/office/drawing/2014/main" id="{00000000-0008-0000-1200-0000B6030000}"/>
            </a:ext>
          </a:extLst>
        </xdr:cNvPr>
        <xdr:cNvCxnSpPr/>
      </xdr:nvCxnSpPr>
      <xdr:spPr>
        <a:xfrm flipV="1">
          <a:off x="10541000"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951" name="Straight Arrow Connector 950">
          <a:extLst>
            <a:ext uri="{FF2B5EF4-FFF2-40B4-BE49-F238E27FC236}">
              <a16:creationId xmlns:a16="http://schemas.microsoft.com/office/drawing/2014/main" id="{00000000-0008-0000-1200-0000B7030000}"/>
            </a:ext>
          </a:extLst>
        </xdr:cNvPr>
        <xdr:cNvCxnSpPr/>
      </xdr:nvCxnSpPr>
      <xdr:spPr>
        <a:xfrm flipV="1">
          <a:off x="10583333"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952" name="Straight Arrow Connector 951">
          <a:extLst>
            <a:ext uri="{FF2B5EF4-FFF2-40B4-BE49-F238E27FC236}">
              <a16:creationId xmlns:a16="http://schemas.microsoft.com/office/drawing/2014/main" id="{00000000-0008-0000-1200-0000B8030000}"/>
            </a:ext>
          </a:extLst>
        </xdr:cNvPr>
        <xdr:cNvCxnSpPr/>
      </xdr:nvCxnSpPr>
      <xdr:spPr>
        <a:xfrm>
          <a:off x="10604500"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953" name="Straight Arrow Connector 952">
          <a:extLst>
            <a:ext uri="{FF2B5EF4-FFF2-40B4-BE49-F238E27FC236}">
              <a16:creationId xmlns:a16="http://schemas.microsoft.com/office/drawing/2014/main" id="{00000000-0008-0000-1200-0000B9030000}"/>
            </a:ext>
          </a:extLst>
        </xdr:cNvPr>
        <xdr:cNvCxnSpPr/>
      </xdr:nvCxnSpPr>
      <xdr:spPr>
        <a:xfrm>
          <a:off x="10519834" y="46206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1605</xdr:row>
      <xdr:rowOff>52916</xdr:rowOff>
    </xdr:from>
    <xdr:to>
      <xdr:col>16</xdr:col>
      <xdr:colOff>0</xdr:colOff>
      <xdr:row>1607</xdr:row>
      <xdr:rowOff>0</xdr:rowOff>
    </xdr:to>
    <xdr:cxnSp macro="">
      <xdr:nvCxnSpPr>
        <xdr:cNvPr id="954" name="Straight Arrow Connector 953">
          <a:extLst>
            <a:ext uri="{FF2B5EF4-FFF2-40B4-BE49-F238E27FC236}">
              <a16:creationId xmlns:a16="http://schemas.microsoft.com/office/drawing/2014/main" id="{00000000-0008-0000-1200-0000BA030000}"/>
            </a:ext>
          </a:extLst>
        </xdr:cNvPr>
        <xdr:cNvCxnSpPr/>
      </xdr:nvCxnSpPr>
      <xdr:spPr>
        <a:xfrm flipV="1">
          <a:off x="10541000" y="47677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955" name="Straight Arrow Connector 954">
          <a:extLst>
            <a:ext uri="{FF2B5EF4-FFF2-40B4-BE49-F238E27FC236}">
              <a16:creationId xmlns:a16="http://schemas.microsoft.com/office/drawing/2014/main" id="{00000000-0008-0000-1200-0000BB030000}"/>
            </a:ext>
          </a:extLst>
        </xdr:cNvPr>
        <xdr:cNvCxnSpPr/>
      </xdr:nvCxnSpPr>
      <xdr:spPr>
        <a:xfrm>
          <a:off x="10551583"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956" name="Straight Arrow Connector 955">
          <a:extLst>
            <a:ext uri="{FF2B5EF4-FFF2-40B4-BE49-F238E27FC236}">
              <a16:creationId xmlns:a16="http://schemas.microsoft.com/office/drawing/2014/main" id="{00000000-0008-0000-1200-0000BC030000}"/>
            </a:ext>
          </a:extLst>
        </xdr:cNvPr>
        <xdr:cNvCxnSpPr/>
      </xdr:nvCxnSpPr>
      <xdr:spPr>
        <a:xfrm>
          <a:off x="10530417" y="48027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957" name="Straight Arrow Connector 956">
          <a:extLst>
            <a:ext uri="{FF2B5EF4-FFF2-40B4-BE49-F238E27FC236}">
              <a16:creationId xmlns:a16="http://schemas.microsoft.com/office/drawing/2014/main" id="{00000000-0008-0000-1200-0000BD030000}"/>
            </a:ext>
          </a:extLst>
        </xdr:cNvPr>
        <xdr:cNvCxnSpPr/>
      </xdr:nvCxnSpPr>
      <xdr:spPr>
        <a:xfrm>
          <a:off x="10541000" y="48037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958" name="Straight Arrow Connector 957">
          <a:extLst>
            <a:ext uri="{FF2B5EF4-FFF2-40B4-BE49-F238E27FC236}">
              <a16:creationId xmlns:a16="http://schemas.microsoft.com/office/drawing/2014/main" id="{00000000-0008-0000-1200-0000BE030000}"/>
            </a:ext>
          </a:extLst>
        </xdr:cNvPr>
        <xdr:cNvCxnSpPr/>
      </xdr:nvCxnSpPr>
      <xdr:spPr>
        <a:xfrm flipV="1">
          <a:off x="6392333"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959" name="Straight Arrow Connector 958">
          <a:extLst>
            <a:ext uri="{FF2B5EF4-FFF2-40B4-BE49-F238E27FC236}">
              <a16:creationId xmlns:a16="http://schemas.microsoft.com/office/drawing/2014/main" id="{00000000-0008-0000-1200-0000BF030000}"/>
            </a:ext>
          </a:extLst>
        </xdr:cNvPr>
        <xdr:cNvCxnSpPr/>
      </xdr:nvCxnSpPr>
      <xdr:spPr>
        <a:xfrm>
          <a:off x="6413500"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960" name="Straight Arrow Connector 959">
          <a:extLst>
            <a:ext uri="{FF2B5EF4-FFF2-40B4-BE49-F238E27FC236}">
              <a16:creationId xmlns:a16="http://schemas.microsoft.com/office/drawing/2014/main" id="{00000000-0008-0000-1200-0000C0030000}"/>
            </a:ext>
          </a:extLst>
        </xdr:cNvPr>
        <xdr:cNvCxnSpPr/>
      </xdr:nvCxnSpPr>
      <xdr:spPr>
        <a:xfrm flipV="1">
          <a:off x="7556500" y="58451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961" name="Straight Arrow Connector 960">
          <a:extLst>
            <a:ext uri="{FF2B5EF4-FFF2-40B4-BE49-F238E27FC236}">
              <a16:creationId xmlns:a16="http://schemas.microsoft.com/office/drawing/2014/main" id="{00000000-0008-0000-1200-0000C1030000}"/>
            </a:ext>
          </a:extLst>
        </xdr:cNvPr>
        <xdr:cNvCxnSpPr/>
      </xdr:nvCxnSpPr>
      <xdr:spPr>
        <a:xfrm flipV="1">
          <a:off x="10530417"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962" name="Straight Arrow Connector 961">
          <a:extLst>
            <a:ext uri="{FF2B5EF4-FFF2-40B4-BE49-F238E27FC236}">
              <a16:creationId xmlns:a16="http://schemas.microsoft.com/office/drawing/2014/main" id="{00000000-0008-0000-1200-0000C2030000}"/>
            </a:ext>
          </a:extLst>
        </xdr:cNvPr>
        <xdr:cNvCxnSpPr/>
      </xdr:nvCxnSpPr>
      <xdr:spPr>
        <a:xfrm>
          <a:off x="10572750"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963" name="Straight Arrow Connector 962">
          <a:extLst>
            <a:ext uri="{FF2B5EF4-FFF2-40B4-BE49-F238E27FC236}">
              <a16:creationId xmlns:a16="http://schemas.microsoft.com/office/drawing/2014/main" id="{00000000-0008-0000-1200-0000C3030000}"/>
            </a:ext>
          </a:extLst>
        </xdr:cNvPr>
        <xdr:cNvCxnSpPr/>
      </xdr:nvCxnSpPr>
      <xdr:spPr>
        <a:xfrm>
          <a:off x="10551583"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964" name="Straight Arrow Connector 963">
          <a:extLst>
            <a:ext uri="{FF2B5EF4-FFF2-40B4-BE49-F238E27FC236}">
              <a16:creationId xmlns:a16="http://schemas.microsoft.com/office/drawing/2014/main" id="{00000000-0008-0000-1200-0000C4030000}"/>
            </a:ext>
          </a:extLst>
        </xdr:cNvPr>
        <xdr:cNvCxnSpPr/>
      </xdr:nvCxnSpPr>
      <xdr:spPr>
        <a:xfrm>
          <a:off x="10583333" y="50704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965" name="Straight Arrow Connector 964">
          <a:extLst>
            <a:ext uri="{FF2B5EF4-FFF2-40B4-BE49-F238E27FC236}">
              <a16:creationId xmlns:a16="http://schemas.microsoft.com/office/drawing/2014/main" id="{00000000-0008-0000-1200-0000C5030000}"/>
            </a:ext>
          </a:extLst>
        </xdr:cNvPr>
        <xdr:cNvCxnSpPr/>
      </xdr:nvCxnSpPr>
      <xdr:spPr>
        <a:xfrm>
          <a:off x="10562166" y="53340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966" name="Straight Arrow Connector 965">
          <a:extLst>
            <a:ext uri="{FF2B5EF4-FFF2-40B4-BE49-F238E27FC236}">
              <a16:creationId xmlns:a16="http://schemas.microsoft.com/office/drawing/2014/main" id="{00000000-0008-0000-1200-0000C6030000}"/>
            </a:ext>
          </a:extLst>
        </xdr:cNvPr>
        <xdr:cNvCxnSpPr/>
      </xdr:nvCxnSpPr>
      <xdr:spPr>
        <a:xfrm>
          <a:off x="10615083"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967" name="Straight Arrow Connector 966">
          <a:extLst>
            <a:ext uri="{FF2B5EF4-FFF2-40B4-BE49-F238E27FC236}">
              <a16:creationId xmlns:a16="http://schemas.microsoft.com/office/drawing/2014/main" id="{00000000-0008-0000-1200-0000C7030000}"/>
            </a:ext>
          </a:extLst>
        </xdr:cNvPr>
        <xdr:cNvCxnSpPr/>
      </xdr:nvCxnSpPr>
      <xdr:spPr>
        <a:xfrm>
          <a:off x="10572750"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968" name="Straight Arrow Connector 967">
          <a:extLst>
            <a:ext uri="{FF2B5EF4-FFF2-40B4-BE49-F238E27FC236}">
              <a16:creationId xmlns:a16="http://schemas.microsoft.com/office/drawing/2014/main" id="{00000000-0008-0000-1200-0000C8030000}"/>
            </a:ext>
          </a:extLst>
        </xdr:cNvPr>
        <xdr:cNvCxnSpPr/>
      </xdr:nvCxnSpPr>
      <xdr:spPr>
        <a:xfrm flipV="1">
          <a:off x="10562166"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969" name="Straight Arrow Connector 968">
          <a:extLst>
            <a:ext uri="{FF2B5EF4-FFF2-40B4-BE49-F238E27FC236}">
              <a16:creationId xmlns:a16="http://schemas.microsoft.com/office/drawing/2014/main" id="{00000000-0008-0000-1200-0000C9030000}"/>
            </a:ext>
          </a:extLst>
        </xdr:cNvPr>
        <xdr:cNvCxnSpPr/>
      </xdr:nvCxnSpPr>
      <xdr:spPr>
        <a:xfrm flipV="1">
          <a:off x="10604500"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970" name="Straight Arrow Connector 969">
          <a:extLst>
            <a:ext uri="{FF2B5EF4-FFF2-40B4-BE49-F238E27FC236}">
              <a16:creationId xmlns:a16="http://schemas.microsoft.com/office/drawing/2014/main" id="{00000000-0008-0000-1200-0000CA030000}"/>
            </a:ext>
          </a:extLst>
        </xdr:cNvPr>
        <xdr:cNvCxnSpPr/>
      </xdr:nvCxnSpPr>
      <xdr:spPr>
        <a:xfrm>
          <a:off x="10593916"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971" name="Straight Arrow Connector 970">
          <a:extLst>
            <a:ext uri="{FF2B5EF4-FFF2-40B4-BE49-F238E27FC236}">
              <a16:creationId xmlns:a16="http://schemas.microsoft.com/office/drawing/2014/main" id="{00000000-0008-0000-1200-0000CB030000}"/>
            </a:ext>
          </a:extLst>
        </xdr:cNvPr>
        <xdr:cNvCxnSpPr/>
      </xdr:nvCxnSpPr>
      <xdr:spPr>
        <a:xfrm>
          <a:off x="10572750" y="58980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972" name="Straight Arrow Connector 971">
          <a:extLst>
            <a:ext uri="{FF2B5EF4-FFF2-40B4-BE49-F238E27FC236}">
              <a16:creationId xmlns:a16="http://schemas.microsoft.com/office/drawing/2014/main" id="{00000000-0008-0000-1200-0000CC030000}"/>
            </a:ext>
          </a:extLst>
        </xdr:cNvPr>
        <xdr:cNvCxnSpPr/>
      </xdr:nvCxnSpPr>
      <xdr:spPr>
        <a:xfrm flipV="1">
          <a:off x="10583333"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973" name="Straight Arrow Connector 972">
          <a:extLst>
            <a:ext uri="{FF2B5EF4-FFF2-40B4-BE49-F238E27FC236}">
              <a16:creationId xmlns:a16="http://schemas.microsoft.com/office/drawing/2014/main" id="{00000000-0008-0000-1200-0000CD030000}"/>
            </a:ext>
          </a:extLst>
        </xdr:cNvPr>
        <xdr:cNvCxnSpPr/>
      </xdr:nvCxnSpPr>
      <xdr:spPr>
        <a:xfrm>
          <a:off x="7598834"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974" name="Straight Arrow Connector 973">
          <a:extLst>
            <a:ext uri="{FF2B5EF4-FFF2-40B4-BE49-F238E27FC236}">
              <a16:creationId xmlns:a16="http://schemas.microsoft.com/office/drawing/2014/main" id="{00000000-0008-0000-1200-0000CE030000}"/>
            </a:ext>
          </a:extLst>
        </xdr:cNvPr>
        <xdr:cNvCxnSpPr/>
      </xdr:nvCxnSpPr>
      <xdr:spPr>
        <a:xfrm flipV="1">
          <a:off x="8794750" y="57552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975" name="Straight Arrow Connector 974">
          <a:extLst>
            <a:ext uri="{FF2B5EF4-FFF2-40B4-BE49-F238E27FC236}">
              <a16:creationId xmlns:a16="http://schemas.microsoft.com/office/drawing/2014/main" id="{00000000-0008-0000-1200-0000CF030000}"/>
            </a:ext>
          </a:extLst>
        </xdr:cNvPr>
        <xdr:cNvCxnSpPr/>
      </xdr:nvCxnSpPr>
      <xdr:spPr>
        <a:xfrm>
          <a:off x="8784166" y="58504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976" name="Straight Arrow Connector 975">
          <a:extLst>
            <a:ext uri="{FF2B5EF4-FFF2-40B4-BE49-F238E27FC236}">
              <a16:creationId xmlns:a16="http://schemas.microsoft.com/office/drawing/2014/main" id="{00000000-0008-0000-1200-0000D0030000}"/>
            </a:ext>
          </a:extLst>
        </xdr:cNvPr>
        <xdr:cNvCxnSpPr/>
      </xdr:nvCxnSpPr>
      <xdr:spPr>
        <a:xfrm flipV="1">
          <a:off x="879475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977" name="Straight Arrow Connector 976">
          <a:extLst>
            <a:ext uri="{FF2B5EF4-FFF2-40B4-BE49-F238E27FC236}">
              <a16:creationId xmlns:a16="http://schemas.microsoft.com/office/drawing/2014/main" id="{00000000-0008-0000-1200-0000D1030000}"/>
            </a:ext>
          </a:extLst>
        </xdr:cNvPr>
        <xdr:cNvCxnSpPr/>
      </xdr:nvCxnSpPr>
      <xdr:spPr>
        <a:xfrm>
          <a:off x="8805333" y="62484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978" name="Straight Arrow Connector 977">
          <a:extLst>
            <a:ext uri="{FF2B5EF4-FFF2-40B4-BE49-F238E27FC236}">
              <a16:creationId xmlns:a16="http://schemas.microsoft.com/office/drawing/2014/main" id="{00000000-0008-0000-1200-0000D2030000}"/>
            </a:ext>
          </a:extLst>
        </xdr:cNvPr>
        <xdr:cNvCxnSpPr/>
      </xdr:nvCxnSpPr>
      <xdr:spPr>
        <a:xfrm>
          <a:off x="10593916"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1661</xdr:row>
      <xdr:rowOff>52916</xdr:rowOff>
    </xdr:from>
    <xdr:to>
      <xdr:col>16</xdr:col>
      <xdr:colOff>0</xdr:colOff>
      <xdr:row>1663</xdr:row>
      <xdr:rowOff>0</xdr:rowOff>
    </xdr:to>
    <xdr:cxnSp macro="">
      <xdr:nvCxnSpPr>
        <xdr:cNvPr id="979" name="Straight Arrow Connector 978">
          <a:extLst>
            <a:ext uri="{FF2B5EF4-FFF2-40B4-BE49-F238E27FC236}">
              <a16:creationId xmlns:a16="http://schemas.microsoft.com/office/drawing/2014/main" id="{00000000-0008-0000-1200-0000D3030000}"/>
            </a:ext>
          </a:extLst>
        </xdr:cNvPr>
        <xdr:cNvCxnSpPr/>
      </xdr:nvCxnSpPr>
      <xdr:spPr>
        <a:xfrm flipV="1">
          <a:off x="10541000" y="58536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980" name="Straight Arrow Connector 979">
          <a:extLst>
            <a:ext uri="{FF2B5EF4-FFF2-40B4-BE49-F238E27FC236}">
              <a16:creationId xmlns:a16="http://schemas.microsoft.com/office/drawing/2014/main" id="{00000000-0008-0000-1200-0000D4030000}"/>
            </a:ext>
          </a:extLst>
        </xdr:cNvPr>
        <xdr:cNvCxnSpPr/>
      </xdr:nvCxnSpPr>
      <xdr:spPr>
        <a:xfrm>
          <a:off x="10530417"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981" name="Straight Arrow Connector 980">
          <a:extLst>
            <a:ext uri="{FF2B5EF4-FFF2-40B4-BE49-F238E27FC236}">
              <a16:creationId xmlns:a16="http://schemas.microsoft.com/office/drawing/2014/main" id="{00000000-0008-0000-1200-0000D5030000}"/>
            </a:ext>
          </a:extLst>
        </xdr:cNvPr>
        <xdr:cNvCxnSpPr/>
      </xdr:nvCxnSpPr>
      <xdr:spPr>
        <a:xfrm>
          <a:off x="10530417" y="58864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982" name="Straight Arrow Connector 981">
          <a:extLst>
            <a:ext uri="{FF2B5EF4-FFF2-40B4-BE49-F238E27FC236}">
              <a16:creationId xmlns:a16="http://schemas.microsoft.com/office/drawing/2014/main" id="{00000000-0008-0000-1200-0000D6030000}"/>
            </a:ext>
          </a:extLst>
        </xdr:cNvPr>
        <xdr:cNvCxnSpPr/>
      </xdr:nvCxnSpPr>
      <xdr:spPr>
        <a:xfrm flipV="1">
          <a:off x="10530417"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983" name="Straight Arrow Connector 982">
          <a:extLst>
            <a:ext uri="{FF2B5EF4-FFF2-40B4-BE49-F238E27FC236}">
              <a16:creationId xmlns:a16="http://schemas.microsoft.com/office/drawing/2014/main" id="{00000000-0008-0000-1200-0000D7030000}"/>
            </a:ext>
          </a:extLst>
        </xdr:cNvPr>
        <xdr:cNvCxnSpPr/>
      </xdr:nvCxnSpPr>
      <xdr:spPr>
        <a:xfrm>
          <a:off x="10572750"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984" name="Straight Arrow Connector 983">
          <a:extLst>
            <a:ext uri="{FF2B5EF4-FFF2-40B4-BE49-F238E27FC236}">
              <a16:creationId xmlns:a16="http://schemas.microsoft.com/office/drawing/2014/main" id="{00000000-0008-0000-1200-0000D8030000}"/>
            </a:ext>
          </a:extLst>
        </xdr:cNvPr>
        <xdr:cNvCxnSpPr/>
      </xdr:nvCxnSpPr>
      <xdr:spPr>
        <a:xfrm>
          <a:off x="10551583"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985" name="Straight Arrow Connector 984">
          <a:extLst>
            <a:ext uri="{FF2B5EF4-FFF2-40B4-BE49-F238E27FC236}">
              <a16:creationId xmlns:a16="http://schemas.microsoft.com/office/drawing/2014/main" id="{00000000-0008-0000-1200-0000D9030000}"/>
            </a:ext>
          </a:extLst>
        </xdr:cNvPr>
        <xdr:cNvCxnSpPr/>
      </xdr:nvCxnSpPr>
      <xdr:spPr>
        <a:xfrm>
          <a:off x="10583333" y="61563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986" name="Straight Arrow Connector 985">
          <a:extLst>
            <a:ext uri="{FF2B5EF4-FFF2-40B4-BE49-F238E27FC236}">
              <a16:creationId xmlns:a16="http://schemas.microsoft.com/office/drawing/2014/main" id="{00000000-0008-0000-1200-0000DA030000}"/>
            </a:ext>
          </a:extLst>
        </xdr:cNvPr>
        <xdr:cNvCxnSpPr/>
      </xdr:nvCxnSpPr>
      <xdr:spPr>
        <a:xfrm>
          <a:off x="10562166" y="64198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987" name="Straight Arrow Connector 986">
          <a:extLst>
            <a:ext uri="{FF2B5EF4-FFF2-40B4-BE49-F238E27FC236}">
              <a16:creationId xmlns:a16="http://schemas.microsoft.com/office/drawing/2014/main" id="{00000000-0008-0000-1200-0000DB030000}"/>
            </a:ext>
          </a:extLst>
        </xdr:cNvPr>
        <xdr:cNvCxnSpPr/>
      </xdr:nvCxnSpPr>
      <xdr:spPr>
        <a:xfrm>
          <a:off x="10615083"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988" name="Straight Arrow Connector 987">
          <a:extLst>
            <a:ext uri="{FF2B5EF4-FFF2-40B4-BE49-F238E27FC236}">
              <a16:creationId xmlns:a16="http://schemas.microsoft.com/office/drawing/2014/main" id="{00000000-0008-0000-1200-0000DC030000}"/>
            </a:ext>
          </a:extLst>
        </xdr:cNvPr>
        <xdr:cNvCxnSpPr/>
      </xdr:nvCxnSpPr>
      <xdr:spPr>
        <a:xfrm>
          <a:off x="10572750"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989" name="Straight Arrow Connector 988">
          <a:extLst>
            <a:ext uri="{FF2B5EF4-FFF2-40B4-BE49-F238E27FC236}">
              <a16:creationId xmlns:a16="http://schemas.microsoft.com/office/drawing/2014/main" id="{00000000-0008-0000-1200-0000DD030000}"/>
            </a:ext>
          </a:extLst>
        </xdr:cNvPr>
        <xdr:cNvCxnSpPr/>
      </xdr:nvCxnSpPr>
      <xdr:spPr>
        <a:xfrm flipV="1">
          <a:off x="10583333"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990" name="Straight Arrow Connector 989">
          <a:extLst>
            <a:ext uri="{FF2B5EF4-FFF2-40B4-BE49-F238E27FC236}">
              <a16:creationId xmlns:a16="http://schemas.microsoft.com/office/drawing/2014/main" id="{00000000-0008-0000-1200-0000DE030000}"/>
            </a:ext>
          </a:extLst>
        </xdr:cNvPr>
        <xdr:cNvCxnSpPr/>
      </xdr:nvCxnSpPr>
      <xdr:spPr>
        <a:xfrm>
          <a:off x="5080000" y="72294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991" name="Straight Arrow Connector 990">
          <a:extLst>
            <a:ext uri="{FF2B5EF4-FFF2-40B4-BE49-F238E27FC236}">
              <a16:creationId xmlns:a16="http://schemas.microsoft.com/office/drawing/2014/main" id="{00000000-0008-0000-1200-0000DF030000}"/>
            </a:ext>
          </a:extLst>
        </xdr:cNvPr>
        <xdr:cNvCxnSpPr/>
      </xdr:nvCxnSpPr>
      <xdr:spPr>
        <a:xfrm flipV="1">
          <a:off x="6381750"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992" name="Straight Arrow Connector 991">
          <a:extLst>
            <a:ext uri="{FF2B5EF4-FFF2-40B4-BE49-F238E27FC236}">
              <a16:creationId xmlns:a16="http://schemas.microsoft.com/office/drawing/2014/main" id="{00000000-0008-0000-1200-0000E0030000}"/>
            </a:ext>
          </a:extLst>
        </xdr:cNvPr>
        <xdr:cNvCxnSpPr/>
      </xdr:nvCxnSpPr>
      <xdr:spPr>
        <a:xfrm>
          <a:off x="6413500"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993" name="Straight Arrow Connector 992">
          <a:extLst>
            <a:ext uri="{FF2B5EF4-FFF2-40B4-BE49-F238E27FC236}">
              <a16:creationId xmlns:a16="http://schemas.microsoft.com/office/drawing/2014/main" id="{00000000-0008-0000-1200-0000E1030000}"/>
            </a:ext>
          </a:extLst>
        </xdr:cNvPr>
        <xdr:cNvCxnSpPr/>
      </xdr:nvCxnSpPr>
      <xdr:spPr>
        <a:xfrm flipV="1">
          <a:off x="7609417"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994" name="Straight Arrow Connector 993">
          <a:extLst>
            <a:ext uri="{FF2B5EF4-FFF2-40B4-BE49-F238E27FC236}">
              <a16:creationId xmlns:a16="http://schemas.microsoft.com/office/drawing/2014/main" id="{00000000-0008-0000-1200-0000E2030000}"/>
            </a:ext>
          </a:extLst>
        </xdr:cNvPr>
        <xdr:cNvCxnSpPr/>
      </xdr:nvCxnSpPr>
      <xdr:spPr>
        <a:xfrm>
          <a:off x="7598834"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995" name="Straight Arrow Connector 994">
          <a:extLst>
            <a:ext uri="{FF2B5EF4-FFF2-40B4-BE49-F238E27FC236}">
              <a16:creationId xmlns:a16="http://schemas.microsoft.com/office/drawing/2014/main" id="{00000000-0008-0000-1200-0000E3030000}"/>
            </a:ext>
          </a:extLst>
        </xdr:cNvPr>
        <xdr:cNvCxnSpPr/>
      </xdr:nvCxnSpPr>
      <xdr:spPr>
        <a:xfrm flipV="1">
          <a:off x="8794750" y="68410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996" name="Straight Arrow Connector 995">
          <a:extLst>
            <a:ext uri="{FF2B5EF4-FFF2-40B4-BE49-F238E27FC236}">
              <a16:creationId xmlns:a16="http://schemas.microsoft.com/office/drawing/2014/main" id="{00000000-0008-0000-1200-0000E4030000}"/>
            </a:ext>
          </a:extLst>
        </xdr:cNvPr>
        <xdr:cNvCxnSpPr/>
      </xdr:nvCxnSpPr>
      <xdr:spPr>
        <a:xfrm>
          <a:off x="8784166" y="69363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997" name="Straight Arrow Connector 996">
          <a:extLst>
            <a:ext uri="{FF2B5EF4-FFF2-40B4-BE49-F238E27FC236}">
              <a16:creationId xmlns:a16="http://schemas.microsoft.com/office/drawing/2014/main" id="{00000000-0008-0000-1200-0000E5030000}"/>
            </a:ext>
          </a:extLst>
        </xdr:cNvPr>
        <xdr:cNvCxnSpPr/>
      </xdr:nvCxnSpPr>
      <xdr:spPr>
        <a:xfrm flipV="1">
          <a:off x="879475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998" name="Straight Arrow Connector 997">
          <a:extLst>
            <a:ext uri="{FF2B5EF4-FFF2-40B4-BE49-F238E27FC236}">
              <a16:creationId xmlns:a16="http://schemas.microsoft.com/office/drawing/2014/main" id="{00000000-0008-0000-1200-0000E6030000}"/>
            </a:ext>
          </a:extLst>
        </xdr:cNvPr>
        <xdr:cNvCxnSpPr/>
      </xdr:nvCxnSpPr>
      <xdr:spPr>
        <a:xfrm>
          <a:off x="8805333" y="73342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1704</xdr:row>
      <xdr:rowOff>0</xdr:rowOff>
    </xdr:from>
    <xdr:to>
      <xdr:col>15</xdr:col>
      <xdr:colOff>603250</xdr:colOff>
      <xdr:row>1709</xdr:row>
      <xdr:rowOff>31750</xdr:rowOff>
    </xdr:to>
    <xdr:cxnSp macro="">
      <xdr:nvCxnSpPr>
        <xdr:cNvPr id="999" name="Straight Arrow Connector 998">
          <a:extLst>
            <a:ext uri="{FF2B5EF4-FFF2-40B4-BE49-F238E27FC236}">
              <a16:creationId xmlns:a16="http://schemas.microsoft.com/office/drawing/2014/main" id="{00000000-0008-0000-1200-0000E7030000}"/>
            </a:ext>
          </a:extLst>
        </xdr:cNvPr>
        <xdr:cNvCxnSpPr/>
      </xdr:nvCxnSpPr>
      <xdr:spPr>
        <a:xfrm flipV="1">
          <a:off x="10541000"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1000" name="Straight Arrow Connector 999">
          <a:extLst>
            <a:ext uri="{FF2B5EF4-FFF2-40B4-BE49-F238E27FC236}">
              <a16:creationId xmlns:a16="http://schemas.microsoft.com/office/drawing/2014/main" id="{00000000-0008-0000-1200-0000E8030000}"/>
            </a:ext>
          </a:extLst>
        </xdr:cNvPr>
        <xdr:cNvCxnSpPr/>
      </xdr:nvCxnSpPr>
      <xdr:spPr>
        <a:xfrm flipV="1">
          <a:off x="10583333"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1001" name="Straight Arrow Connector 1000">
          <a:extLst>
            <a:ext uri="{FF2B5EF4-FFF2-40B4-BE49-F238E27FC236}">
              <a16:creationId xmlns:a16="http://schemas.microsoft.com/office/drawing/2014/main" id="{00000000-0008-0000-1200-0000E9030000}"/>
            </a:ext>
          </a:extLst>
        </xdr:cNvPr>
        <xdr:cNvCxnSpPr/>
      </xdr:nvCxnSpPr>
      <xdr:spPr>
        <a:xfrm>
          <a:off x="10604500"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1002" name="Straight Arrow Connector 1001">
          <a:extLst>
            <a:ext uri="{FF2B5EF4-FFF2-40B4-BE49-F238E27FC236}">
              <a16:creationId xmlns:a16="http://schemas.microsoft.com/office/drawing/2014/main" id="{00000000-0008-0000-1200-0000EA030000}"/>
            </a:ext>
          </a:extLst>
        </xdr:cNvPr>
        <xdr:cNvCxnSpPr/>
      </xdr:nvCxnSpPr>
      <xdr:spPr>
        <a:xfrm>
          <a:off x="10519834" y="67923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1717</xdr:row>
      <xdr:rowOff>52916</xdr:rowOff>
    </xdr:from>
    <xdr:to>
      <xdr:col>16</xdr:col>
      <xdr:colOff>0</xdr:colOff>
      <xdr:row>1719</xdr:row>
      <xdr:rowOff>0</xdr:rowOff>
    </xdr:to>
    <xdr:cxnSp macro="">
      <xdr:nvCxnSpPr>
        <xdr:cNvPr id="1003" name="Straight Arrow Connector 1002">
          <a:extLst>
            <a:ext uri="{FF2B5EF4-FFF2-40B4-BE49-F238E27FC236}">
              <a16:creationId xmlns:a16="http://schemas.microsoft.com/office/drawing/2014/main" id="{00000000-0008-0000-1200-0000EB030000}"/>
            </a:ext>
          </a:extLst>
        </xdr:cNvPr>
        <xdr:cNvCxnSpPr/>
      </xdr:nvCxnSpPr>
      <xdr:spPr>
        <a:xfrm flipV="1">
          <a:off x="10541000" y="69394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1004" name="Straight Arrow Connector 1003">
          <a:extLst>
            <a:ext uri="{FF2B5EF4-FFF2-40B4-BE49-F238E27FC236}">
              <a16:creationId xmlns:a16="http://schemas.microsoft.com/office/drawing/2014/main" id="{00000000-0008-0000-1200-0000EC030000}"/>
            </a:ext>
          </a:extLst>
        </xdr:cNvPr>
        <xdr:cNvCxnSpPr/>
      </xdr:nvCxnSpPr>
      <xdr:spPr>
        <a:xfrm>
          <a:off x="10551583"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1005" name="Straight Arrow Connector 1004">
          <a:extLst>
            <a:ext uri="{FF2B5EF4-FFF2-40B4-BE49-F238E27FC236}">
              <a16:creationId xmlns:a16="http://schemas.microsoft.com/office/drawing/2014/main" id="{00000000-0008-0000-1200-0000ED030000}"/>
            </a:ext>
          </a:extLst>
        </xdr:cNvPr>
        <xdr:cNvCxnSpPr/>
      </xdr:nvCxnSpPr>
      <xdr:spPr>
        <a:xfrm>
          <a:off x="10530417" y="69744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1006" name="Straight Arrow Connector 1005">
          <a:extLst>
            <a:ext uri="{FF2B5EF4-FFF2-40B4-BE49-F238E27FC236}">
              <a16:creationId xmlns:a16="http://schemas.microsoft.com/office/drawing/2014/main" id="{00000000-0008-0000-1200-0000EE030000}"/>
            </a:ext>
          </a:extLst>
        </xdr:cNvPr>
        <xdr:cNvCxnSpPr/>
      </xdr:nvCxnSpPr>
      <xdr:spPr>
        <a:xfrm>
          <a:off x="10541000" y="69754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1007" name="Straight Arrow Connector 1006">
          <a:extLst>
            <a:ext uri="{FF2B5EF4-FFF2-40B4-BE49-F238E27FC236}">
              <a16:creationId xmlns:a16="http://schemas.microsoft.com/office/drawing/2014/main" id="{00000000-0008-0000-1200-0000EF030000}"/>
            </a:ext>
          </a:extLst>
        </xdr:cNvPr>
        <xdr:cNvCxnSpPr/>
      </xdr:nvCxnSpPr>
      <xdr:spPr>
        <a:xfrm flipV="1">
          <a:off x="6392333"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1008" name="Straight Arrow Connector 1007">
          <a:extLst>
            <a:ext uri="{FF2B5EF4-FFF2-40B4-BE49-F238E27FC236}">
              <a16:creationId xmlns:a16="http://schemas.microsoft.com/office/drawing/2014/main" id="{00000000-0008-0000-1200-0000F0030000}"/>
            </a:ext>
          </a:extLst>
        </xdr:cNvPr>
        <xdr:cNvCxnSpPr/>
      </xdr:nvCxnSpPr>
      <xdr:spPr>
        <a:xfrm>
          <a:off x="6413500"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1009" name="Straight Arrow Connector 1008">
          <a:extLst>
            <a:ext uri="{FF2B5EF4-FFF2-40B4-BE49-F238E27FC236}">
              <a16:creationId xmlns:a16="http://schemas.microsoft.com/office/drawing/2014/main" id="{00000000-0008-0000-1200-0000F1030000}"/>
            </a:ext>
          </a:extLst>
        </xdr:cNvPr>
        <xdr:cNvCxnSpPr/>
      </xdr:nvCxnSpPr>
      <xdr:spPr>
        <a:xfrm flipV="1">
          <a:off x="7556500" y="80168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1010" name="Straight Arrow Connector 1009">
          <a:extLst>
            <a:ext uri="{FF2B5EF4-FFF2-40B4-BE49-F238E27FC236}">
              <a16:creationId xmlns:a16="http://schemas.microsoft.com/office/drawing/2014/main" id="{00000000-0008-0000-1200-0000F2030000}"/>
            </a:ext>
          </a:extLst>
        </xdr:cNvPr>
        <xdr:cNvCxnSpPr/>
      </xdr:nvCxnSpPr>
      <xdr:spPr>
        <a:xfrm flipV="1">
          <a:off x="10530417"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1011" name="Straight Arrow Connector 1010">
          <a:extLst>
            <a:ext uri="{FF2B5EF4-FFF2-40B4-BE49-F238E27FC236}">
              <a16:creationId xmlns:a16="http://schemas.microsoft.com/office/drawing/2014/main" id="{00000000-0008-0000-1200-0000F3030000}"/>
            </a:ext>
          </a:extLst>
        </xdr:cNvPr>
        <xdr:cNvCxnSpPr/>
      </xdr:nvCxnSpPr>
      <xdr:spPr>
        <a:xfrm>
          <a:off x="10572750"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1012" name="Straight Arrow Connector 1011">
          <a:extLst>
            <a:ext uri="{FF2B5EF4-FFF2-40B4-BE49-F238E27FC236}">
              <a16:creationId xmlns:a16="http://schemas.microsoft.com/office/drawing/2014/main" id="{00000000-0008-0000-1200-0000F4030000}"/>
            </a:ext>
          </a:extLst>
        </xdr:cNvPr>
        <xdr:cNvCxnSpPr/>
      </xdr:nvCxnSpPr>
      <xdr:spPr>
        <a:xfrm>
          <a:off x="10551583"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1013" name="Straight Arrow Connector 1012">
          <a:extLst>
            <a:ext uri="{FF2B5EF4-FFF2-40B4-BE49-F238E27FC236}">
              <a16:creationId xmlns:a16="http://schemas.microsoft.com/office/drawing/2014/main" id="{00000000-0008-0000-1200-0000F5030000}"/>
            </a:ext>
          </a:extLst>
        </xdr:cNvPr>
        <xdr:cNvCxnSpPr/>
      </xdr:nvCxnSpPr>
      <xdr:spPr>
        <a:xfrm>
          <a:off x="10583333" y="72421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1014" name="Straight Arrow Connector 1013">
          <a:extLst>
            <a:ext uri="{FF2B5EF4-FFF2-40B4-BE49-F238E27FC236}">
              <a16:creationId xmlns:a16="http://schemas.microsoft.com/office/drawing/2014/main" id="{00000000-0008-0000-1200-0000F6030000}"/>
            </a:ext>
          </a:extLst>
        </xdr:cNvPr>
        <xdr:cNvCxnSpPr/>
      </xdr:nvCxnSpPr>
      <xdr:spPr>
        <a:xfrm>
          <a:off x="10562166" y="75057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1015" name="Straight Arrow Connector 1014">
          <a:extLst>
            <a:ext uri="{FF2B5EF4-FFF2-40B4-BE49-F238E27FC236}">
              <a16:creationId xmlns:a16="http://schemas.microsoft.com/office/drawing/2014/main" id="{00000000-0008-0000-1200-0000F7030000}"/>
            </a:ext>
          </a:extLst>
        </xdr:cNvPr>
        <xdr:cNvCxnSpPr/>
      </xdr:nvCxnSpPr>
      <xdr:spPr>
        <a:xfrm>
          <a:off x="10615083"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1016" name="Straight Arrow Connector 1015">
          <a:extLst>
            <a:ext uri="{FF2B5EF4-FFF2-40B4-BE49-F238E27FC236}">
              <a16:creationId xmlns:a16="http://schemas.microsoft.com/office/drawing/2014/main" id="{00000000-0008-0000-1200-0000F8030000}"/>
            </a:ext>
          </a:extLst>
        </xdr:cNvPr>
        <xdr:cNvCxnSpPr/>
      </xdr:nvCxnSpPr>
      <xdr:spPr>
        <a:xfrm>
          <a:off x="10572750"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1017" name="Straight Arrow Connector 1016">
          <a:extLst>
            <a:ext uri="{FF2B5EF4-FFF2-40B4-BE49-F238E27FC236}">
              <a16:creationId xmlns:a16="http://schemas.microsoft.com/office/drawing/2014/main" id="{00000000-0008-0000-1200-0000F9030000}"/>
            </a:ext>
          </a:extLst>
        </xdr:cNvPr>
        <xdr:cNvCxnSpPr/>
      </xdr:nvCxnSpPr>
      <xdr:spPr>
        <a:xfrm flipV="1">
          <a:off x="10562166"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1018" name="Straight Arrow Connector 1017">
          <a:extLst>
            <a:ext uri="{FF2B5EF4-FFF2-40B4-BE49-F238E27FC236}">
              <a16:creationId xmlns:a16="http://schemas.microsoft.com/office/drawing/2014/main" id="{00000000-0008-0000-1200-0000FA030000}"/>
            </a:ext>
          </a:extLst>
        </xdr:cNvPr>
        <xdr:cNvCxnSpPr/>
      </xdr:nvCxnSpPr>
      <xdr:spPr>
        <a:xfrm flipV="1">
          <a:off x="10604500"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1019" name="Straight Arrow Connector 1018">
          <a:extLst>
            <a:ext uri="{FF2B5EF4-FFF2-40B4-BE49-F238E27FC236}">
              <a16:creationId xmlns:a16="http://schemas.microsoft.com/office/drawing/2014/main" id="{00000000-0008-0000-1200-0000FB030000}"/>
            </a:ext>
          </a:extLst>
        </xdr:cNvPr>
        <xdr:cNvCxnSpPr/>
      </xdr:nvCxnSpPr>
      <xdr:spPr>
        <a:xfrm>
          <a:off x="10593916"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1020" name="Straight Arrow Connector 1019">
          <a:extLst>
            <a:ext uri="{FF2B5EF4-FFF2-40B4-BE49-F238E27FC236}">
              <a16:creationId xmlns:a16="http://schemas.microsoft.com/office/drawing/2014/main" id="{00000000-0008-0000-1200-0000FC030000}"/>
            </a:ext>
          </a:extLst>
        </xdr:cNvPr>
        <xdr:cNvCxnSpPr/>
      </xdr:nvCxnSpPr>
      <xdr:spPr>
        <a:xfrm>
          <a:off x="10572750" y="80697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1021" name="Straight Arrow Connector 1020">
          <a:extLst>
            <a:ext uri="{FF2B5EF4-FFF2-40B4-BE49-F238E27FC236}">
              <a16:creationId xmlns:a16="http://schemas.microsoft.com/office/drawing/2014/main" id="{00000000-0008-0000-1200-0000FD030000}"/>
            </a:ext>
          </a:extLst>
        </xdr:cNvPr>
        <xdr:cNvCxnSpPr/>
      </xdr:nvCxnSpPr>
      <xdr:spPr>
        <a:xfrm flipV="1">
          <a:off x="10583333"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1022" name="Straight Arrow Connector 1021">
          <a:extLst>
            <a:ext uri="{FF2B5EF4-FFF2-40B4-BE49-F238E27FC236}">
              <a16:creationId xmlns:a16="http://schemas.microsoft.com/office/drawing/2014/main" id="{00000000-0008-0000-1200-0000FE030000}"/>
            </a:ext>
          </a:extLst>
        </xdr:cNvPr>
        <xdr:cNvCxnSpPr/>
      </xdr:nvCxnSpPr>
      <xdr:spPr>
        <a:xfrm>
          <a:off x="7598834"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1023" name="Straight Arrow Connector 1022">
          <a:extLst>
            <a:ext uri="{FF2B5EF4-FFF2-40B4-BE49-F238E27FC236}">
              <a16:creationId xmlns:a16="http://schemas.microsoft.com/office/drawing/2014/main" id="{00000000-0008-0000-1200-0000FF030000}"/>
            </a:ext>
          </a:extLst>
        </xdr:cNvPr>
        <xdr:cNvCxnSpPr/>
      </xdr:nvCxnSpPr>
      <xdr:spPr>
        <a:xfrm flipV="1">
          <a:off x="8794750" y="7926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1024" name="Straight Arrow Connector 1023">
          <a:extLst>
            <a:ext uri="{FF2B5EF4-FFF2-40B4-BE49-F238E27FC236}">
              <a16:creationId xmlns:a16="http://schemas.microsoft.com/office/drawing/2014/main" id="{00000000-0008-0000-1200-000000040000}"/>
            </a:ext>
          </a:extLst>
        </xdr:cNvPr>
        <xdr:cNvCxnSpPr/>
      </xdr:nvCxnSpPr>
      <xdr:spPr>
        <a:xfrm>
          <a:off x="8784166" y="8022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1025" name="Straight Arrow Connector 1024">
          <a:extLst>
            <a:ext uri="{FF2B5EF4-FFF2-40B4-BE49-F238E27FC236}">
              <a16:creationId xmlns:a16="http://schemas.microsoft.com/office/drawing/2014/main" id="{00000000-0008-0000-1200-000001040000}"/>
            </a:ext>
          </a:extLst>
        </xdr:cNvPr>
        <xdr:cNvCxnSpPr/>
      </xdr:nvCxnSpPr>
      <xdr:spPr>
        <a:xfrm flipV="1">
          <a:off x="879475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1026" name="Straight Arrow Connector 1025">
          <a:extLst>
            <a:ext uri="{FF2B5EF4-FFF2-40B4-BE49-F238E27FC236}">
              <a16:creationId xmlns:a16="http://schemas.microsoft.com/office/drawing/2014/main" id="{00000000-0008-0000-1200-000002040000}"/>
            </a:ext>
          </a:extLst>
        </xdr:cNvPr>
        <xdr:cNvCxnSpPr/>
      </xdr:nvCxnSpPr>
      <xdr:spPr>
        <a:xfrm>
          <a:off x="8805333" y="8420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1027" name="Straight Arrow Connector 1026">
          <a:extLst>
            <a:ext uri="{FF2B5EF4-FFF2-40B4-BE49-F238E27FC236}">
              <a16:creationId xmlns:a16="http://schemas.microsoft.com/office/drawing/2014/main" id="{00000000-0008-0000-1200-000003040000}"/>
            </a:ext>
          </a:extLst>
        </xdr:cNvPr>
        <xdr:cNvCxnSpPr/>
      </xdr:nvCxnSpPr>
      <xdr:spPr>
        <a:xfrm>
          <a:off x="10593916"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1773</xdr:row>
      <xdr:rowOff>52916</xdr:rowOff>
    </xdr:from>
    <xdr:to>
      <xdr:col>16</xdr:col>
      <xdr:colOff>0</xdr:colOff>
      <xdr:row>1775</xdr:row>
      <xdr:rowOff>0</xdr:rowOff>
    </xdr:to>
    <xdr:cxnSp macro="">
      <xdr:nvCxnSpPr>
        <xdr:cNvPr id="1028" name="Straight Arrow Connector 1027">
          <a:extLst>
            <a:ext uri="{FF2B5EF4-FFF2-40B4-BE49-F238E27FC236}">
              <a16:creationId xmlns:a16="http://schemas.microsoft.com/office/drawing/2014/main" id="{00000000-0008-0000-1200-000004040000}"/>
            </a:ext>
          </a:extLst>
        </xdr:cNvPr>
        <xdr:cNvCxnSpPr/>
      </xdr:nvCxnSpPr>
      <xdr:spPr>
        <a:xfrm flipV="1">
          <a:off x="10541000" y="8025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1029" name="Straight Arrow Connector 1028">
          <a:extLst>
            <a:ext uri="{FF2B5EF4-FFF2-40B4-BE49-F238E27FC236}">
              <a16:creationId xmlns:a16="http://schemas.microsoft.com/office/drawing/2014/main" id="{00000000-0008-0000-1200-000005040000}"/>
            </a:ext>
          </a:extLst>
        </xdr:cNvPr>
        <xdr:cNvCxnSpPr/>
      </xdr:nvCxnSpPr>
      <xdr:spPr>
        <a:xfrm>
          <a:off x="10530417"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1030" name="Straight Arrow Connector 1029">
          <a:extLst>
            <a:ext uri="{FF2B5EF4-FFF2-40B4-BE49-F238E27FC236}">
              <a16:creationId xmlns:a16="http://schemas.microsoft.com/office/drawing/2014/main" id="{00000000-0008-0000-1200-000006040000}"/>
            </a:ext>
          </a:extLst>
        </xdr:cNvPr>
        <xdr:cNvCxnSpPr/>
      </xdr:nvCxnSpPr>
      <xdr:spPr>
        <a:xfrm>
          <a:off x="10530417" y="80581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1031" name="Straight Arrow Connector 1030">
          <a:extLst>
            <a:ext uri="{FF2B5EF4-FFF2-40B4-BE49-F238E27FC236}">
              <a16:creationId xmlns:a16="http://schemas.microsoft.com/office/drawing/2014/main" id="{00000000-0008-0000-1200-000007040000}"/>
            </a:ext>
          </a:extLst>
        </xdr:cNvPr>
        <xdr:cNvCxnSpPr/>
      </xdr:nvCxnSpPr>
      <xdr:spPr>
        <a:xfrm flipV="1">
          <a:off x="10530417"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1032" name="Straight Arrow Connector 1031">
          <a:extLst>
            <a:ext uri="{FF2B5EF4-FFF2-40B4-BE49-F238E27FC236}">
              <a16:creationId xmlns:a16="http://schemas.microsoft.com/office/drawing/2014/main" id="{00000000-0008-0000-1200-000008040000}"/>
            </a:ext>
          </a:extLst>
        </xdr:cNvPr>
        <xdr:cNvCxnSpPr/>
      </xdr:nvCxnSpPr>
      <xdr:spPr>
        <a:xfrm>
          <a:off x="10572750"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1033" name="Straight Arrow Connector 1032">
          <a:extLst>
            <a:ext uri="{FF2B5EF4-FFF2-40B4-BE49-F238E27FC236}">
              <a16:creationId xmlns:a16="http://schemas.microsoft.com/office/drawing/2014/main" id="{00000000-0008-0000-1200-000009040000}"/>
            </a:ext>
          </a:extLst>
        </xdr:cNvPr>
        <xdr:cNvCxnSpPr/>
      </xdr:nvCxnSpPr>
      <xdr:spPr>
        <a:xfrm>
          <a:off x="10551583"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1034" name="Straight Arrow Connector 1033">
          <a:extLst>
            <a:ext uri="{FF2B5EF4-FFF2-40B4-BE49-F238E27FC236}">
              <a16:creationId xmlns:a16="http://schemas.microsoft.com/office/drawing/2014/main" id="{00000000-0008-0000-1200-00000A040000}"/>
            </a:ext>
          </a:extLst>
        </xdr:cNvPr>
        <xdr:cNvCxnSpPr/>
      </xdr:nvCxnSpPr>
      <xdr:spPr>
        <a:xfrm>
          <a:off x="10583333" y="8328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1035" name="Straight Arrow Connector 1034">
          <a:extLst>
            <a:ext uri="{FF2B5EF4-FFF2-40B4-BE49-F238E27FC236}">
              <a16:creationId xmlns:a16="http://schemas.microsoft.com/office/drawing/2014/main" id="{00000000-0008-0000-1200-00000B040000}"/>
            </a:ext>
          </a:extLst>
        </xdr:cNvPr>
        <xdr:cNvCxnSpPr/>
      </xdr:nvCxnSpPr>
      <xdr:spPr>
        <a:xfrm>
          <a:off x="10562166" y="8591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1036" name="Straight Arrow Connector 1035">
          <a:extLst>
            <a:ext uri="{FF2B5EF4-FFF2-40B4-BE49-F238E27FC236}">
              <a16:creationId xmlns:a16="http://schemas.microsoft.com/office/drawing/2014/main" id="{00000000-0008-0000-1200-00000C040000}"/>
            </a:ext>
          </a:extLst>
        </xdr:cNvPr>
        <xdr:cNvCxnSpPr/>
      </xdr:nvCxnSpPr>
      <xdr:spPr>
        <a:xfrm>
          <a:off x="10615083"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1037" name="Straight Arrow Connector 1036">
          <a:extLst>
            <a:ext uri="{FF2B5EF4-FFF2-40B4-BE49-F238E27FC236}">
              <a16:creationId xmlns:a16="http://schemas.microsoft.com/office/drawing/2014/main" id="{00000000-0008-0000-1200-00000D040000}"/>
            </a:ext>
          </a:extLst>
        </xdr:cNvPr>
        <xdr:cNvCxnSpPr/>
      </xdr:nvCxnSpPr>
      <xdr:spPr>
        <a:xfrm>
          <a:off x="10572750"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1038" name="Straight Arrow Connector 1037">
          <a:extLst>
            <a:ext uri="{FF2B5EF4-FFF2-40B4-BE49-F238E27FC236}">
              <a16:creationId xmlns:a16="http://schemas.microsoft.com/office/drawing/2014/main" id="{00000000-0008-0000-1200-00000E040000}"/>
            </a:ext>
          </a:extLst>
        </xdr:cNvPr>
        <xdr:cNvCxnSpPr/>
      </xdr:nvCxnSpPr>
      <xdr:spPr>
        <a:xfrm flipV="1">
          <a:off x="10583333"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1039" name="Straight Arrow Connector 1038">
          <a:extLst>
            <a:ext uri="{FF2B5EF4-FFF2-40B4-BE49-F238E27FC236}">
              <a16:creationId xmlns:a16="http://schemas.microsoft.com/office/drawing/2014/main" id="{00000000-0008-0000-1200-00000F040000}"/>
            </a:ext>
          </a:extLst>
        </xdr:cNvPr>
        <xdr:cNvCxnSpPr/>
      </xdr:nvCxnSpPr>
      <xdr:spPr>
        <a:xfrm flipV="1">
          <a:off x="5207000" y="68135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912</xdr:row>
      <xdr:rowOff>10584</xdr:rowOff>
    </xdr:from>
    <xdr:to>
      <xdr:col>1</xdr:col>
      <xdr:colOff>603250</xdr:colOff>
      <xdr:row>1005</xdr:row>
      <xdr:rowOff>158750</xdr:rowOff>
    </xdr:to>
    <xdr:cxnSp macro="">
      <xdr:nvCxnSpPr>
        <xdr:cNvPr id="1040" name="Straight Arrow Connector 1039">
          <a:extLst>
            <a:ext uri="{FF2B5EF4-FFF2-40B4-BE49-F238E27FC236}">
              <a16:creationId xmlns:a16="http://schemas.microsoft.com/office/drawing/2014/main" id="{00000000-0008-0000-1200-000010040000}"/>
            </a:ext>
          </a:extLst>
        </xdr:cNvPr>
        <xdr:cNvCxnSpPr/>
      </xdr:nvCxnSpPr>
      <xdr:spPr>
        <a:xfrm flipV="1">
          <a:off x="603250" y="963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1008</xdr:row>
      <xdr:rowOff>169333</xdr:rowOff>
    </xdr:from>
    <xdr:to>
      <xdr:col>1</xdr:col>
      <xdr:colOff>603250</xdr:colOff>
      <xdr:row>1050</xdr:row>
      <xdr:rowOff>148167</xdr:rowOff>
    </xdr:to>
    <xdr:cxnSp macro="">
      <xdr:nvCxnSpPr>
        <xdr:cNvPr id="1041" name="Straight Arrow Connector 1040">
          <a:extLst>
            <a:ext uri="{FF2B5EF4-FFF2-40B4-BE49-F238E27FC236}">
              <a16:creationId xmlns:a16="http://schemas.microsoft.com/office/drawing/2014/main" id="{00000000-0008-0000-1200-000011040000}"/>
            </a:ext>
          </a:extLst>
        </xdr:cNvPr>
        <xdr:cNvCxnSpPr/>
      </xdr:nvCxnSpPr>
      <xdr:spPr>
        <a:xfrm>
          <a:off x="603250" y="19790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984</xdr:row>
      <xdr:rowOff>158750</xdr:rowOff>
    </xdr:from>
    <xdr:to>
      <xdr:col>3</xdr:col>
      <xdr:colOff>603250</xdr:colOff>
      <xdr:row>1051</xdr:row>
      <xdr:rowOff>10583</xdr:rowOff>
    </xdr:to>
    <xdr:cxnSp macro="">
      <xdr:nvCxnSpPr>
        <xdr:cNvPr id="1042" name="Straight Arrow Connector 1041">
          <a:extLst>
            <a:ext uri="{FF2B5EF4-FFF2-40B4-BE49-F238E27FC236}">
              <a16:creationId xmlns:a16="http://schemas.microsoft.com/office/drawing/2014/main" id="{00000000-0008-0000-1200-000012040000}"/>
            </a:ext>
          </a:extLst>
        </xdr:cNvPr>
        <xdr:cNvCxnSpPr/>
      </xdr:nvCxnSpPr>
      <xdr:spPr>
        <a:xfrm flipV="1">
          <a:off x="2296584"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1053</xdr:row>
      <xdr:rowOff>10583</xdr:rowOff>
    </xdr:from>
    <xdr:to>
      <xdr:col>4</xdr:col>
      <xdr:colOff>63500</xdr:colOff>
      <xdr:row>1204</xdr:row>
      <xdr:rowOff>158750</xdr:rowOff>
    </xdr:to>
    <xdr:cxnSp macro="">
      <xdr:nvCxnSpPr>
        <xdr:cNvPr id="1043" name="Straight Arrow Connector 1042">
          <a:extLst>
            <a:ext uri="{FF2B5EF4-FFF2-40B4-BE49-F238E27FC236}">
              <a16:creationId xmlns:a16="http://schemas.microsoft.com/office/drawing/2014/main" id="{00000000-0008-0000-1200-000013040000}"/>
            </a:ext>
          </a:extLst>
        </xdr:cNvPr>
        <xdr:cNvCxnSpPr/>
      </xdr:nvCxnSpPr>
      <xdr:spPr>
        <a:xfrm>
          <a:off x="2307167" y="28395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947</xdr:row>
      <xdr:rowOff>1</xdr:rowOff>
    </xdr:from>
    <xdr:to>
      <xdr:col>6</xdr:col>
      <xdr:colOff>0</xdr:colOff>
      <xdr:row>981</xdr:row>
      <xdr:rowOff>116417</xdr:rowOff>
    </xdr:to>
    <xdr:cxnSp macro="">
      <xdr:nvCxnSpPr>
        <xdr:cNvPr id="1044" name="Straight Arrow Connector 1043">
          <a:extLst>
            <a:ext uri="{FF2B5EF4-FFF2-40B4-BE49-F238E27FC236}">
              <a16:creationId xmlns:a16="http://schemas.microsoft.com/office/drawing/2014/main" id="{00000000-0008-0000-1200-000014040000}"/>
            </a:ext>
          </a:extLst>
        </xdr:cNvPr>
        <xdr:cNvCxnSpPr/>
      </xdr:nvCxnSpPr>
      <xdr:spPr>
        <a:xfrm flipV="1">
          <a:off x="3714750" y="7810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984</xdr:row>
      <xdr:rowOff>169334</xdr:rowOff>
    </xdr:from>
    <xdr:to>
      <xdr:col>5</xdr:col>
      <xdr:colOff>571500</xdr:colOff>
      <xdr:row>1053</xdr:row>
      <xdr:rowOff>0</xdr:rowOff>
    </xdr:to>
    <xdr:cxnSp macro="">
      <xdr:nvCxnSpPr>
        <xdr:cNvPr id="1045" name="Straight Arrow Connector 1044">
          <a:extLst>
            <a:ext uri="{FF2B5EF4-FFF2-40B4-BE49-F238E27FC236}">
              <a16:creationId xmlns:a16="http://schemas.microsoft.com/office/drawing/2014/main" id="{00000000-0008-0000-1200-000015040000}"/>
            </a:ext>
          </a:extLst>
        </xdr:cNvPr>
        <xdr:cNvCxnSpPr/>
      </xdr:nvCxnSpPr>
      <xdr:spPr>
        <a:xfrm>
          <a:off x="379941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922</xdr:row>
      <xdr:rowOff>148167</xdr:rowOff>
    </xdr:from>
    <xdr:to>
      <xdr:col>7</xdr:col>
      <xdr:colOff>603250</xdr:colOff>
      <xdr:row>944</xdr:row>
      <xdr:rowOff>31750</xdr:rowOff>
    </xdr:to>
    <xdr:cxnSp macro="">
      <xdr:nvCxnSpPr>
        <xdr:cNvPr id="1046" name="Straight Arrow Connector 1045">
          <a:extLst>
            <a:ext uri="{FF2B5EF4-FFF2-40B4-BE49-F238E27FC236}">
              <a16:creationId xmlns:a16="http://schemas.microsoft.com/office/drawing/2014/main" id="{00000000-0008-0000-1200-000016040000}"/>
            </a:ext>
          </a:extLst>
        </xdr:cNvPr>
        <xdr:cNvCxnSpPr/>
      </xdr:nvCxnSpPr>
      <xdr:spPr>
        <a:xfrm flipV="1">
          <a:off x="517525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947</xdr:row>
      <xdr:rowOff>10584</xdr:rowOff>
    </xdr:from>
    <xdr:to>
      <xdr:col>8</xdr:col>
      <xdr:colOff>21167</xdr:colOff>
      <xdr:row>975</xdr:row>
      <xdr:rowOff>148166</xdr:rowOff>
    </xdr:to>
    <xdr:cxnSp macro="">
      <xdr:nvCxnSpPr>
        <xdr:cNvPr id="1047" name="Straight Arrow Connector 1046">
          <a:extLst>
            <a:ext uri="{FF2B5EF4-FFF2-40B4-BE49-F238E27FC236}">
              <a16:creationId xmlns:a16="http://schemas.microsoft.com/office/drawing/2014/main" id="{00000000-0008-0000-1200-000017040000}"/>
            </a:ext>
          </a:extLst>
        </xdr:cNvPr>
        <xdr:cNvCxnSpPr/>
      </xdr:nvCxnSpPr>
      <xdr:spPr>
        <a:xfrm>
          <a:off x="5175250" y="7821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914</xdr:row>
      <xdr:rowOff>137583</xdr:rowOff>
    </xdr:from>
    <xdr:to>
      <xdr:col>9</xdr:col>
      <xdr:colOff>603250</xdr:colOff>
      <xdr:row>920</xdr:row>
      <xdr:rowOff>21166</xdr:rowOff>
    </xdr:to>
    <xdr:cxnSp macro="">
      <xdr:nvCxnSpPr>
        <xdr:cNvPr id="1048" name="Straight Arrow Connector 1047">
          <a:extLst>
            <a:ext uri="{FF2B5EF4-FFF2-40B4-BE49-F238E27FC236}">
              <a16:creationId xmlns:a16="http://schemas.microsoft.com/office/drawing/2014/main" id="{00000000-0008-0000-1200-000018040000}"/>
            </a:ext>
          </a:extLst>
        </xdr:cNvPr>
        <xdr:cNvCxnSpPr/>
      </xdr:nvCxnSpPr>
      <xdr:spPr>
        <a:xfrm flipV="1">
          <a:off x="6381750"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923</xdr:row>
      <xdr:rowOff>0</xdr:rowOff>
    </xdr:from>
    <xdr:to>
      <xdr:col>9</xdr:col>
      <xdr:colOff>582083</xdr:colOff>
      <xdr:row>931</xdr:row>
      <xdr:rowOff>10583</xdr:rowOff>
    </xdr:to>
    <xdr:cxnSp macro="">
      <xdr:nvCxnSpPr>
        <xdr:cNvPr id="1049" name="Straight Arrow Connector 1048">
          <a:extLst>
            <a:ext uri="{FF2B5EF4-FFF2-40B4-BE49-F238E27FC236}">
              <a16:creationId xmlns:a16="http://schemas.microsoft.com/office/drawing/2014/main" id="{00000000-0008-0000-1200-000019040000}"/>
            </a:ext>
          </a:extLst>
        </xdr:cNvPr>
        <xdr:cNvCxnSpPr/>
      </xdr:nvCxnSpPr>
      <xdr:spPr>
        <a:xfrm>
          <a:off x="6413500"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928</xdr:row>
      <xdr:rowOff>169333</xdr:rowOff>
    </xdr:from>
    <xdr:to>
      <xdr:col>11</xdr:col>
      <xdr:colOff>603250</xdr:colOff>
      <xdr:row>931</xdr:row>
      <xdr:rowOff>21167</xdr:rowOff>
    </xdr:to>
    <xdr:cxnSp macro="">
      <xdr:nvCxnSpPr>
        <xdr:cNvPr id="1050" name="Straight Arrow Connector 1049">
          <a:extLst>
            <a:ext uri="{FF2B5EF4-FFF2-40B4-BE49-F238E27FC236}">
              <a16:creationId xmlns:a16="http://schemas.microsoft.com/office/drawing/2014/main" id="{00000000-0008-0000-1200-00001A040000}"/>
            </a:ext>
          </a:extLst>
        </xdr:cNvPr>
        <xdr:cNvCxnSpPr/>
      </xdr:nvCxnSpPr>
      <xdr:spPr>
        <a:xfrm flipV="1">
          <a:off x="7609417"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934</xdr:row>
      <xdr:rowOff>42333</xdr:rowOff>
    </xdr:from>
    <xdr:to>
      <xdr:col>11</xdr:col>
      <xdr:colOff>603250</xdr:colOff>
      <xdr:row>946</xdr:row>
      <xdr:rowOff>10583</xdr:rowOff>
    </xdr:to>
    <xdr:cxnSp macro="">
      <xdr:nvCxnSpPr>
        <xdr:cNvPr id="1051" name="Straight Arrow Connector 1050">
          <a:extLst>
            <a:ext uri="{FF2B5EF4-FFF2-40B4-BE49-F238E27FC236}">
              <a16:creationId xmlns:a16="http://schemas.microsoft.com/office/drawing/2014/main" id="{00000000-0008-0000-1200-00001B040000}"/>
            </a:ext>
          </a:extLst>
        </xdr:cNvPr>
        <xdr:cNvCxnSpPr/>
      </xdr:nvCxnSpPr>
      <xdr:spPr>
        <a:xfrm>
          <a:off x="7598834"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924</xdr:row>
      <xdr:rowOff>21167</xdr:rowOff>
    </xdr:from>
    <xdr:to>
      <xdr:col>13</xdr:col>
      <xdr:colOff>592667</xdr:colOff>
      <xdr:row>926</xdr:row>
      <xdr:rowOff>0</xdr:rowOff>
    </xdr:to>
    <xdr:cxnSp macro="">
      <xdr:nvCxnSpPr>
        <xdr:cNvPr id="1052" name="Straight Arrow Connector 1051">
          <a:extLst>
            <a:ext uri="{FF2B5EF4-FFF2-40B4-BE49-F238E27FC236}">
              <a16:creationId xmlns:a16="http://schemas.microsoft.com/office/drawing/2014/main" id="{00000000-0008-0000-1200-00001C040000}"/>
            </a:ext>
          </a:extLst>
        </xdr:cNvPr>
        <xdr:cNvCxnSpPr/>
      </xdr:nvCxnSpPr>
      <xdr:spPr>
        <a:xfrm flipV="1">
          <a:off x="8794750" y="325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929</xdr:row>
      <xdr:rowOff>21166</xdr:rowOff>
    </xdr:from>
    <xdr:to>
      <xdr:col>13</xdr:col>
      <xdr:colOff>592667</xdr:colOff>
      <xdr:row>930</xdr:row>
      <xdr:rowOff>169334</xdr:rowOff>
    </xdr:to>
    <xdr:cxnSp macro="">
      <xdr:nvCxnSpPr>
        <xdr:cNvPr id="1053" name="Straight Arrow Connector 1052">
          <a:extLst>
            <a:ext uri="{FF2B5EF4-FFF2-40B4-BE49-F238E27FC236}">
              <a16:creationId xmlns:a16="http://schemas.microsoft.com/office/drawing/2014/main" id="{00000000-0008-0000-1200-00001D040000}"/>
            </a:ext>
          </a:extLst>
        </xdr:cNvPr>
        <xdr:cNvCxnSpPr/>
      </xdr:nvCxnSpPr>
      <xdr:spPr>
        <a:xfrm>
          <a:off x="8784166" y="421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944</xdr:row>
      <xdr:rowOff>21167</xdr:rowOff>
    </xdr:from>
    <xdr:to>
      <xdr:col>13</xdr:col>
      <xdr:colOff>592667</xdr:colOff>
      <xdr:row>946</xdr:row>
      <xdr:rowOff>63500</xdr:rowOff>
    </xdr:to>
    <xdr:cxnSp macro="">
      <xdr:nvCxnSpPr>
        <xdr:cNvPr id="1054" name="Straight Arrow Connector 1053">
          <a:extLst>
            <a:ext uri="{FF2B5EF4-FFF2-40B4-BE49-F238E27FC236}">
              <a16:creationId xmlns:a16="http://schemas.microsoft.com/office/drawing/2014/main" id="{00000000-0008-0000-1200-00001E040000}"/>
            </a:ext>
          </a:extLst>
        </xdr:cNvPr>
        <xdr:cNvCxnSpPr/>
      </xdr:nvCxnSpPr>
      <xdr:spPr>
        <a:xfrm flipV="1">
          <a:off x="879475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949</xdr:row>
      <xdr:rowOff>0</xdr:rowOff>
    </xdr:from>
    <xdr:to>
      <xdr:col>14</xdr:col>
      <xdr:colOff>10584</xdr:colOff>
      <xdr:row>957</xdr:row>
      <xdr:rowOff>148167</xdr:rowOff>
    </xdr:to>
    <xdr:cxnSp macro="">
      <xdr:nvCxnSpPr>
        <xdr:cNvPr id="1055" name="Straight Arrow Connector 1054">
          <a:extLst>
            <a:ext uri="{FF2B5EF4-FFF2-40B4-BE49-F238E27FC236}">
              <a16:creationId xmlns:a16="http://schemas.microsoft.com/office/drawing/2014/main" id="{00000000-0008-0000-1200-00001F040000}"/>
            </a:ext>
          </a:extLst>
        </xdr:cNvPr>
        <xdr:cNvCxnSpPr/>
      </xdr:nvCxnSpPr>
      <xdr:spPr>
        <a:xfrm>
          <a:off x="8805333" y="819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916</xdr:row>
      <xdr:rowOff>0</xdr:rowOff>
    </xdr:from>
    <xdr:to>
      <xdr:col>15</xdr:col>
      <xdr:colOff>603250</xdr:colOff>
      <xdr:row>921</xdr:row>
      <xdr:rowOff>31750</xdr:rowOff>
    </xdr:to>
    <xdr:cxnSp macro="">
      <xdr:nvCxnSpPr>
        <xdr:cNvPr id="1056" name="Straight Arrow Connector 1055">
          <a:extLst>
            <a:ext uri="{FF2B5EF4-FFF2-40B4-BE49-F238E27FC236}">
              <a16:creationId xmlns:a16="http://schemas.microsoft.com/office/drawing/2014/main" id="{00000000-0008-0000-1200-000020040000}"/>
            </a:ext>
          </a:extLst>
        </xdr:cNvPr>
        <xdr:cNvCxnSpPr/>
      </xdr:nvCxnSpPr>
      <xdr:spPr>
        <a:xfrm flipV="1">
          <a:off x="10541000"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919</xdr:row>
      <xdr:rowOff>52917</xdr:rowOff>
    </xdr:from>
    <xdr:to>
      <xdr:col>15</xdr:col>
      <xdr:colOff>603250</xdr:colOff>
      <xdr:row>921</xdr:row>
      <xdr:rowOff>95250</xdr:rowOff>
    </xdr:to>
    <xdr:cxnSp macro="">
      <xdr:nvCxnSpPr>
        <xdr:cNvPr id="1057" name="Straight Arrow Connector 1056">
          <a:extLst>
            <a:ext uri="{FF2B5EF4-FFF2-40B4-BE49-F238E27FC236}">
              <a16:creationId xmlns:a16="http://schemas.microsoft.com/office/drawing/2014/main" id="{00000000-0008-0000-1200-000021040000}"/>
            </a:ext>
          </a:extLst>
        </xdr:cNvPr>
        <xdr:cNvCxnSpPr/>
      </xdr:nvCxnSpPr>
      <xdr:spPr>
        <a:xfrm flipV="1">
          <a:off x="10583333"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921</xdr:row>
      <xdr:rowOff>158750</xdr:rowOff>
    </xdr:from>
    <xdr:to>
      <xdr:col>15</xdr:col>
      <xdr:colOff>582083</xdr:colOff>
      <xdr:row>922</xdr:row>
      <xdr:rowOff>137583</xdr:rowOff>
    </xdr:to>
    <xdr:cxnSp macro="">
      <xdr:nvCxnSpPr>
        <xdr:cNvPr id="1058" name="Straight Arrow Connector 1057">
          <a:extLst>
            <a:ext uri="{FF2B5EF4-FFF2-40B4-BE49-F238E27FC236}">
              <a16:creationId xmlns:a16="http://schemas.microsoft.com/office/drawing/2014/main" id="{00000000-0008-0000-1200-000022040000}"/>
            </a:ext>
          </a:extLst>
        </xdr:cNvPr>
        <xdr:cNvCxnSpPr/>
      </xdr:nvCxnSpPr>
      <xdr:spPr>
        <a:xfrm>
          <a:off x="10604500"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921</xdr:row>
      <xdr:rowOff>105834</xdr:rowOff>
    </xdr:from>
    <xdr:to>
      <xdr:col>16</xdr:col>
      <xdr:colOff>0</xdr:colOff>
      <xdr:row>925</xdr:row>
      <xdr:rowOff>84667</xdr:rowOff>
    </xdr:to>
    <xdr:cxnSp macro="">
      <xdr:nvCxnSpPr>
        <xdr:cNvPr id="1059" name="Straight Arrow Connector 1058">
          <a:extLst>
            <a:ext uri="{FF2B5EF4-FFF2-40B4-BE49-F238E27FC236}">
              <a16:creationId xmlns:a16="http://schemas.microsoft.com/office/drawing/2014/main" id="{00000000-0008-0000-1200-000023040000}"/>
            </a:ext>
          </a:extLst>
        </xdr:cNvPr>
        <xdr:cNvCxnSpPr/>
      </xdr:nvCxnSpPr>
      <xdr:spPr>
        <a:xfrm>
          <a:off x="10519834" y="277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929</xdr:row>
      <xdr:rowOff>52916</xdr:rowOff>
    </xdr:from>
    <xdr:to>
      <xdr:col>16</xdr:col>
      <xdr:colOff>0</xdr:colOff>
      <xdr:row>931</xdr:row>
      <xdr:rowOff>0</xdr:rowOff>
    </xdr:to>
    <xdr:cxnSp macro="">
      <xdr:nvCxnSpPr>
        <xdr:cNvPr id="1060" name="Straight Arrow Connector 1059">
          <a:extLst>
            <a:ext uri="{FF2B5EF4-FFF2-40B4-BE49-F238E27FC236}">
              <a16:creationId xmlns:a16="http://schemas.microsoft.com/office/drawing/2014/main" id="{00000000-0008-0000-1200-000024040000}"/>
            </a:ext>
          </a:extLst>
        </xdr:cNvPr>
        <xdr:cNvCxnSpPr/>
      </xdr:nvCxnSpPr>
      <xdr:spPr>
        <a:xfrm flipV="1">
          <a:off x="10541000" y="424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931</xdr:row>
      <xdr:rowOff>21167</xdr:rowOff>
    </xdr:from>
    <xdr:to>
      <xdr:col>15</xdr:col>
      <xdr:colOff>582083</xdr:colOff>
      <xdr:row>932</xdr:row>
      <xdr:rowOff>42333</xdr:rowOff>
    </xdr:to>
    <xdr:cxnSp macro="">
      <xdr:nvCxnSpPr>
        <xdr:cNvPr id="1061" name="Straight Arrow Connector 1060">
          <a:extLst>
            <a:ext uri="{FF2B5EF4-FFF2-40B4-BE49-F238E27FC236}">
              <a16:creationId xmlns:a16="http://schemas.microsoft.com/office/drawing/2014/main" id="{00000000-0008-0000-1200-000025040000}"/>
            </a:ext>
          </a:extLst>
        </xdr:cNvPr>
        <xdr:cNvCxnSpPr/>
      </xdr:nvCxnSpPr>
      <xdr:spPr>
        <a:xfrm>
          <a:off x="10551583"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931</xdr:row>
      <xdr:rowOff>21167</xdr:rowOff>
    </xdr:from>
    <xdr:to>
      <xdr:col>16</xdr:col>
      <xdr:colOff>42333</xdr:colOff>
      <xdr:row>936</xdr:row>
      <xdr:rowOff>21168</xdr:rowOff>
    </xdr:to>
    <xdr:cxnSp macro="">
      <xdr:nvCxnSpPr>
        <xdr:cNvPr id="1062" name="Straight Arrow Connector 1061">
          <a:extLst>
            <a:ext uri="{FF2B5EF4-FFF2-40B4-BE49-F238E27FC236}">
              <a16:creationId xmlns:a16="http://schemas.microsoft.com/office/drawing/2014/main" id="{00000000-0008-0000-1200-000026040000}"/>
            </a:ext>
          </a:extLst>
        </xdr:cNvPr>
        <xdr:cNvCxnSpPr/>
      </xdr:nvCxnSpPr>
      <xdr:spPr>
        <a:xfrm>
          <a:off x="10530417" y="459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931</xdr:row>
      <xdr:rowOff>31750</xdr:rowOff>
    </xdr:from>
    <xdr:to>
      <xdr:col>16</xdr:col>
      <xdr:colOff>42334</xdr:colOff>
      <xdr:row>938</xdr:row>
      <xdr:rowOff>63501</xdr:rowOff>
    </xdr:to>
    <xdr:cxnSp macro="">
      <xdr:nvCxnSpPr>
        <xdr:cNvPr id="1063" name="Straight Arrow Connector 1062">
          <a:extLst>
            <a:ext uri="{FF2B5EF4-FFF2-40B4-BE49-F238E27FC236}">
              <a16:creationId xmlns:a16="http://schemas.microsoft.com/office/drawing/2014/main" id="{00000000-0008-0000-1200-000027040000}"/>
            </a:ext>
          </a:extLst>
        </xdr:cNvPr>
        <xdr:cNvCxnSpPr/>
      </xdr:nvCxnSpPr>
      <xdr:spPr>
        <a:xfrm>
          <a:off x="10541000" y="460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968</xdr:row>
      <xdr:rowOff>42333</xdr:rowOff>
    </xdr:from>
    <xdr:to>
      <xdr:col>9</xdr:col>
      <xdr:colOff>592666</xdr:colOff>
      <xdr:row>976</xdr:row>
      <xdr:rowOff>42333</xdr:rowOff>
    </xdr:to>
    <xdr:cxnSp macro="">
      <xdr:nvCxnSpPr>
        <xdr:cNvPr id="1064" name="Straight Arrow Connector 1063">
          <a:extLst>
            <a:ext uri="{FF2B5EF4-FFF2-40B4-BE49-F238E27FC236}">
              <a16:creationId xmlns:a16="http://schemas.microsoft.com/office/drawing/2014/main" id="{00000000-0008-0000-1200-000028040000}"/>
            </a:ext>
          </a:extLst>
        </xdr:cNvPr>
        <xdr:cNvCxnSpPr/>
      </xdr:nvCxnSpPr>
      <xdr:spPr>
        <a:xfrm flipV="1">
          <a:off x="6392333"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978</xdr:row>
      <xdr:rowOff>169334</xdr:rowOff>
    </xdr:from>
    <xdr:to>
      <xdr:col>9</xdr:col>
      <xdr:colOff>603250</xdr:colOff>
      <xdr:row>987</xdr:row>
      <xdr:rowOff>31750</xdr:rowOff>
    </xdr:to>
    <xdr:cxnSp macro="">
      <xdr:nvCxnSpPr>
        <xdr:cNvPr id="1065" name="Straight Arrow Connector 1064">
          <a:extLst>
            <a:ext uri="{FF2B5EF4-FFF2-40B4-BE49-F238E27FC236}">
              <a16:creationId xmlns:a16="http://schemas.microsoft.com/office/drawing/2014/main" id="{00000000-0008-0000-1200-000029040000}"/>
            </a:ext>
          </a:extLst>
        </xdr:cNvPr>
        <xdr:cNvCxnSpPr/>
      </xdr:nvCxnSpPr>
      <xdr:spPr>
        <a:xfrm>
          <a:off x="6413500"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984</xdr:row>
      <xdr:rowOff>158750</xdr:rowOff>
    </xdr:from>
    <xdr:to>
      <xdr:col>11</xdr:col>
      <xdr:colOff>571500</xdr:colOff>
      <xdr:row>987</xdr:row>
      <xdr:rowOff>0</xdr:rowOff>
    </xdr:to>
    <xdr:cxnSp macro="">
      <xdr:nvCxnSpPr>
        <xdr:cNvPr id="1066" name="Straight Arrow Connector 1065">
          <a:extLst>
            <a:ext uri="{FF2B5EF4-FFF2-40B4-BE49-F238E27FC236}">
              <a16:creationId xmlns:a16="http://schemas.microsoft.com/office/drawing/2014/main" id="{00000000-0008-0000-1200-00002A040000}"/>
            </a:ext>
          </a:extLst>
        </xdr:cNvPr>
        <xdr:cNvCxnSpPr/>
      </xdr:nvCxnSpPr>
      <xdr:spPr>
        <a:xfrm flipV="1">
          <a:off x="7556500" y="1501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942</xdr:row>
      <xdr:rowOff>0</xdr:rowOff>
    </xdr:from>
    <xdr:to>
      <xdr:col>15</xdr:col>
      <xdr:colOff>603250</xdr:colOff>
      <xdr:row>944</xdr:row>
      <xdr:rowOff>1</xdr:rowOff>
    </xdr:to>
    <xdr:cxnSp macro="">
      <xdr:nvCxnSpPr>
        <xdr:cNvPr id="1067" name="Straight Arrow Connector 1066">
          <a:extLst>
            <a:ext uri="{FF2B5EF4-FFF2-40B4-BE49-F238E27FC236}">
              <a16:creationId xmlns:a16="http://schemas.microsoft.com/office/drawing/2014/main" id="{00000000-0008-0000-1200-00002B040000}"/>
            </a:ext>
          </a:extLst>
        </xdr:cNvPr>
        <xdr:cNvCxnSpPr/>
      </xdr:nvCxnSpPr>
      <xdr:spPr>
        <a:xfrm flipV="1">
          <a:off x="10530417"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944</xdr:row>
      <xdr:rowOff>10584</xdr:rowOff>
    </xdr:from>
    <xdr:to>
      <xdr:col>15</xdr:col>
      <xdr:colOff>592666</xdr:colOff>
      <xdr:row>945</xdr:row>
      <xdr:rowOff>95250</xdr:rowOff>
    </xdr:to>
    <xdr:cxnSp macro="">
      <xdr:nvCxnSpPr>
        <xdr:cNvPr id="1068" name="Straight Arrow Connector 1067">
          <a:extLst>
            <a:ext uri="{FF2B5EF4-FFF2-40B4-BE49-F238E27FC236}">
              <a16:creationId xmlns:a16="http://schemas.microsoft.com/office/drawing/2014/main" id="{00000000-0008-0000-1200-00002C040000}"/>
            </a:ext>
          </a:extLst>
        </xdr:cNvPr>
        <xdr:cNvCxnSpPr/>
      </xdr:nvCxnSpPr>
      <xdr:spPr>
        <a:xfrm>
          <a:off x="10572750"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944</xdr:row>
      <xdr:rowOff>10584</xdr:rowOff>
    </xdr:from>
    <xdr:to>
      <xdr:col>15</xdr:col>
      <xdr:colOff>560916</xdr:colOff>
      <xdr:row>948</xdr:row>
      <xdr:rowOff>52917</xdr:rowOff>
    </xdr:to>
    <xdr:cxnSp macro="">
      <xdr:nvCxnSpPr>
        <xdr:cNvPr id="1069" name="Straight Arrow Connector 1068">
          <a:extLst>
            <a:ext uri="{FF2B5EF4-FFF2-40B4-BE49-F238E27FC236}">
              <a16:creationId xmlns:a16="http://schemas.microsoft.com/office/drawing/2014/main" id="{00000000-0008-0000-1200-00002D040000}"/>
            </a:ext>
          </a:extLst>
        </xdr:cNvPr>
        <xdr:cNvCxnSpPr/>
      </xdr:nvCxnSpPr>
      <xdr:spPr>
        <a:xfrm>
          <a:off x="10551583"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944</xdr:row>
      <xdr:rowOff>31750</xdr:rowOff>
    </xdr:from>
    <xdr:to>
      <xdr:col>16</xdr:col>
      <xdr:colOff>21167</xdr:colOff>
      <xdr:row>951</xdr:row>
      <xdr:rowOff>95250</xdr:rowOff>
    </xdr:to>
    <xdr:cxnSp macro="">
      <xdr:nvCxnSpPr>
        <xdr:cNvPr id="1070" name="Straight Arrow Connector 1069">
          <a:extLst>
            <a:ext uri="{FF2B5EF4-FFF2-40B4-BE49-F238E27FC236}">
              <a16:creationId xmlns:a16="http://schemas.microsoft.com/office/drawing/2014/main" id="{00000000-0008-0000-1200-00002E040000}"/>
            </a:ext>
          </a:extLst>
        </xdr:cNvPr>
        <xdr:cNvCxnSpPr/>
      </xdr:nvCxnSpPr>
      <xdr:spPr>
        <a:xfrm>
          <a:off x="10583333" y="727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958</xdr:row>
      <xdr:rowOff>0</xdr:rowOff>
    </xdr:from>
    <xdr:to>
      <xdr:col>16</xdr:col>
      <xdr:colOff>0</xdr:colOff>
      <xdr:row>958</xdr:row>
      <xdr:rowOff>42334</xdr:rowOff>
    </xdr:to>
    <xdr:cxnSp macro="">
      <xdr:nvCxnSpPr>
        <xdr:cNvPr id="1071" name="Straight Arrow Connector 1070">
          <a:extLst>
            <a:ext uri="{FF2B5EF4-FFF2-40B4-BE49-F238E27FC236}">
              <a16:creationId xmlns:a16="http://schemas.microsoft.com/office/drawing/2014/main" id="{00000000-0008-0000-1200-00002F040000}"/>
            </a:ext>
          </a:extLst>
        </xdr:cNvPr>
        <xdr:cNvCxnSpPr/>
      </xdr:nvCxnSpPr>
      <xdr:spPr>
        <a:xfrm>
          <a:off x="10562166" y="990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958</xdr:row>
      <xdr:rowOff>21166</xdr:rowOff>
    </xdr:from>
    <xdr:to>
      <xdr:col>15</xdr:col>
      <xdr:colOff>560916</xdr:colOff>
      <xdr:row>961</xdr:row>
      <xdr:rowOff>84667</xdr:rowOff>
    </xdr:to>
    <xdr:cxnSp macro="">
      <xdr:nvCxnSpPr>
        <xdr:cNvPr id="1072" name="Straight Arrow Connector 1071">
          <a:extLst>
            <a:ext uri="{FF2B5EF4-FFF2-40B4-BE49-F238E27FC236}">
              <a16:creationId xmlns:a16="http://schemas.microsoft.com/office/drawing/2014/main" id="{00000000-0008-0000-1200-000030040000}"/>
            </a:ext>
          </a:extLst>
        </xdr:cNvPr>
        <xdr:cNvCxnSpPr/>
      </xdr:nvCxnSpPr>
      <xdr:spPr>
        <a:xfrm>
          <a:off x="10615083"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958</xdr:row>
      <xdr:rowOff>52916</xdr:rowOff>
    </xdr:from>
    <xdr:to>
      <xdr:col>15</xdr:col>
      <xdr:colOff>592666</xdr:colOff>
      <xdr:row>964</xdr:row>
      <xdr:rowOff>63501</xdr:rowOff>
    </xdr:to>
    <xdr:cxnSp macro="">
      <xdr:nvCxnSpPr>
        <xdr:cNvPr id="1073" name="Straight Arrow Connector 1072">
          <a:extLst>
            <a:ext uri="{FF2B5EF4-FFF2-40B4-BE49-F238E27FC236}">
              <a16:creationId xmlns:a16="http://schemas.microsoft.com/office/drawing/2014/main" id="{00000000-0008-0000-1200-000031040000}"/>
            </a:ext>
          </a:extLst>
        </xdr:cNvPr>
        <xdr:cNvCxnSpPr/>
      </xdr:nvCxnSpPr>
      <xdr:spPr>
        <a:xfrm>
          <a:off x="10572750"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972</xdr:row>
      <xdr:rowOff>116416</xdr:rowOff>
    </xdr:from>
    <xdr:to>
      <xdr:col>15</xdr:col>
      <xdr:colOff>592666</xdr:colOff>
      <xdr:row>975</xdr:row>
      <xdr:rowOff>158750</xdr:rowOff>
    </xdr:to>
    <xdr:cxnSp macro="">
      <xdr:nvCxnSpPr>
        <xdr:cNvPr id="1074" name="Straight Arrow Connector 1073">
          <a:extLst>
            <a:ext uri="{FF2B5EF4-FFF2-40B4-BE49-F238E27FC236}">
              <a16:creationId xmlns:a16="http://schemas.microsoft.com/office/drawing/2014/main" id="{00000000-0008-0000-1200-000032040000}"/>
            </a:ext>
          </a:extLst>
        </xdr:cNvPr>
        <xdr:cNvCxnSpPr/>
      </xdr:nvCxnSpPr>
      <xdr:spPr>
        <a:xfrm flipV="1">
          <a:off x="10562166"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974</xdr:row>
      <xdr:rowOff>95250</xdr:rowOff>
    </xdr:from>
    <xdr:to>
      <xdr:col>15</xdr:col>
      <xdr:colOff>582083</xdr:colOff>
      <xdr:row>976</xdr:row>
      <xdr:rowOff>52917</xdr:rowOff>
    </xdr:to>
    <xdr:cxnSp macro="">
      <xdr:nvCxnSpPr>
        <xdr:cNvPr id="1075" name="Straight Arrow Connector 1074">
          <a:extLst>
            <a:ext uri="{FF2B5EF4-FFF2-40B4-BE49-F238E27FC236}">
              <a16:creationId xmlns:a16="http://schemas.microsoft.com/office/drawing/2014/main" id="{00000000-0008-0000-1200-000033040000}"/>
            </a:ext>
          </a:extLst>
        </xdr:cNvPr>
        <xdr:cNvCxnSpPr/>
      </xdr:nvCxnSpPr>
      <xdr:spPr>
        <a:xfrm flipV="1">
          <a:off x="10604500"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116417</xdr:rowOff>
    </xdr:from>
    <xdr:to>
      <xdr:col>15</xdr:col>
      <xdr:colOff>592666</xdr:colOff>
      <xdr:row>980</xdr:row>
      <xdr:rowOff>95250</xdr:rowOff>
    </xdr:to>
    <xdr:cxnSp macro="">
      <xdr:nvCxnSpPr>
        <xdr:cNvPr id="1076" name="Straight Arrow Connector 1075">
          <a:extLst>
            <a:ext uri="{FF2B5EF4-FFF2-40B4-BE49-F238E27FC236}">
              <a16:creationId xmlns:a16="http://schemas.microsoft.com/office/drawing/2014/main" id="{00000000-0008-0000-1200-000034040000}"/>
            </a:ext>
          </a:extLst>
        </xdr:cNvPr>
        <xdr:cNvCxnSpPr/>
      </xdr:nvCxnSpPr>
      <xdr:spPr>
        <a:xfrm>
          <a:off x="10593916"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987</xdr:row>
      <xdr:rowOff>116416</xdr:rowOff>
    </xdr:from>
    <xdr:to>
      <xdr:col>16</xdr:col>
      <xdr:colOff>0</xdr:colOff>
      <xdr:row>994</xdr:row>
      <xdr:rowOff>74084</xdr:rowOff>
    </xdr:to>
    <xdr:cxnSp macro="">
      <xdr:nvCxnSpPr>
        <xdr:cNvPr id="1077" name="Straight Arrow Connector 1076">
          <a:extLst>
            <a:ext uri="{FF2B5EF4-FFF2-40B4-BE49-F238E27FC236}">
              <a16:creationId xmlns:a16="http://schemas.microsoft.com/office/drawing/2014/main" id="{00000000-0008-0000-1200-000035040000}"/>
            </a:ext>
          </a:extLst>
        </xdr:cNvPr>
        <xdr:cNvCxnSpPr/>
      </xdr:nvCxnSpPr>
      <xdr:spPr>
        <a:xfrm>
          <a:off x="10572750" y="1554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955</xdr:row>
      <xdr:rowOff>52917</xdr:rowOff>
    </xdr:from>
    <xdr:to>
      <xdr:col>15</xdr:col>
      <xdr:colOff>603250</xdr:colOff>
      <xdr:row>957</xdr:row>
      <xdr:rowOff>148167</xdr:rowOff>
    </xdr:to>
    <xdr:cxnSp macro="">
      <xdr:nvCxnSpPr>
        <xdr:cNvPr id="1078" name="Straight Arrow Connector 1077">
          <a:extLst>
            <a:ext uri="{FF2B5EF4-FFF2-40B4-BE49-F238E27FC236}">
              <a16:creationId xmlns:a16="http://schemas.microsoft.com/office/drawing/2014/main" id="{00000000-0008-0000-1200-000036040000}"/>
            </a:ext>
          </a:extLst>
        </xdr:cNvPr>
        <xdr:cNvCxnSpPr/>
      </xdr:nvCxnSpPr>
      <xdr:spPr>
        <a:xfrm flipV="1">
          <a:off x="10583333"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990</xdr:row>
      <xdr:rowOff>42333</xdr:rowOff>
    </xdr:from>
    <xdr:to>
      <xdr:col>11</xdr:col>
      <xdr:colOff>603250</xdr:colOff>
      <xdr:row>1002</xdr:row>
      <xdr:rowOff>10583</xdr:rowOff>
    </xdr:to>
    <xdr:cxnSp macro="">
      <xdr:nvCxnSpPr>
        <xdr:cNvPr id="1079" name="Straight Arrow Connector 1078">
          <a:extLst>
            <a:ext uri="{FF2B5EF4-FFF2-40B4-BE49-F238E27FC236}">
              <a16:creationId xmlns:a16="http://schemas.microsoft.com/office/drawing/2014/main" id="{00000000-0008-0000-1200-000037040000}"/>
            </a:ext>
          </a:extLst>
        </xdr:cNvPr>
        <xdr:cNvCxnSpPr/>
      </xdr:nvCxnSpPr>
      <xdr:spPr>
        <a:xfrm>
          <a:off x="7598834"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980</xdr:row>
      <xdr:rowOff>21167</xdr:rowOff>
    </xdr:from>
    <xdr:to>
      <xdr:col>13</xdr:col>
      <xdr:colOff>592667</xdr:colOff>
      <xdr:row>982</xdr:row>
      <xdr:rowOff>0</xdr:rowOff>
    </xdr:to>
    <xdr:cxnSp macro="">
      <xdr:nvCxnSpPr>
        <xdr:cNvPr id="1080" name="Straight Arrow Connector 1079">
          <a:extLst>
            <a:ext uri="{FF2B5EF4-FFF2-40B4-BE49-F238E27FC236}">
              <a16:creationId xmlns:a16="http://schemas.microsoft.com/office/drawing/2014/main" id="{00000000-0008-0000-1200-000038040000}"/>
            </a:ext>
          </a:extLst>
        </xdr:cNvPr>
        <xdr:cNvCxnSpPr/>
      </xdr:nvCxnSpPr>
      <xdr:spPr>
        <a:xfrm flipV="1">
          <a:off x="8794750" y="1411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985</xdr:row>
      <xdr:rowOff>21166</xdr:rowOff>
    </xdr:from>
    <xdr:to>
      <xdr:col>13</xdr:col>
      <xdr:colOff>592667</xdr:colOff>
      <xdr:row>986</xdr:row>
      <xdr:rowOff>169334</xdr:rowOff>
    </xdr:to>
    <xdr:cxnSp macro="">
      <xdr:nvCxnSpPr>
        <xdr:cNvPr id="1081" name="Straight Arrow Connector 1080">
          <a:extLst>
            <a:ext uri="{FF2B5EF4-FFF2-40B4-BE49-F238E27FC236}">
              <a16:creationId xmlns:a16="http://schemas.microsoft.com/office/drawing/2014/main" id="{00000000-0008-0000-1200-000039040000}"/>
            </a:ext>
          </a:extLst>
        </xdr:cNvPr>
        <xdr:cNvCxnSpPr/>
      </xdr:nvCxnSpPr>
      <xdr:spPr>
        <a:xfrm>
          <a:off x="8784166" y="1507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1000</xdr:row>
      <xdr:rowOff>21167</xdr:rowOff>
    </xdr:from>
    <xdr:to>
      <xdr:col>13</xdr:col>
      <xdr:colOff>592667</xdr:colOff>
      <xdr:row>1002</xdr:row>
      <xdr:rowOff>63500</xdr:rowOff>
    </xdr:to>
    <xdr:cxnSp macro="">
      <xdr:nvCxnSpPr>
        <xdr:cNvPr id="1082" name="Straight Arrow Connector 1081">
          <a:extLst>
            <a:ext uri="{FF2B5EF4-FFF2-40B4-BE49-F238E27FC236}">
              <a16:creationId xmlns:a16="http://schemas.microsoft.com/office/drawing/2014/main" id="{00000000-0008-0000-1200-00003A040000}"/>
            </a:ext>
          </a:extLst>
        </xdr:cNvPr>
        <xdr:cNvCxnSpPr/>
      </xdr:nvCxnSpPr>
      <xdr:spPr>
        <a:xfrm flipV="1">
          <a:off x="879475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1005</xdr:row>
      <xdr:rowOff>0</xdr:rowOff>
    </xdr:from>
    <xdr:to>
      <xdr:col>14</xdr:col>
      <xdr:colOff>10584</xdr:colOff>
      <xdr:row>1013</xdr:row>
      <xdr:rowOff>148167</xdr:rowOff>
    </xdr:to>
    <xdr:cxnSp macro="">
      <xdr:nvCxnSpPr>
        <xdr:cNvPr id="1083" name="Straight Arrow Connector 1082">
          <a:extLst>
            <a:ext uri="{FF2B5EF4-FFF2-40B4-BE49-F238E27FC236}">
              <a16:creationId xmlns:a16="http://schemas.microsoft.com/office/drawing/2014/main" id="{00000000-0008-0000-1200-00003B040000}"/>
            </a:ext>
          </a:extLst>
        </xdr:cNvPr>
        <xdr:cNvCxnSpPr/>
      </xdr:nvCxnSpPr>
      <xdr:spPr>
        <a:xfrm>
          <a:off x="8805333" y="1905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95250</xdr:rowOff>
    </xdr:from>
    <xdr:to>
      <xdr:col>15</xdr:col>
      <xdr:colOff>582083</xdr:colOff>
      <xdr:row>978</xdr:row>
      <xdr:rowOff>137583</xdr:rowOff>
    </xdr:to>
    <xdr:cxnSp macro="">
      <xdr:nvCxnSpPr>
        <xdr:cNvPr id="1084" name="Straight Arrow Connector 1083">
          <a:extLst>
            <a:ext uri="{FF2B5EF4-FFF2-40B4-BE49-F238E27FC236}">
              <a16:creationId xmlns:a16="http://schemas.microsoft.com/office/drawing/2014/main" id="{00000000-0008-0000-1200-00003C040000}"/>
            </a:ext>
          </a:extLst>
        </xdr:cNvPr>
        <xdr:cNvCxnSpPr/>
      </xdr:nvCxnSpPr>
      <xdr:spPr>
        <a:xfrm>
          <a:off x="10593916"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985</xdr:row>
      <xdr:rowOff>52916</xdr:rowOff>
    </xdr:from>
    <xdr:to>
      <xdr:col>16</xdr:col>
      <xdr:colOff>0</xdr:colOff>
      <xdr:row>987</xdr:row>
      <xdr:rowOff>0</xdr:rowOff>
    </xdr:to>
    <xdr:cxnSp macro="">
      <xdr:nvCxnSpPr>
        <xdr:cNvPr id="1085" name="Straight Arrow Connector 1084">
          <a:extLst>
            <a:ext uri="{FF2B5EF4-FFF2-40B4-BE49-F238E27FC236}">
              <a16:creationId xmlns:a16="http://schemas.microsoft.com/office/drawing/2014/main" id="{00000000-0008-0000-1200-00003D040000}"/>
            </a:ext>
          </a:extLst>
        </xdr:cNvPr>
        <xdr:cNvCxnSpPr/>
      </xdr:nvCxnSpPr>
      <xdr:spPr>
        <a:xfrm flipV="1">
          <a:off x="10541000" y="1510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21167</xdr:rowOff>
    </xdr:from>
    <xdr:to>
      <xdr:col>15</xdr:col>
      <xdr:colOff>592666</xdr:colOff>
      <xdr:row>988</xdr:row>
      <xdr:rowOff>84667</xdr:rowOff>
    </xdr:to>
    <xdr:cxnSp macro="">
      <xdr:nvCxnSpPr>
        <xdr:cNvPr id="1086" name="Straight Arrow Connector 1085">
          <a:extLst>
            <a:ext uri="{FF2B5EF4-FFF2-40B4-BE49-F238E27FC236}">
              <a16:creationId xmlns:a16="http://schemas.microsoft.com/office/drawing/2014/main" id="{00000000-0008-0000-1200-00003E040000}"/>
            </a:ext>
          </a:extLst>
        </xdr:cNvPr>
        <xdr:cNvCxnSpPr/>
      </xdr:nvCxnSpPr>
      <xdr:spPr>
        <a:xfrm>
          <a:off x="10530417"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0</xdr:rowOff>
    </xdr:from>
    <xdr:to>
      <xdr:col>16</xdr:col>
      <xdr:colOff>0</xdr:colOff>
      <xdr:row>991</xdr:row>
      <xdr:rowOff>42334</xdr:rowOff>
    </xdr:to>
    <xdr:cxnSp macro="">
      <xdr:nvCxnSpPr>
        <xdr:cNvPr id="1087" name="Straight Arrow Connector 1086">
          <a:extLst>
            <a:ext uri="{FF2B5EF4-FFF2-40B4-BE49-F238E27FC236}">
              <a16:creationId xmlns:a16="http://schemas.microsoft.com/office/drawing/2014/main" id="{00000000-0008-0000-1200-00003F040000}"/>
            </a:ext>
          </a:extLst>
        </xdr:cNvPr>
        <xdr:cNvCxnSpPr/>
      </xdr:nvCxnSpPr>
      <xdr:spPr>
        <a:xfrm>
          <a:off x="10530417" y="1543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998</xdr:row>
      <xdr:rowOff>0</xdr:rowOff>
    </xdr:from>
    <xdr:to>
      <xdr:col>15</xdr:col>
      <xdr:colOff>603250</xdr:colOff>
      <xdr:row>1000</xdr:row>
      <xdr:rowOff>1</xdr:rowOff>
    </xdr:to>
    <xdr:cxnSp macro="">
      <xdr:nvCxnSpPr>
        <xdr:cNvPr id="1088" name="Straight Arrow Connector 1087">
          <a:extLst>
            <a:ext uri="{FF2B5EF4-FFF2-40B4-BE49-F238E27FC236}">
              <a16:creationId xmlns:a16="http://schemas.microsoft.com/office/drawing/2014/main" id="{00000000-0008-0000-1200-000040040000}"/>
            </a:ext>
          </a:extLst>
        </xdr:cNvPr>
        <xdr:cNvCxnSpPr/>
      </xdr:nvCxnSpPr>
      <xdr:spPr>
        <a:xfrm flipV="1">
          <a:off x="10530417" y="1771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1000</xdr:row>
      <xdr:rowOff>10584</xdr:rowOff>
    </xdr:from>
    <xdr:to>
      <xdr:col>15</xdr:col>
      <xdr:colOff>592666</xdr:colOff>
      <xdr:row>1001</xdr:row>
      <xdr:rowOff>95250</xdr:rowOff>
    </xdr:to>
    <xdr:cxnSp macro="">
      <xdr:nvCxnSpPr>
        <xdr:cNvPr id="1089" name="Straight Arrow Connector 1088">
          <a:extLst>
            <a:ext uri="{FF2B5EF4-FFF2-40B4-BE49-F238E27FC236}">
              <a16:creationId xmlns:a16="http://schemas.microsoft.com/office/drawing/2014/main" id="{00000000-0008-0000-1200-000041040000}"/>
            </a:ext>
          </a:extLst>
        </xdr:cNvPr>
        <xdr:cNvCxnSpPr/>
      </xdr:nvCxnSpPr>
      <xdr:spPr>
        <a:xfrm>
          <a:off x="10572750" y="1810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1000</xdr:row>
      <xdr:rowOff>10584</xdr:rowOff>
    </xdr:from>
    <xdr:to>
      <xdr:col>15</xdr:col>
      <xdr:colOff>560916</xdr:colOff>
      <xdr:row>1004</xdr:row>
      <xdr:rowOff>52917</xdr:rowOff>
    </xdr:to>
    <xdr:cxnSp macro="">
      <xdr:nvCxnSpPr>
        <xdr:cNvPr id="1090" name="Straight Arrow Connector 1089">
          <a:extLst>
            <a:ext uri="{FF2B5EF4-FFF2-40B4-BE49-F238E27FC236}">
              <a16:creationId xmlns:a16="http://schemas.microsoft.com/office/drawing/2014/main" id="{00000000-0008-0000-1200-000042040000}"/>
            </a:ext>
          </a:extLst>
        </xdr:cNvPr>
        <xdr:cNvCxnSpPr/>
      </xdr:nvCxnSpPr>
      <xdr:spPr>
        <a:xfrm>
          <a:off x="10551583"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1091" name="Straight Arrow Connector 1090">
          <a:extLst>
            <a:ext uri="{FF2B5EF4-FFF2-40B4-BE49-F238E27FC236}">
              <a16:creationId xmlns:a16="http://schemas.microsoft.com/office/drawing/2014/main" id="{00000000-0008-0000-1200-000043040000}"/>
            </a:ext>
          </a:extLst>
        </xdr:cNvPr>
        <xdr:cNvCxnSpPr/>
      </xdr:nvCxnSpPr>
      <xdr:spPr>
        <a:xfrm>
          <a:off x="10583333" y="1812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1014</xdr:row>
      <xdr:rowOff>0</xdr:rowOff>
    </xdr:from>
    <xdr:to>
      <xdr:col>16</xdr:col>
      <xdr:colOff>0</xdr:colOff>
      <xdr:row>1014</xdr:row>
      <xdr:rowOff>42334</xdr:rowOff>
    </xdr:to>
    <xdr:cxnSp macro="">
      <xdr:nvCxnSpPr>
        <xdr:cNvPr id="1092" name="Straight Arrow Connector 1091">
          <a:extLst>
            <a:ext uri="{FF2B5EF4-FFF2-40B4-BE49-F238E27FC236}">
              <a16:creationId xmlns:a16="http://schemas.microsoft.com/office/drawing/2014/main" id="{00000000-0008-0000-1200-000044040000}"/>
            </a:ext>
          </a:extLst>
        </xdr:cNvPr>
        <xdr:cNvCxnSpPr/>
      </xdr:nvCxnSpPr>
      <xdr:spPr>
        <a:xfrm>
          <a:off x="10562166" y="2076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1014</xdr:row>
      <xdr:rowOff>21166</xdr:rowOff>
    </xdr:from>
    <xdr:to>
      <xdr:col>15</xdr:col>
      <xdr:colOff>560916</xdr:colOff>
      <xdr:row>1017</xdr:row>
      <xdr:rowOff>84667</xdr:rowOff>
    </xdr:to>
    <xdr:cxnSp macro="">
      <xdr:nvCxnSpPr>
        <xdr:cNvPr id="1093" name="Straight Arrow Connector 1092">
          <a:extLst>
            <a:ext uri="{FF2B5EF4-FFF2-40B4-BE49-F238E27FC236}">
              <a16:creationId xmlns:a16="http://schemas.microsoft.com/office/drawing/2014/main" id="{00000000-0008-0000-1200-000045040000}"/>
            </a:ext>
          </a:extLst>
        </xdr:cNvPr>
        <xdr:cNvCxnSpPr/>
      </xdr:nvCxnSpPr>
      <xdr:spPr>
        <a:xfrm>
          <a:off x="10615083"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1014</xdr:row>
      <xdr:rowOff>52916</xdr:rowOff>
    </xdr:from>
    <xdr:to>
      <xdr:col>15</xdr:col>
      <xdr:colOff>592666</xdr:colOff>
      <xdr:row>1020</xdr:row>
      <xdr:rowOff>63501</xdr:rowOff>
    </xdr:to>
    <xdr:cxnSp macro="">
      <xdr:nvCxnSpPr>
        <xdr:cNvPr id="1094" name="Straight Arrow Connector 1093">
          <a:extLst>
            <a:ext uri="{FF2B5EF4-FFF2-40B4-BE49-F238E27FC236}">
              <a16:creationId xmlns:a16="http://schemas.microsoft.com/office/drawing/2014/main" id="{00000000-0008-0000-1200-000046040000}"/>
            </a:ext>
          </a:extLst>
        </xdr:cNvPr>
        <xdr:cNvCxnSpPr/>
      </xdr:nvCxnSpPr>
      <xdr:spPr>
        <a:xfrm>
          <a:off x="10572750"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1011</xdr:row>
      <xdr:rowOff>52917</xdr:rowOff>
    </xdr:from>
    <xdr:to>
      <xdr:col>15</xdr:col>
      <xdr:colOff>603250</xdr:colOff>
      <xdr:row>1013</xdr:row>
      <xdr:rowOff>148167</xdr:rowOff>
    </xdr:to>
    <xdr:cxnSp macro="">
      <xdr:nvCxnSpPr>
        <xdr:cNvPr id="1095" name="Straight Arrow Connector 1094">
          <a:extLst>
            <a:ext uri="{FF2B5EF4-FFF2-40B4-BE49-F238E27FC236}">
              <a16:creationId xmlns:a16="http://schemas.microsoft.com/office/drawing/2014/main" id="{00000000-0008-0000-1200-000047040000}"/>
            </a:ext>
          </a:extLst>
        </xdr:cNvPr>
        <xdr:cNvCxnSpPr/>
      </xdr:nvCxnSpPr>
      <xdr:spPr>
        <a:xfrm flipV="1">
          <a:off x="10583333"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1055</xdr:row>
      <xdr:rowOff>95250</xdr:rowOff>
    </xdr:from>
    <xdr:to>
      <xdr:col>8</xdr:col>
      <xdr:colOff>21167</xdr:colOff>
      <xdr:row>1087</xdr:row>
      <xdr:rowOff>148166</xdr:rowOff>
    </xdr:to>
    <xdr:cxnSp macro="">
      <xdr:nvCxnSpPr>
        <xdr:cNvPr id="1096" name="Straight Arrow Connector 1095">
          <a:extLst>
            <a:ext uri="{FF2B5EF4-FFF2-40B4-BE49-F238E27FC236}">
              <a16:creationId xmlns:a16="http://schemas.microsoft.com/office/drawing/2014/main" id="{00000000-0008-0000-1200-000048040000}"/>
            </a:ext>
          </a:extLst>
        </xdr:cNvPr>
        <xdr:cNvCxnSpPr/>
      </xdr:nvCxnSpPr>
      <xdr:spPr>
        <a:xfrm>
          <a:off x="5080000" y="28860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1026</xdr:row>
      <xdr:rowOff>137583</xdr:rowOff>
    </xdr:from>
    <xdr:to>
      <xdr:col>9</xdr:col>
      <xdr:colOff>603250</xdr:colOff>
      <xdr:row>1032</xdr:row>
      <xdr:rowOff>21166</xdr:rowOff>
    </xdr:to>
    <xdr:cxnSp macro="">
      <xdr:nvCxnSpPr>
        <xdr:cNvPr id="1097" name="Straight Arrow Connector 1096">
          <a:extLst>
            <a:ext uri="{FF2B5EF4-FFF2-40B4-BE49-F238E27FC236}">
              <a16:creationId xmlns:a16="http://schemas.microsoft.com/office/drawing/2014/main" id="{00000000-0008-0000-1200-000049040000}"/>
            </a:ext>
          </a:extLst>
        </xdr:cNvPr>
        <xdr:cNvCxnSpPr/>
      </xdr:nvCxnSpPr>
      <xdr:spPr>
        <a:xfrm flipV="1">
          <a:off x="6381750"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1035</xdr:row>
      <xdr:rowOff>0</xdr:rowOff>
    </xdr:from>
    <xdr:to>
      <xdr:col>9</xdr:col>
      <xdr:colOff>582083</xdr:colOff>
      <xdr:row>1043</xdr:row>
      <xdr:rowOff>10583</xdr:rowOff>
    </xdr:to>
    <xdr:cxnSp macro="">
      <xdr:nvCxnSpPr>
        <xdr:cNvPr id="1098" name="Straight Arrow Connector 1097">
          <a:extLst>
            <a:ext uri="{FF2B5EF4-FFF2-40B4-BE49-F238E27FC236}">
              <a16:creationId xmlns:a16="http://schemas.microsoft.com/office/drawing/2014/main" id="{00000000-0008-0000-1200-00004A040000}"/>
            </a:ext>
          </a:extLst>
        </xdr:cNvPr>
        <xdr:cNvCxnSpPr/>
      </xdr:nvCxnSpPr>
      <xdr:spPr>
        <a:xfrm>
          <a:off x="6413500"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1040</xdr:row>
      <xdr:rowOff>169333</xdr:rowOff>
    </xdr:from>
    <xdr:to>
      <xdr:col>11</xdr:col>
      <xdr:colOff>603250</xdr:colOff>
      <xdr:row>1043</xdr:row>
      <xdr:rowOff>21167</xdr:rowOff>
    </xdr:to>
    <xdr:cxnSp macro="">
      <xdr:nvCxnSpPr>
        <xdr:cNvPr id="1099" name="Straight Arrow Connector 1098">
          <a:extLst>
            <a:ext uri="{FF2B5EF4-FFF2-40B4-BE49-F238E27FC236}">
              <a16:creationId xmlns:a16="http://schemas.microsoft.com/office/drawing/2014/main" id="{00000000-0008-0000-1200-00004B040000}"/>
            </a:ext>
          </a:extLst>
        </xdr:cNvPr>
        <xdr:cNvCxnSpPr/>
      </xdr:nvCxnSpPr>
      <xdr:spPr>
        <a:xfrm flipV="1">
          <a:off x="7609417"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1046</xdr:row>
      <xdr:rowOff>42333</xdr:rowOff>
    </xdr:from>
    <xdr:to>
      <xdr:col>11</xdr:col>
      <xdr:colOff>603250</xdr:colOff>
      <xdr:row>1058</xdr:row>
      <xdr:rowOff>10583</xdr:rowOff>
    </xdr:to>
    <xdr:cxnSp macro="">
      <xdr:nvCxnSpPr>
        <xdr:cNvPr id="1100" name="Straight Arrow Connector 1099">
          <a:extLst>
            <a:ext uri="{FF2B5EF4-FFF2-40B4-BE49-F238E27FC236}">
              <a16:creationId xmlns:a16="http://schemas.microsoft.com/office/drawing/2014/main" id="{00000000-0008-0000-1200-00004C040000}"/>
            </a:ext>
          </a:extLst>
        </xdr:cNvPr>
        <xdr:cNvCxnSpPr/>
      </xdr:nvCxnSpPr>
      <xdr:spPr>
        <a:xfrm>
          <a:off x="7598834"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1036</xdr:row>
      <xdr:rowOff>21167</xdr:rowOff>
    </xdr:from>
    <xdr:to>
      <xdr:col>13</xdr:col>
      <xdr:colOff>592667</xdr:colOff>
      <xdr:row>1038</xdr:row>
      <xdr:rowOff>0</xdr:rowOff>
    </xdr:to>
    <xdr:cxnSp macro="">
      <xdr:nvCxnSpPr>
        <xdr:cNvPr id="1101" name="Straight Arrow Connector 1100">
          <a:extLst>
            <a:ext uri="{FF2B5EF4-FFF2-40B4-BE49-F238E27FC236}">
              <a16:creationId xmlns:a16="http://schemas.microsoft.com/office/drawing/2014/main" id="{00000000-0008-0000-1200-00004D040000}"/>
            </a:ext>
          </a:extLst>
        </xdr:cNvPr>
        <xdr:cNvCxnSpPr/>
      </xdr:nvCxnSpPr>
      <xdr:spPr>
        <a:xfrm flipV="1">
          <a:off x="8794750" y="24976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1041</xdr:row>
      <xdr:rowOff>21166</xdr:rowOff>
    </xdr:from>
    <xdr:to>
      <xdr:col>13</xdr:col>
      <xdr:colOff>592667</xdr:colOff>
      <xdr:row>1042</xdr:row>
      <xdr:rowOff>169334</xdr:rowOff>
    </xdr:to>
    <xdr:cxnSp macro="">
      <xdr:nvCxnSpPr>
        <xdr:cNvPr id="1102" name="Straight Arrow Connector 1101">
          <a:extLst>
            <a:ext uri="{FF2B5EF4-FFF2-40B4-BE49-F238E27FC236}">
              <a16:creationId xmlns:a16="http://schemas.microsoft.com/office/drawing/2014/main" id="{00000000-0008-0000-1200-00004E040000}"/>
            </a:ext>
          </a:extLst>
        </xdr:cNvPr>
        <xdr:cNvCxnSpPr/>
      </xdr:nvCxnSpPr>
      <xdr:spPr>
        <a:xfrm>
          <a:off x="8784166" y="25929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1056</xdr:row>
      <xdr:rowOff>21167</xdr:rowOff>
    </xdr:from>
    <xdr:to>
      <xdr:col>13</xdr:col>
      <xdr:colOff>592667</xdr:colOff>
      <xdr:row>1058</xdr:row>
      <xdr:rowOff>63500</xdr:rowOff>
    </xdr:to>
    <xdr:cxnSp macro="">
      <xdr:nvCxnSpPr>
        <xdr:cNvPr id="1103" name="Straight Arrow Connector 1102">
          <a:extLst>
            <a:ext uri="{FF2B5EF4-FFF2-40B4-BE49-F238E27FC236}">
              <a16:creationId xmlns:a16="http://schemas.microsoft.com/office/drawing/2014/main" id="{00000000-0008-0000-1200-00004F040000}"/>
            </a:ext>
          </a:extLst>
        </xdr:cNvPr>
        <xdr:cNvCxnSpPr/>
      </xdr:nvCxnSpPr>
      <xdr:spPr>
        <a:xfrm flipV="1">
          <a:off x="879475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1061</xdr:row>
      <xdr:rowOff>0</xdr:rowOff>
    </xdr:from>
    <xdr:to>
      <xdr:col>14</xdr:col>
      <xdr:colOff>10584</xdr:colOff>
      <xdr:row>1069</xdr:row>
      <xdr:rowOff>148167</xdr:rowOff>
    </xdr:to>
    <xdr:cxnSp macro="">
      <xdr:nvCxnSpPr>
        <xdr:cNvPr id="1104" name="Straight Arrow Connector 1103">
          <a:extLst>
            <a:ext uri="{FF2B5EF4-FFF2-40B4-BE49-F238E27FC236}">
              <a16:creationId xmlns:a16="http://schemas.microsoft.com/office/drawing/2014/main" id="{00000000-0008-0000-1200-000050040000}"/>
            </a:ext>
          </a:extLst>
        </xdr:cNvPr>
        <xdr:cNvCxnSpPr/>
      </xdr:nvCxnSpPr>
      <xdr:spPr>
        <a:xfrm>
          <a:off x="8805333" y="29908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1028</xdr:row>
      <xdr:rowOff>0</xdr:rowOff>
    </xdr:from>
    <xdr:to>
      <xdr:col>15</xdr:col>
      <xdr:colOff>603250</xdr:colOff>
      <xdr:row>1033</xdr:row>
      <xdr:rowOff>31750</xdr:rowOff>
    </xdr:to>
    <xdr:cxnSp macro="">
      <xdr:nvCxnSpPr>
        <xdr:cNvPr id="1105" name="Straight Arrow Connector 1104">
          <a:extLst>
            <a:ext uri="{FF2B5EF4-FFF2-40B4-BE49-F238E27FC236}">
              <a16:creationId xmlns:a16="http://schemas.microsoft.com/office/drawing/2014/main" id="{00000000-0008-0000-1200-000051040000}"/>
            </a:ext>
          </a:extLst>
        </xdr:cNvPr>
        <xdr:cNvCxnSpPr/>
      </xdr:nvCxnSpPr>
      <xdr:spPr>
        <a:xfrm flipV="1">
          <a:off x="10541000"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1031</xdr:row>
      <xdr:rowOff>52917</xdr:rowOff>
    </xdr:from>
    <xdr:to>
      <xdr:col>15</xdr:col>
      <xdr:colOff>603250</xdr:colOff>
      <xdr:row>1033</xdr:row>
      <xdr:rowOff>95250</xdr:rowOff>
    </xdr:to>
    <xdr:cxnSp macro="">
      <xdr:nvCxnSpPr>
        <xdr:cNvPr id="1106" name="Straight Arrow Connector 1105">
          <a:extLst>
            <a:ext uri="{FF2B5EF4-FFF2-40B4-BE49-F238E27FC236}">
              <a16:creationId xmlns:a16="http://schemas.microsoft.com/office/drawing/2014/main" id="{00000000-0008-0000-1200-000052040000}"/>
            </a:ext>
          </a:extLst>
        </xdr:cNvPr>
        <xdr:cNvCxnSpPr/>
      </xdr:nvCxnSpPr>
      <xdr:spPr>
        <a:xfrm flipV="1">
          <a:off x="10583333"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1033</xdr:row>
      <xdr:rowOff>158750</xdr:rowOff>
    </xdr:from>
    <xdr:to>
      <xdr:col>15</xdr:col>
      <xdr:colOff>582083</xdr:colOff>
      <xdr:row>1034</xdr:row>
      <xdr:rowOff>137583</xdr:rowOff>
    </xdr:to>
    <xdr:cxnSp macro="">
      <xdr:nvCxnSpPr>
        <xdr:cNvPr id="1107" name="Straight Arrow Connector 1106">
          <a:extLst>
            <a:ext uri="{FF2B5EF4-FFF2-40B4-BE49-F238E27FC236}">
              <a16:creationId xmlns:a16="http://schemas.microsoft.com/office/drawing/2014/main" id="{00000000-0008-0000-1200-000053040000}"/>
            </a:ext>
          </a:extLst>
        </xdr:cNvPr>
        <xdr:cNvCxnSpPr/>
      </xdr:nvCxnSpPr>
      <xdr:spPr>
        <a:xfrm>
          <a:off x="10604500"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1033</xdr:row>
      <xdr:rowOff>105834</xdr:rowOff>
    </xdr:from>
    <xdr:to>
      <xdr:col>16</xdr:col>
      <xdr:colOff>0</xdr:colOff>
      <xdr:row>1037</xdr:row>
      <xdr:rowOff>84667</xdr:rowOff>
    </xdr:to>
    <xdr:cxnSp macro="">
      <xdr:nvCxnSpPr>
        <xdr:cNvPr id="1108" name="Straight Arrow Connector 1107">
          <a:extLst>
            <a:ext uri="{FF2B5EF4-FFF2-40B4-BE49-F238E27FC236}">
              <a16:creationId xmlns:a16="http://schemas.microsoft.com/office/drawing/2014/main" id="{00000000-0008-0000-1200-000054040000}"/>
            </a:ext>
          </a:extLst>
        </xdr:cNvPr>
        <xdr:cNvCxnSpPr/>
      </xdr:nvCxnSpPr>
      <xdr:spPr>
        <a:xfrm>
          <a:off x="10519834" y="24489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1041</xdr:row>
      <xdr:rowOff>52916</xdr:rowOff>
    </xdr:from>
    <xdr:to>
      <xdr:col>16</xdr:col>
      <xdr:colOff>0</xdr:colOff>
      <xdr:row>1043</xdr:row>
      <xdr:rowOff>0</xdr:rowOff>
    </xdr:to>
    <xdr:cxnSp macro="">
      <xdr:nvCxnSpPr>
        <xdr:cNvPr id="1109" name="Straight Arrow Connector 1108">
          <a:extLst>
            <a:ext uri="{FF2B5EF4-FFF2-40B4-BE49-F238E27FC236}">
              <a16:creationId xmlns:a16="http://schemas.microsoft.com/office/drawing/2014/main" id="{00000000-0008-0000-1200-000055040000}"/>
            </a:ext>
          </a:extLst>
        </xdr:cNvPr>
        <xdr:cNvCxnSpPr/>
      </xdr:nvCxnSpPr>
      <xdr:spPr>
        <a:xfrm flipV="1">
          <a:off x="10541000" y="25960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1043</xdr:row>
      <xdr:rowOff>21167</xdr:rowOff>
    </xdr:from>
    <xdr:to>
      <xdr:col>15</xdr:col>
      <xdr:colOff>582083</xdr:colOff>
      <xdr:row>1044</xdr:row>
      <xdr:rowOff>42333</xdr:rowOff>
    </xdr:to>
    <xdr:cxnSp macro="">
      <xdr:nvCxnSpPr>
        <xdr:cNvPr id="1110" name="Straight Arrow Connector 1109">
          <a:extLst>
            <a:ext uri="{FF2B5EF4-FFF2-40B4-BE49-F238E27FC236}">
              <a16:creationId xmlns:a16="http://schemas.microsoft.com/office/drawing/2014/main" id="{00000000-0008-0000-1200-000056040000}"/>
            </a:ext>
          </a:extLst>
        </xdr:cNvPr>
        <xdr:cNvCxnSpPr/>
      </xdr:nvCxnSpPr>
      <xdr:spPr>
        <a:xfrm>
          <a:off x="10551583"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1043</xdr:row>
      <xdr:rowOff>21167</xdr:rowOff>
    </xdr:from>
    <xdr:to>
      <xdr:col>16</xdr:col>
      <xdr:colOff>42333</xdr:colOff>
      <xdr:row>1048</xdr:row>
      <xdr:rowOff>21168</xdr:rowOff>
    </xdr:to>
    <xdr:cxnSp macro="">
      <xdr:nvCxnSpPr>
        <xdr:cNvPr id="1111" name="Straight Arrow Connector 1110">
          <a:extLst>
            <a:ext uri="{FF2B5EF4-FFF2-40B4-BE49-F238E27FC236}">
              <a16:creationId xmlns:a16="http://schemas.microsoft.com/office/drawing/2014/main" id="{00000000-0008-0000-1200-000057040000}"/>
            </a:ext>
          </a:extLst>
        </xdr:cNvPr>
        <xdr:cNvCxnSpPr/>
      </xdr:nvCxnSpPr>
      <xdr:spPr>
        <a:xfrm>
          <a:off x="10530417" y="26310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1112" name="Straight Arrow Connector 1111">
          <a:extLst>
            <a:ext uri="{FF2B5EF4-FFF2-40B4-BE49-F238E27FC236}">
              <a16:creationId xmlns:a16="http://schemas.microsoft.com/office/drawing/2014/main" id="{00000000-0008-0000-1200-000058040000}"/>
            </a:ext>
          </a:extLst>
        </xdr:cNvPr>
        <xdr:cNvCxnSpPr/>
      </xdr:nvCxnSpPr>
      <xdr:spPr>
        <a:xfrm>
          <a:off x="10541000" y="26320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1080</xdr:row>
      <xdr:rowOff>42333</xdr:rowOff>
    </xdr:from>
    <xdr:to>
      <xdr:col>9</xdr:col>
      <xdr:colOff>592666</xdr:colOff>
      <xdr:row>1088</xdr:row>
      <xdr:rowOff>42333</xdr:rowOff>
    </xdr:to>
    <xdr:cxnSp macro="">
      <xdr:nvCxnSpPr>
        <xdr:cNvPr id="1113" name="Straight Arrow Connector 1112">
          <a:extLst>
            <a:ext uri="{FF2B5EF4-FFF2-40B4-BE49-F238E27FC236}">
              <a16:creationId xmlns:a16="http://schemas.microsoft.com/office/drawing/2014/main" id="{00000000-0008-0000-1200-000059040000}"/>
            </a:ext>
          </a:extLst>
        </xdr:cNvPr>
        <xdr:cNvCxnSpPr/>
      </xdr:nvCxnSpPr>
      <xdr:spPr>
        <a:xfrm flipV="1">
          <a:off x="6392333"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1090</xdr:row>
      <xdr:rowOff>169334</xdr:rowOff>
    </xdr:from>
    <xdr:to>
      <xdr:col>9</xdr:col>
      <xdr:colOff>603250</xdr:colOff>
      <xdr:row>1099</xdr:row>
      <xdr:rowOff>31750</xdr:rowOff>
    </xdr:to>
    <xdr:cxnSp macro="">
      <xdr:nvCxnSpPr>
        <xdr:cNvPr id="1114" name="Straight Arrow Connector 1113">
          <a:extLst>
            <a:ext uri="{FF2B5EF4-FFF2-40B4-BE49-F238E27FC236}">
              <a16:creationId xmlns:a16="http://schemas.microsoft.com/office/drawing/2014/main" id="{00000000-0008-0000-1200-00005A040000}"/>
            </a:ext>
          </a:extLst>
        </xdr:cNvPr>
        <xdr:cNvCxnSpPr/>
      </xdr:nvCxnSpPr>
      <xdr:spPr>
        <a:xfrm>
          <a:off x="6413500"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1096</xdr:row>
      <xdr:rowOff>158750</xdr:rowOff>
    </xdr:from>
    <xdr:to>
      <xdr:col>11</xdr:col>
      <xdr:colOff>571500</xdr:colOff>
      <xdr:row>1099</xdr:row>
      <xdr:rowOff>0</xdr:rowOff>
    </xdr:to>
    <xdr:cxnSp macro="">
      <xdr:nvCxnSpPr>
        <xdr:cNvPr id="1115" name="Straight Arrow Connector 1114">
          <a:extLst>
            <a:ext uri="{FF2B5EF4-FFF2-40B4-BE49-F238E27FC236}">
              <a16:creationId xmlns:a16="http://schemas.microsoft.com/office/drawing/2014/main" id="{00000000-0008-0000-1200-00005B040000}"/>
            </a:ext>
          </a:extLst>
        </xdr:cNvPr>
        <xdr:cNvCxnSpPr/>
      </xdr:nvCxnSpPr>
      <xdr:spPr>
        <a:xfrm flipV="1">
          <a:off x="7556500" y="36734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1054</xdr:row>
      <xdr:rowOff>0</xdr:rowOff>
    </xdr:from>
    <xdr:to>
      <xdr:col>15</xdr:col>
      <xdr:colOff>603250</xdr:colOff>
      <xdr:row>1056</xdr:row>
      <xdr:rowOff>1</xdr:rowOff>
    </xdr:to>
    <xdr:cxnSp macro="">
      <xdr:nvCxnSpPr>
        <xdr:cNvPr id="1116" name="Straight Arrow Connector 1115">
          <a:extLst>
            <a:ext uri="{FF2B5EF4-FFF2-40B4-BE49-F238E27FC236}">
              <a16:creationId xmlns:a16="http://schemas.microsoft.com/office/drawing/2014/main" id="{00000000-0008-0000-1200-00005C040000}"/>
            </a:ext>
          </a:extLst>
        </xdr:cNvPr>
        <xdr:cNvCxnSpPr/>
      </xdr:nvCxnSpPr>
      <xdr:spPr>
        <a:xfrm flipV="1">
          <a:off x="10530417"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1056</xdr:row>
      <xdr:rowOff>10584</xdr:rowOff>
    </xdr:from>
    <xdr:to>
      <xdr:col>15</xdr:col>
      <xdr:colOff>592666</xdr:colOff>
      <xdr:row>1057</xdr:row>
      <xdr:rowOff>95250</xdr:rowOff>
    </xdr:to>
    <xdr:cxnSp macro="">
      <xdr:nvCxnSpPr>
        <xdr:cNvPr id="1117" name="Straight Arrow Connector 1116">
          <a:extLst>
            <a:ext uri="{FF2B5EF4-FFF2-40B4-BE49-F238E27FC236}">
              <a16:creationId xmlns:a16="http://schemas.microsoft.com/office/drawing/2014/main" id="{00000000-0008-0000-1200-00005D040000}"/>
            </a:ext>
          </a:extLst>
        </xdr:cNvPr>
        <xdr:cNvCxnSpPr/>
      </xdr:nvCxnSpPr>
      <xdr:spPr>
        <a:xfrm>
          <a:off x="10572750"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1056</xdr:row>
      <xdr:rowOff>10584</xdr:rowOff>
    </xdr:from>
    <xdr:to>
      <xdr:col>15</xdr:col>
      <xdr:colOff>560916</xdr:colOff>
      <xdr:row>1060</xdr:row>
      <xdr:rowOff>52917</xdr:rowOff>
    </xdr:to>
    <xdr:cxnSp macro="">
      <xdr:nvCxnSpPr>
        <xdr:cNvPr id="1118" name="Straight Arrow Connector 1117">
          <a:extLst>
            <a:ext uri="{FF2B5EF4-FFF2-40B4-BE49-F238E27FC236}">
              <a16:creationId xmlns:a16="http://schemas.microsoft.com/office/drawing/2014/main" id="{00000000-0008-0000-1200-00005E040000}"/>
            </a:ext>
          </a:extLst>
        </xdr:cNvPr>
        <xdr:cNvCxnSpPr/>
      </xdr:nvCxnSpPr>
      <xdr:spPr>
        <a:xfrm>
          <a:off x="10551583"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1119" name="Straight Arrow Connector 1118">
          <a:extLst>
            <a:ext uri="{FF2B5EF4-FFF2-40B4-BE49-F238E27FC236}">
              <a16:creationId xmlns:a16="http://schemas.microsoft.com/office/drawing/2014/main" id="{00000000-0008-0000-1200-00005F040000}"/>
            </a:ext>
          </a:extLst>
        </xdr:cNvPr>
        <xdr:cNvCxnSpPr/>
      </xdr:nvCxnSpPr>
      <xdr:spPr>
        <a:xfrm>
          <a:off x="10583333" y="28987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1070</xdr:row>
      <xdr:rowOff>0</xdr:rowOff>
    </xdr:from>
    <xdr:to>
      <xdr:col>16</xdr:col>
      <xdr:colOff>0</xdr:colOff>
      <xdr:row>1070</xdr:row>
      <xdr:rowOff>42334</xdr:rowOff>
    </xdr:to>
    <xdr:cxnSp macro="">
      <xdr:nvCxnSpPr>
        <xdr:cNvPr id="1120" name="Straight Arrow Connector 1119">
          <a:extLst>
            <a:ext uri="{FF2B5EF4-FFF2-40B4-BE49-F238E27FC236}">
              <a16:creationId xmlns:a16="http://schemas.microsoft.com/office/drawing/2014/main" id="{00000000-0008-0000-1200-000060040000}"/>
            </a:ext>
          </a:extLst>
        </xdr:cNvPr>
        <xdr:cNvCxnSpPr/>
      </xdr:nvCxnSpPr>
      <xdr:spPr>
        <a:xfrm>
          <a:off x="10562166" y="31623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1070</xdr:row>
      <xdr:rowOff>21166</xdr:rowOff>
    </xdr:from>
    <xdr:to>
      <xdr:col>15</xdr:col>
      <xdr:colOff>560916</xdr:colOff>
      <xdr:row>1073</xdr:row>
      <xdr:rowOff>84667</xdr:rowOff>
    </xdr:to>
    <xdr:cxnSp macro="">
      <xdr:nvCxnSpPr>
        <xdr:cNvPr id="1121" name="Straight Arrow Connector 1120">
          <a:extLst>
            <a:ext uri="{FF2B5EF4-FFF2-40B4-BE49-F238E27FC236}">
              <a16:creationId xmlns:a16="http://schemas.microsoft.com/office/drawing/2014/main" id="{00000000-0008-0000-1200-000061040000}"/>
            </a:ext>
          </a:extLst>
        </xdr:cNvPr>
        <xdr:cNvCxnSpPr/>
      </xdr:nvCxnSpPr>
      <xdr:spPr>
        <a:xfrm>
          <a:off x="10615083"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1070</xdr:row>
      <xdr:rowOff>52916</xdr:rowOff>
    </xdr:from>
    <xdr:to>
      <xdr:col>15</xdr:col>
      <xdr:colOff>592666</xdr:colOff>
      <xdr:row>1076</xdr:row>
      <xdr:rowOff>63501</xdr:rowOff>
    </xdr:to>
    <xdr:cxnSp macro="">
      <xdr:nvCxnSpPr>
        <xdr:cNvPr id="1122" name="Straight Arrow Connector 1121">
          <a:extLst>
            <a:ext uri="{FF2B5EF4-FFF2-40B4-BE49-F238E27FC236}">
              <a16:creationId xmlns:a16="http://schemas.microsoft.com/office/drawing/2014/main" id="{00000000-0008-0000-1200-000062040000}"/>
            </a:ext>
          </a:extLst>
        </xdr:cNvPr>
        <xdr:cNvCxnSpPr/>
      </xdr:nvCxnSpPr>
      <xdr:spPr>
        <a:xfrm>
          <a:off x="10572750"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1084</xdr:row>
      <xdr:rowOff>116416</xdr:rowOff>
    </xdr:from>
    <xdr:to>
      <xdr:col>15</xdr:col>
      <xdr:colOff>592666</xdr:colOff>
      <xdr:row>1087</xdr:row>
      <xdr:rowOff>158750</xdr:rowOff>
    </xdr:to>
    <xdr:cxnSp macro="">
      <xdr:nvCxnSpPr>
        <xdr:cNvPr id="1123" name="Straight Arrow Connector 1122">
          <a:extLst>
            <a:ext uri="{FF2B5EF4-FFF2-40B4-BE49-F238E27FC236}">
              <a16:creationId xmlns:a16="http://schemas.microsoft.com/office/drawing/2014/main" id="{00000000-0008-0000-1200-000063040000}"/>
            </a:ext>
          </a:extLst>
        </xdr:cNvPr>
        <xdr:cNvCxnSpPr/>
      </xdr:nvCxnSpPr>
      <xdr:spPr>
        <a:xfrm flipV="1">
          <a:off x="10562166"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1086</xdr:row>
      <xdr:rowOff>95250</xdr:rowOff>
    </xdr:from>
    <xdr:to>
      <xdr:col>15</xdr:col>
      <xdr:colOff>582083</xdr:colOff>
      <xdr:row>1088</xdr:row>
      <xdr:rowOff>52917</xdr:rowOff>
    </xdr:to>
    <xdr:cxnSp macro="">
      <xdr:nvCxnSpPr>
        <xdr:cNvPr id="1124" name="Straight Arrow Connector 1123">
          <a:extLst>
            <a:ext uri="{FF2B5EF4-FFF2-40B4-BE49-F238E27FC236}">
              <a16:creationId xmlns:a16="http://schemas.microsoft.com/office/drawing/2014/main" id="{00000000-0008-0000-1200-000064040000}"/>
            </a:ext>
          </a:extLst>
        </xdr:cNvPr>
        <xdr:cNvCxnSpPr/>
      </xdr:nvCxnSpPr>
      <xdr:spPr>
        <a:xfrm flipV="1">
          <a:off x="10604500"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116417</xdr:rowOff>
    </xdr:from>
    <xdr:to>
      <xdr:col>15</xdr:col>
      <xdr:colOff>592666</xdr:colOff>
      <xdr:row>1092</xdr:row>
      <xdr:rowOff>95250</xdr:rowOff>
    </xdr:to>
    <xdr:cxnSp macro="">
      <xdr:nvCxnSpPr>
        <xdr:cNvPr id="1125" name="Straight Arrow Connector 1124">
          <a:extLst>
            <a:ext uri="{FF2B5EF4-FFF2-40B4-BE49-F238E27FC236}">
              <a16:creationId xmlns:a16="http://schemas.microsoft.com/office/drawing/2014/main" id="{00000000-0008-0000-1200-000065040000}"/>
            </a:ext>
          </a:extLst>
        </xdr:cNvPr>
        <xdr:cNvCxnSpPr/>
      </xdr:nvCxnSpPr>
      <xdr:spPr>
        <a:xfrm>
          <a:off x="10593916"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1099</xdr:row>
      <xdr:rowOff>116416</xdr:rowOff>
    </xdr:from>
    <xdr:to>
      <xdr:col>16</xdr:col>
      <xdr:colOff>0</xdr:colOff>
      <xdr:row>1106</xdr:row>
      <xdr:rowOff>74084</xdr:rowOff>
    </xdr:to>
    <xdr:cxnSp macro="">
      <xdr:nvCxnSpPr>
        <xdr:cNvPr id="1126" name="Straight Arrow Connector 1125">
          <a:extLst>
            <a:ext uri="{FF2B5EF4-FFF2-40B4-BE49-F238E27FC236}">
              <a16:creationId xmlns:a16="http://schemas.microsoft.com/office/drawing/2014/main" id="{00000000-0008-0000-1200-000066040000}"/>
            </a:ext>
          </a:extLst>
        </xdr:cNvPr>
        <xdr:cNvCxnSpPr/>
      </xdr:nvCxnSpPr>
      <xdr:spPr>
        <a:xfrm>
          <a:off x="10572750" y="37263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1067</xdr:row>
      <xdr:rowOff>52917</xdr:rowOff>
    </xdr:from>
    <xdr:to>
      <xdr:col>15</xdr:col>
      <xdr:colOff>603250</xdr:colOff>
      <xdr:row>1069</xdr:row>
      <xdr:rowOff>148167</xdr:rowOff>
    </xdr:to>
    <xdr:cxnSp macro="">
      <xdr:nvCxnSpPr>
        <xdr:cNvPr id="1127" name="Straight Arrow Connector 1126">
          <a:extLst>
            <a:ext uri="{FF2B5EF4-FFF2-40B4-BE49-F238E27FC236}">
              <a16:creationId xmlns:a16="http://schemas.microsoft.com/office/drawing/2014/main" id="{00000000-0008-0000-1200-000067040000}"/>
            </a:ext>
          </a:extLst>
        </xdr:cNvPr>
        <xdr:cNvCxnSpPr/>
      </xdr:nvCxnSpPr>
      <xdr:spPr>
        <a:xfrm flipV="1">
          <a:off x="10583333"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1102</xdr:row>
      <xdr:rowOff>42333</xdr:rowOff>
    </xdr:from>
    <xdr:to>
      <xdr:col>11</xdr:col>
      <xdr:colOff>603250</xdr:colOff>
      <xdr:row>1114</xdr:row>
      <xdr:rowOff>10583</xdr:rowOff>
    </xdr:to>
    <xdr:cxnSp macro="">
      <xdr:nvCxnSpPr>
        <xdr:cNvPr id="1128" name="Straight Arrow Connector 1127">
          <a:extLst>
            <a:ext uri="{FF2B5EF4-FFF2-40B4-BE49-F238E27FC236}">
              <a16:creationId xmlns:a16="http://schemas.microsoft.com/office/drawing/2014/main" id="{00000000-0008-0000-1200-000068040000}"/>
            </a:ext>
          </a:extLst>
        </xdr:cNvPr>
        <xdr:cNvCxnSpPr/>
      </xdr:nvCxnSpPr>
      <xdr:spPr>
        <a:xfrm>
          <a:off x="7598834"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1092</xdr:row>
      <xdr:rowOff>21167</xdr:rowOff>
    </xdr:from>
    <xdr:to>
      <xdr:col>13</xdr:col>
      <xdr:colOff>592667</xdr:colOff>
      <xdr:row>1094</xdr:row>
      <xdr:rowOff>0</xdr:rowOff>
    </xdr:to>
    <xdr:cxnSp macro="">
      <xdr:nvCxnSpPr>
        <xdr:cNvPr id="1129" name="Straight Arrow Connector 1128">
          <a:extLst>
            <a:ext uri="{FF2B5EF4-FFF2-40B4-BE49-F238E27FC236}">
              <a16:creationId xmlns:a16="http://schemas.microsoft.com/office/drawing/2014/main" id="{00000000-0008-0000-1200-000069040000}"/>
            </a:ext>
          </a:extLst>
        </xdr:cNvPr>
        <xdr:cNvCxnSpPr/>
      </xdr:nvCxnSpPr>
      <xdr:spPr>
        <a:xfrm flipV="1">
          <a:off x="8794750" y="35835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1097</xdr:row>
      <xdr:rowOff>21166</xdr:rowOff>
    </xdr:from>
    <xdr:to>
      <xdr:col>13</xdr:col>
      <xdr:colOff>592667</xdr:colOff>
      <xdr:row>1098</xdr:row>
      <xdr:rowOff>169334</xdr:rowOff>
    </xdr:to>
    <xdr:cxnSp macro="">
      <xdr:nvCxnSpPr>
        <xdr:cNvPr id="1130" name="Straight Arrow Connector 1129">
          <a:extLst>
            <a:ext uri="{FF2B5EF4-FFF2-40B4-BE49-F238E27FC236}">
              <a16:creationId xmlns:a16="http://schemas.microsoft.com/office/drawing/2014/main" id="{00000000-0008-0000-1200-00006A040000}"/>
            </a:ext>
          </a:extLst>
        </xdr:cNvPr>
        <xdr:cNvCxnSpPr/>
      </xdr:nvCxnSpPr>
      <xdr:spPr>
        <a:xfrm>
          <a:off x="8784166" y="36787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1112</xdr:row>
      <xdr:rowOff>21167</xdr:rowOff>
    </xdr:from>
    <xdr:to>
      <xdr:col>13</xdr:col>
      <xdr:colOff>592667</xdr:colOff>
      <xdr:row>1114</xdr:row>
      <xdr:rowOff>63500</xdr:rowOff>
    </xdr:to>
    <xdr:cxnSp macro="">
      <xdr:nvCxnSpPr>
        <xdr:cNvPr id="1131" name="Straight Arrow Connector 1130">
          <a:extLst>
            <a:ext uri="{FF2B5EF4-FFF2-40B4-BE49-F238E27FC236}">
              <a16:creationId xmlns:a16="http://schemas.microsoft.com/office/drawing/2014/main" id="{00000000-0008-0000-1200-00006B040000}"/>
            </a:ext>
          </a:extLst>
        </xdr:cNvPr>
        <xdr:cNvCxnSpPr/>
      </xdr:nvCxnSpPr>
      <xdr:spPr>
        <a:xfrm flipV="1">
          <a:off x="879475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1117</xdr:row>
      <xdr:rowOff>0</xdr:rowOff>
    </xdr:from>
    <xdr:to>
      <xdr:col>14</xdr:col>
      <xdr:colOff>10584</xdr:colOff>
      <xdr:row>1125</xdr:row>
      <xdr:rowOff>148167</xdr:rowOff>
    </xdr:to>
    <xdr:cxnSp macro="">
      <xdr:nvCxnSpPr>
        <xdr:cNvPr id="1132" name="Straight Arrow Connector 1131">
          <a:extLst>
            <a:ext uri="{FF2B5EF4-FFF2-40B4-BE49-F238E27FC236}">
              <a16:creationId xmlns:a16="http://schemas.microsoft.com/office/drawing/2014/main" id="{00000000-0008-0000-1200-00006C040000}"/>
            </a:ext>
          </a:extLst>
        </xdr:cNvPr>
        <xdr:cNvCxnSpPr/>
      </xdr:nvCxnSpPr>
      <xdr:spPr>
        <a:xfrm>
          <a:off x="8805333" y="40767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95250</xdr:rowOff>
    </xdr:from>
    <xdr:to>
      <xdr:col>15</xdr:col>
      <xdr:colOff>582083</xdr:colOff>
      <xdr:row>1090</xdr:row>
      <xdr:rowOff>137583</xdr:rowOff>
    </xdr:to>
    <xdr:cxnSp macro="">
      <xdr:nvCxnSpPr>
        <xdr:cNvPr id="1133" name="Straight Arrow Connector 1132">
          <a:extLst>
            <a:ext uri="{FF2B5EF4-FFF2-40B4-BE49-F238E27FC236}">
              <a16:creationId xmlns:a16="http://schemas.microsoft.com/office/drawing/2014/main" id="{00000000-0008-0000-1200-00006D040000}"/>
            </a:ext>
          </a:extLst>
        </xdr:cNvPr>
        <xdr:cNvCxnSpPr/>
      </xdr:nvCxnSpPr>
      <xdr:spPr>
        <a:xfrm>
          <a:off x="10593916"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1097</xdr:row>
      <xdr:rowOff>52916</xdr:rowOff>
    </xdr:from>
    <xdr:to>
      <xdr:col>16</xdr:col>
      <xdr:colOff>0</xdr:colOff>
      <xdr:row>1099</xdr:row>
      <xdr:rowOff>0</xdr:rowOff>
    </xdr:to>
    <xdr:cxnSp macro="">
      <xdr:nvCxnSpPr>
        <xdr:cNvPr id="1134" name="Straight Arrow Connector 1133">
          <a:extLst>
            <a:ext uri="{FF2B5EF4-FFF2-40B4-BE49-F238E27FC236}">
              <a16:creationId xmlns:a16="http://schemas.microsoft.com/office/drawing/2014/main" id="{00000000-0008-0000-1200-00006E040000}"/>
            </a:ext>
          </a:extLst>
        </xdr:cNvPr>
        <xdr:cNvCxnSpPr/>
      </xdr:nvCxnSpPr>
      <xdr:spPr>
        <a:xfrm flipV="1">
          <a:off x="10541000" y="36819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21167</xdr:rowOff>
    </xdr:from>
    <xdr:to>
      <xdr:col>15</xdr:col>
      <xdr:colOff>592666</xdr:colOff>
      <xdr:row>1100</xdr:row>
      <xdr:rowOff>84667</xdr:rowOff>
    </xdr:to>
    <xdr:cxnSp macro="">
      <xdr:nvCxnSpPr>
        <xdr:cNvPr id="1135" name="Straight Arrow Connector 1134">
          <a:extLst>
            <a:ext uri="{FF2B5EF4-FFF2-40B4-BE49-F238E27FC236}">
              <a16:creationId xmlns:a16="http://schemas.microsoft.com/office/drawing/2014/main" id="{00000000-0008-0000-1200-00006F040000}"/>
            </a:ext>
          </a:extLst>
        </xdr:cNvPr>
        <xdr:cNvCxnSpPr/>
      </xdr:nvCxnSpPr>
      <xdr:spPr>
        <a:xfrm>
          <a:off x="10530417"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0</xdr:rowOff>
    </xdr:from>
    <xdr:to>
      <xdr:col>16</xdr:col>
      <xdr:colOff>0</xdr:colOff>
      <xdr:row>1103</xdr:row>
      <xdr:rowOff>42334</xdr:rowOff>
    </xdr:to>
    <xdr:cxnSp macro="">
      <xdr:nvCxnSpPr>
        <xdr:cNvPr id="1136" name="Straight Arrow Connector 1135">
          <a:extLst>
            <a:ext uri="{FF2B5EF4-FFF2-40B4-BE49-F238E27FC236}">
              <a16:creationId xmlns:a16="http://schemas.microsoft.com/office/drawing/2014/main" id="{00000000-0008-0000-1200-000070040000}"/>
            </a:ext>
          </a:extLst>
        </xdr:cNvPr>
        <xdr:cNvCxnSpPr/>
      </xdr:nvCxnSpPr>
      <xdr:spPr>
        <a:xfrm>
          <a:off x="10530417" y="37147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1110</xdr:row>
      <xdr:rowOff>0</xdr:rowOff>
    </xdr:from>
    <xdr:to>
      <xdr:col>15</xdr:col>
      <xdr:colOff>603250</xdr:colOff>
      <xdr:row>1112</xdr:row>
      <xdr:rowOff>1</xdr:rowOff>
    </xdr:to>
    <xdr:cxnSp macro="">
      <xdr:nvCxnSpPr>
        <xdr:cNvPr id="1137" name="Straight Arrow Connector 1136">
          <a:extLst>
            <a:ext uri="{FF2B5EF4-FFF2-40B4-BE49-F238E27FC236}">
              <a16:creationId xmlns:a16="http://schemas.microsoft.com/office/drawing/2014/main" id="{00000000-0008-0000-1200-000071040000}"/>
            </a:ext>
          </a:extLst>
        </xdr:cNvPr>
        <xdr:cNvCxnSpPr/>
      </xdr:nvCxnSpPr>
      <xdr:spPr>
        <a:xfrm flipV="1">
          <a:off x="10530417"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1112</xdr:row>
      <xdr:rowOff>10584</xdr:rowOff>
    </xdr:from>
    <xdr:to>
      <xdr:col>15</xdr:col>
      <xdr:colOff>592666</xdr:colOff>
      <xdr:row>1113</xdr:row>
      <xdr:rowOff>95250</xdr:rowOff>
    </xdr:to>
    <xdr:cxnSp macro="">
      <xdr:nvCxnSpPr>
        <xdr:cNvPr id="1138" name="Straight Arrow Connector 1137">
          <a:extLst>
            <a:ext uri="{FF2B5EF4-FFF2-40B4-BE49-F238E27FC236}">
              <a16:creationId xmlns:a16="http://schemas.microsoft.com/office/drawing/2014/main" id="{00000000-0008-0000-1200-000072040000}"/>
            </a:ext>
          </a:extLst>
        </xdr:cNvPr>
        <xdr:cNvCxnSpPr/>
      </xdr:nvCxnSpPr>
      <xdr:spPr>
        <a:xfrm>
          <a:off x="10572750"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1112</xdr:row>
      <xdr:rowOff>10584</xdr:rowOff>
    </xdr:from>
    <xdr:to>
      <xdr:col>15</xdr:col>
      <xdr:colOff>560916</xdr:colOff>
      <xdr:row>1116</xdr:row>
      <xdr:rowOff>52917</xdr:rowOff>
    </xdr:to>
    <xdr:cxnSp macro="">
      <xdr:nvCxnSpPr>
        <xdr:cNvPr id="1139" name="Straight Arrow Connector 1138">
          <a:extLst>
            <a:ext uri="{FF2B5EF4-FFF2-40B4-BE49-F238E27FC236}">
              <a16:creationId xmlns:a16="http://schemas.microsoft.com/office/drawing/2014/main" id="{00000000-0008-0000-1200-000073040000}"/>
            </a:ext>
          </a:extLst>
        </xdr:cNvPr>
        <xdr:cNvCxnSpPr/>
      </xdr:nvCxnSpPr>
      <xdr:spPr>
        <a:xfrm>
          <a:off x="10551583"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1140" name="Straight Arrow Connector 1139">
          <a:extLst>
            <a:ext uri="{FF2B5EF4-FFF2-40B4-BE49-F238E27FC236}">
              <a16:creationId xmlns:a16="http://schemas.microsoft.com/office/drawing/2014/main" id="{00000000-0008-0000-1200-000074040000}"/>
            </a:ext>
          </a:extLst>
        </xdr:cNvPr>
        <xdr:cNvCxnSpPr/>
      </xdr:nvCxnSpPr>
      <xdr:spPr>
        <a:xfrm>
          <a:off x="10583333" y="39846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1126</xdr:row>
      <xdr:rowOff>0</xdr:rowOff>
    </xdr:from>
    <xdr:to>
      <xdr:col>16</xdr:col>
      <xdr:colOff>0</xdr:colOff>
      <xdr:row>1126</xdr:row>
      <xdr:rowOff>42334</xdr:rowOff>
    </xdr:to>
    <xdr:cxnSp macro="">
      <xdr:nvCxnSpPr>
        <xdr:cNvPr id="1141" name="Straight Arrow Connector 1140">
          <a:extLst>
            <a:ext uri="{FF2B5EF4-FFF2-40B4-BE49-F238E27FC236}">
              <a16:creationId xmlns:a16="http://schemas.microsoft.com/office/drawing/2014/main" id="{00000000-0008-0000-1200-000075040000}"/>
            </a:ext>
          </a:extLst>
        </xdr:cNvPr>
        <xdr:cNvCxnSpPr/>
      </xdr:nvCxnSpPr>
      <xdr:spPr>
        <a:xfrm>
          <a:off x="10562166" y="42481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1126</xdr:row>
      <xdr:rowOff>21166</xdr:rowOff>
    </xdr:from>
    <xdr:to>
      <xdr:col>15</xdr:col>
      <xdr:colOff>560916</xdr:colOff>
      <xdr:row>1129</xdr:row>
      <xdr:rowOff>84667</xdr:rowOff>
    </xdr:to>
    <xdr:cxnSp macro="">
      <xdr:nvCxnSpPr>
        <xdr:cNvPr id="1142" name="Straight Arrow Connector 1141">
          <a:extLst>
            <a:ext uri="{FF2B5EF4-FFF2-40B4-BE49-F238E27FC236}">
              <a16:creationId xmlns:a16="http://schemas.microsoft.com/office/drawing/2014/main" id="{00000000-0008-0000-1200-000076040000}"/>
            </a:ext>
          </a:extLst>
        </xdr:cNvPr>
        <xdr:cNvCxnSpPr/>
      </xdr:nvCxnSpPr>
      <xdr:spPr>
        <a:xfrm>
          <a:off x="10615083"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1126</xdr:row>
      <xdr:rowOff>52916</xdr:rowOff>
    </xdr:from>
    <xdr:to>
      <xdr:col>15</xdr:col>
      <xdr:colOff>592666</xdr:colOff>
      <xdr:row>1132</xdr:row>
      <xdr:rowOff>63501</xdr:rowOff>
    </xdr:to>
    <xdr:cxnSp macro="">
      <xdr:nvCxnSpPr>
        <xdr:cNvPr id="1143" name="Straight Arrow Connector 1142">
          <a:extLst>
            <a:ext uri="{FF2B5EF4-FFF2-40B4-BE49-F238E27FC236}">
              <a16:creationId xmlns:a16="http://schemas.microsoft.com/office/drawing/2014/main" id="{00000000-0008-0000-1200-000077040000}"/>
            </a:ext>
          </a:extLst>
        </xdr:cNvPr>
        <xdr:cNvCxnSpPr/>
      </xdr:nvCxnSpPr>
      <xdr:spPr>
        <a:xfrm>
          <a:off x="10572750"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1123</xdr:row>
      <xdr:rowOff>52917</xdr:rowOff>
    </xdr:from>
    <xdr:to>
      <xdr:col>15</xdr:col>
      <xdr:colOff>603250</xdr:colOff>
      <xdr:row>1125</xdr:row>
      <xdr:rowOff>148167</xdr:rowOff>
    </xdr:to>
    <xdr:cxnSp macro="">
      <xdr:nvCxnSpPr>
        <xdr:cNvPr id="1144" name="Straight Arrow Connector 1143">
          <a:extLst>
            <a:ext uri="{FF2B5EF4-FFF2-40B4-BE49-F238E27FC236}">
              <a16:creationId xmlns:a16="http://schemas.microsoft.com/office/drawing/2014/main" id="{00000000-0008-0000-1200-000078040000}"/>
            </a:ext>
          </a:extLst>
        </xdr:cNvPr>
        <xdr:cNvCxnSpPr/>
      </xdr:nvCxnSpPr>
      <xdr:spPr>
        <a:xfrm flipV="1">
          <a:off x="10583333"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1034</xdr:row>
      <xdr:rowOff>127000</xdr:rowOff>
    </xdr:from>
    <xdr:to>
      <xdr:col>8</xdr:col>
      <xdr:colOff>63500</xdr:colOff>
      <xdr:row>1053</xdr:row>
      <xdr:rowOff>0</xdr:rowOff>
    </xdr:to>
    <xdr:cxnSp macro="">
      <xdr:nvCxnSpPr>
        <xdr:cNvPr id="1145" name="Straight Arrow Connector 1144">
          <a:extLst>
            <a:ext uri="{FF2B5EF4-FFF2-40B4-BE49-F238E27FC236}">
              <a16:creationId xmlns:a16="http://schemas.microsoft.com/office/drawing/2014/main" id="{00000000-0008-0000-1200-000079040000}"/>
            </a:ext>
          </a:extLst>
        </xdr:cNvPr>
        <xdr:cNvCxnSpPr/>
      </xdr:nvCxnSpPr>
      <xdr:spPr>
        <a:xfrm flipV="1">
          <a:off x="5207000" y="24701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1171</xdr:row>
      <xdr:rowOff>1</xdr:rowOff>
    </xdr:from>
    <xdr:to>
      <xdr:col>6</xdr:col>
      <xdr:colOff>0</xdr:colOff>
      <xdr:row>1205</xdr:row>
      <xdr:rowOff>116417</xdr:rowOff>
    </xdr:to>
    <xdr:cxnSp macro="">
      <xdr:nvCxnSpPr>
        <xdr:cNvPr id="1146" name="Straight Arrow Connector 1145">
          <a:extLst>
            <a:ext uri="{FF2B5EF4-FFF2-40B4-BE49-F238E27FC236}">
              <a16:creationId xmlns:a16="http://schemas.microsoft.com/office/drawing/2014/main" id="{00000000-0008-0000-1200-00007A040000}"/>
            </a:ext>
          </a:extLst>
        </xdr:cNvPr>
        <xdr:cNvCxnSpPr/>
      </xdr:nvCxnSpPr>
      <xdr:spPr>
        <a:xfrm flipV="1">
          <a:off x="3714750" y="51244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1208</xdr:row>
      <xdr:rowOff>169334</xdr:rowOff>
    </xdr:from>
    <xdr:to>
      <xdr:col>5</xdr:col>
      <xdr:colOff>571500</xdr:colOff>
      <xdr:row>1277</xdr:row>
      <xdr:rowOff>0</xdr:rowOff>
    </xdr:to>
    <xdr:cxnSp macro="">
      <xdr:nvCxnSpPr>
        <xdr:cNvPr id="1147" name="Straight Arrow Connector 1146">
          <a:extLst>
            <a:ext uri="{FF2B5EF4-FFF2-40B4-BE49-F238E27FC236}">
              <a16:creationId xmlns:a16="http://schemas.microsoft.com/office/drawing/2014/main" id="{00000000-0008-0000-1200-00007B040000}"/>
            </a:ext>
          </a:extLst>
        </xdr:cNvPr>
        <xdr:cNvCxnSpPr/>
      </xdr:nvCxnSpPr>
      <xdr:spPr>
        <a:xfrm>
          <a:off x="379941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1146</xdr:row>
      <xdr:rowOff>148167</xdr:rowOff>
    </xdr:from>
    <xdr:to>
      <xdr:col>7</xdr:col>
      <xdr:colOff>603250</xdr:colOff>
      <xdr:row>1168</xdr:row>
      <xdr:rowOff>31750</xdr:rowOff>
    </xdr:to>
    <xdr:cxnSp macro="">
      <xdr:nvCxnSpPr>
        <xdr:cNvPr id="1148" name="Straight Arrow Connector 1147">
          <a:extLst>
            <a:ext uri="{FF2B5EF4-FFF2-40B4-BE49-F238E27FC236}">
              <a16:creationId xmlns:a16="http://schemas.microsoft.com/office/drawing/2014/main" id="{00000000-0008-0000-1200-00007C040000}"/>
            </a:ext>
          </a:extLst>
        </xdr:cNvPr>
        <xdr:cNvCxnSpPr/>
      </xdr:nvCxnSpPr>
      <xdr:spPr>
        <a:xfrm flipV="1">
          <a:off x="517525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1171</xdr:row>
      <xdr:rowOff>10584</xdr:rowOff>
    </xdr:from>
    <xdr:to>
      <xdr:col>8</xdr:col>
      <xdr:colOff>21167</xdr:colOff>
      <xdr:row>1199</xdr:row>
      <xdr:rowOff>148166</xdr:rowOff>
    </xdr:to>
    <xdr:cxnSp macro="">
      <xdr:nvCxnSpPr>
        <xdr:cNvPr id="1149" name="Straight Arrow Connector 1148">
          <a:extLst>
            <a:ext uri="{FF2B5EF4-FFF2-40B4-BE49-F238E27FC236}">
              <a16:creationId xmlns:a16="http://schemas.microsoft.com/office/drawing/2014/main" id="{00000000-0008-0000-1200-00007D040000}"/>
            </a:ext>
          </a:extLst>
        </xdr:cNvPr>
        <xdr:cNvCxnSpPr/>
      </xdr:nvCxnSpPr>
      <xdr:spPr>
        <a:xfrm>
          <a:off x="5175250" y="51255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1138</xdr:row>
      <xdr:rowOff>137583</xdr:rowOff>
    </xdr:from>
    <xdr:to>
      <xdr:col>9</xdr:col>
      <xdr:colOff>603250</xdr:colOff>
      <xdr:row>1144</xdr:row>
      <xdr:rowOff>21166</xdr:rowOff>
    </xdr:to>
    <xdr:cxnSp macro="">
      <xdr:nvCxnSpPr>
        <xdr:cNvPr id="1150" name="Straight Arrow Connector 1149">
          <a:extLst>
            <a:ext uri="{FF2B5EF4-FFF2-40B4-BE49-F238E27FC236}">
              <a16:creationId xmlns:a16="http://schemas.microsoft.com/office/drawing/2014/main" id="{00000000-0008-0000-1200-00007E040000}"/>
            </a:ext>
          </a:extLst>
        </xdr:cNvPr>
        <xdr:cNvCxnSpPr/>
      </xdr:nvCxnSpPr>
      <xdr:spPr>
        <a:xfrm flipV="1">
          <a:off x="6381750"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1147</xdr:row>
      <xdr:rowOff>0</xdr:rowOff>
    </xdr:from>
    <xdr:to>
      <xdr:col>9</xdr:col>
      <xdr:colOff>582083</xdr:colOff>
      <xdr:row>1155</xdr:row>
      <xdr:rowOff>10583</xdr:rowOff>
    </xdr:to>
    <xdr:cxnSp macro="">
      <xdr:nvCxnSpPr>
        <xdr:cNvPr id="1151" name="Straight Arrow Connector 1150">
          <a:extLst>
            <a:ext uri="{FF2B5EF4-FFF2-40B4-BE49-F238E27FC236}">
              <a16:creationId xmlns:a16="http://schemas.microsoft.com/office/drawing/2014/main" id="{00000000-0008-0000-1200-00007F040000}"/>
            </a:ext>
          </a:extLst>
        </xdr:cNvPr>
        <xdr:cNvCxnSpPr/>
      </xdr:nvCxnSpPr>
      <xdr:spPr>
        <a:xfrm>
          <a:off x="6413500"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1152</xdr:row>
      <xdr:rowOff>169333</xdr:rowOff>
    </xdr:from>
    <xdr:to>
      <xdr:col>11</xdr:col>
      <xdr:colOff>603250</xdr:colOff>
      <xdr:row>1155</xdr:row>
      <xdr:rowOff>21167</xdr:rowOff>
    </xdr:to>
    <xdr:cxnSp macro="">
      <xdr:nvCxnSpPr>
        <xdr:cNvPr id="1152" name="Straight Arrow Connector 1151">
          <a:extLst>
            <a:ext uri="{FF2B5EF4-FFF2-40B4-BE49-F238E27FC236}">
              <a16:creationId xmlns:a16="http://schemas.microsoft.com/office/drawing/2014/main" id="{00000000-0008-0000-1200-000080040000}"/>
            </a:ext>
          </a:extLst>
        </xdr:cNvPr>
        <xdr:cNvCxnSpPr/>
      </xdr:nvCxnSpPr>
      <xdr:spPr>
        <a:xfrm flipV="1">
          <a:off x="7609417"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1158</xdr:row>
      <xdr:rowOff>42333</xdr:rowOff>
    </xdr:from>
    <xdr:to>
      <xdr:col>11</xdr:col>
      <xdr:colOff>603250</xdr:colOff>
      <xdr:row>1170</xdr:row>
      <xdr:rowOff>10583</xdr:rowOff>
    </xdr:to>
    <xdr:cxnSp macro="">
      <xdr:nvCxnSpPr>
        <xdr:cNvPr id="1153" name="Straight Arrow Connector 1152">
          <a:extLst>
            <a:ext uri="{FF2B5EF4-FFF2-40B4-BE49-F238E27FC236}">
              <a16:creationId xmlns:a16="http://schemas.microsoft.com/office/drawing/2014/main" id="{00000000-0008-0000-1200-000081040000}"/>
            </a:ext>
          </a:extLst>
        </xdr:cNvPr>
        <xdr:cNvCxnSpPr/>
      </xdr:nvCxnSpPr>
      <xdr:spPr>
        <a:xfrm>
          <a:off x="7598834"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1148</xdr:row>
      <xdr:rowOff>21167</xdr:rowOff>
    </xdr:from>
    <xdr:to>
      <xdr:col>13</xdr:col>
      <xdr:colOff>592667</xdr:colOff>
      <xdr:row>1150</xdr:row>
      <xdr:rowOff>0</xdr:rowOff>
    </xdr:to>
    <xdr:cxnSp macro="">
      <xdr:nvCxnSpPr>
        <xdr:cNvPr id="1154" name="Straight Arrow Connector 1153">
          <a:extLst>
            <a:ext uri="{FF2B5EF4-FFF2-40B4-BE49-F238E27FC236}">
              <a16:creationId xmlns:a16="http://schemas.microsoft.com/office/drawing/2014/main" id="{00000000-0008-0000-1200-000082040000}"/>
            </a:ext>
          </a:extLst>
        </xdr:cNvPr>
        <xdr:cNvCxnSpPr/>
      </xdr:nvCxnSpPr>
      <xdr:spPr>
        <a:xfrm flipV="1">
          <a:off x="8794750" y="46693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1153</xdr:row>
      <xdr:rowOff>21166</xdr:rowOff>
    </xdr:from>
    <xdr:to>
      <xdr:col>13</xdr:col>
      <xdr:colOff>592667</xdr:colOff>
      <xdr:row>1154</xdr:row>
      <xdr:rowOff>169334</xdr:rowOff>
    </xdr:to>
    <xdr:cxnSp macro="">
      <xdr:nvCxnSpPr>
        <xdr:cNvPr id="1155" name="Straight Arrow Connector 1154">
          <a:extLst>
            <a:ext uri="{FF2B5EF4-FFF2-40B4-BE49-F238E27FC236}">
              <a16:creationId xmlns:a16="http://schemas.microsoft.com/office/drawing/2014/main" id="{00000000-0008-0000-1200-000083040000}"/>
            </a:ext>
          </a:extLst>
        </xdr:cNvPr>
        <xdr:cNvCxnSpPr/>
      </xdr:nvCxnSpPr>
      <xdr:spPr>
        <a:xfrm>
          <a:off x="8784166" y="47646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1168</xdr:row>
      <xdr:rowOff>21167</xdr:rowOff>
    </xdr:from>
    <xdr:to>
      <xdr:col>13</xdr:col>
      <xdr:colOff>592667</xdr:colOff>
      <xdr:row>1170</xdr:row>
      <xdr:rowOff>63500</xdr:rowOff>
    </xdr:to>
    <xdr:cxnSp macro="">
      <xdr:nvCxnSpPr>
        <xdr:cNvPr id="1156" name="Straight Arrow Connector 1155">
          <a:extLst>
            <a:ext uri="{FF2B5EF4-FFF2-40B4-BE49-F238E27FC236}">
              <a16:creationId xmlns:a16="http://schemas.microsoft.com/office/drawing/2014/main" id="{00000000-0008-0000-1200-000084040000}"/>
            </a:ext>
          </a:extLst>
        </xdr:cNvPr>
        <xdr:cNvCxnSpPr/>
      </xdr:nvCxnSpPr>
      <xdr:spPr>
        <a:xfrm flipV="1">
          <a:off x="879475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1173</xdr:row>
      <xdr:rowOff>0</xdr:rowOff>
    </xdr:from>
    <xdr:to>
      <xdr:col>14</xdr:col>
      <xdr:colOff>10584</xdr:colOff>
      <xdr:row>1181</xdr:row>
      <xdr:rowOff>148167</xdr:rowOff>
    </xdr:to>
    <xdr:cxnSp macro="">
      <xdr:nvCxnSpPr>
        <xdr:cNvPr id="1157" name="Straight Arrow Connector 1156">
          <a:extLst>
            <a:ext uri="{FF2B5EF4-FFF2-40B4-BE49-F238E27FC236}">
              <a16:creationId xmlns:a16="http://schemas.microsoft.com/office/drawing/2014/main" id="{00000000-0008-0000-1200-000085040000}"/>
            </a:ext>
          </a:extLst>
        </xdr:cNvPr>
        <xdr:cNvCxnSpPr/>
      </xdr:nvCxnSpPr>
      <xdr:spPr>
        <a:xfrm>
          <a:off x="8805333" y="51625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1140</xdr:row>
      <xdr:rowOff>0</xdr:rowOff>
    </xdr:from>
    <xdr:to>
      <xdr:col>15</xdr:col>
      <xdr:colOff>603250</xdr:colOff>
      <xdr:row>1145</xdr:row>
      <xdr:rowOff>31750</xdr:rowOff>
    </xdr:to>
    <xdr:cxnSp macro="">
      <xdr:nvCxnSpPr>
        <xdr:cNvPr id="1158" name="Straight Arrow Connector 1157">
          <a:extLst>
            <a:ext uri="{FF2B5EF4-FFF2-40B4-BE49-F238E27FC236}">
              <a16:creationId xmlns:a16="http://schemas.microsoft.com/office/drawing/2014/main" id="{00000000-0008-0000-1200-000086040000}"/>
            </a:ext>
          </a:extLst>
        </xdr:cNvPr>
        <xdr:cNvCxnSpPr/>
      </xdr:nvCxnSpPr>
      <xdr:spPr>
        <a:xfrm flipV="1">
          <a:off x="10541000"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1143</xdr:row>
      <xdr:rowOff>52917</xdr:rowOff>
    </xdr:from>
    <xdr:to>
      <xdr:col>15</xdr:col>
      <xdr:colOff>603250</xdr:colOff>
      <xdr:row>1145</xdr:row>
      <xdr:rowOff>95250</xdr:rowOff>
    </xdr:to>
    <xdr:cxnSp macro="">
      <xdr:nvCxnSpPr>
        <xdr:cNvPr id="1159" name="Straight Arrow Connector 1158">
          <a:extLst>
            <a:ext uri="{FF2B5EF4-FFF2-40B4-BE49-F238E27FC236}">
              <a16:creationId xmlns:a16="http://schemas.microsoft.com/office/drawing/2014/main" id="{00000000-0008-0000-1200-000087040000}"/>
            </a:ext>
          </a:extLst>
        </xdr:cNvPr>
        <xdr:cNvCxnSpPr/>
      </xdr:nvCxnSpPr>
      <xdr:spPr>
        <a:xfrm flipV="1">
          <a:off x="10583333"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1145</xdr:row>
      <xdr:rowOff>158750</xdr:rowOff>
    </xdr:from>
    <xdr:to>
      <xdr:col>15</xdr:col>
      <xdr:colOff>582083</xdr:colOff>
      <xdr:row>1146</xdr:row>
      <xdr:rowOff>137583</xdr:rowOff>
    </xdr:to>
    <xdr:cxnSp macro="">
      <xdr:nvCxnSpPr>
        <xdr:cNvPr id="1160" name="Straight Arrow Connector 1159">
          <a:extLst>
            <a:ext uri="{FF2B5EF4-FFF2-40B4-BE49-F238E27FC236}">
              <a16:creationId xmlns:a16="http://schemas.microsoft.com/office/drawing/2014/main" id="{00000000-0008-0000-1200-000088040000}"/>
            </a:ext>
          </a:extLst>
        </xdr:cNvPr>
        <xdr:cNvCxnSpPr/>
      </xdr:nvCxnSpPr>
      <xdr:spPr>
        <a:xfrm>
          <a:off x="10604500"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1145</xdr:row>
      <xdr:rowOff>105834</xdr:rowOff>
    </xdr:from>
    <xdr:to>
      <xdr:col>16</xdr:col>
      <xdr:colOff>0</xdr:colOff>
      <xdr:row>1149</xdr:row>
      <xdr:rowOff>84667</xdr:rowOff>
    </xdr:to>
    <xdr:cxnSp macro="">
      <xdr:nvCxnSpPr>
        <xdr:cNvPr id="1161" name="Straight Arrow Connector 1160">
          <a:extLst>
            <a:ext uri="{FF2B5EF4-FFF2-40B4-BE49-F238E27FC236}">
              <a16:creationId xmlns:a16="http://schemas.microsoft.com/office/drawing/2014/main" id="{00000000-0008-0000-1200-000089040000}"/>
            </a:ext>
          </a:extLst>
        </xdr:cNvPr>
        <xdr:cNvCxnSpPr/>
      </xdr:nvCxnSpPr>
      <xdr:spPr>
        <a:xfrm>
          <a:off x="10519834" y="46206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1153</xdr:row>
      <xdr:rowOff>52916</xdr:rowOff>
    </xdr:from>
    <xdr:to>
      <xdr:col>16</xdr:col>
      <xdr:colOff>0</xdr:colOff>
      <xdr:row>1155</xdr:row>
      <xdr:rowOff>0</xdr:rowOff>
    </xdr:to>
    <xdr:cxnSp macro="">
      <xdr:nvCxnSpPr>
        <xdr:cNvPr id="1162" name="Straight Arrow Connector 1161">
          <a:extLst>
            <a:ext uri="{FF2B5EF4-FFF2-40B4-BE49-F238E27FC236}">
              <a16:creationId xmlns:a16="http://schemas.microsoft.com/office/drawing/2014/main" id="{00000000-0008-0000-1200-00008A040000}"/>
            </a:ext>
          </a:extLst>
        </xdr:cNvPr>
        <xdr:cNvCxnSpPr/>
      </xdr:nvCxnSpPr>
      <xdr:spPr>
        <a:xfrm flipV="1">
          <a:off x="10541000" y="47677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1155</xdr:row>
      <xdr:rowOff>21167</xdr:rowOff>
    </xdr:from>
    <xdr:to>
      <xdr:col>15</xdr:col>
      <xdr:colOff>582083</xdr:colOff>
      <xdr:row>1156</xdr:row>
      <xdr:rowOff>42333</xdr:rowOff>
    </xdr:to>
    <xdr:cxnSp macro="">
      <xdr:nvCxnSpPr>
        <xdr:cNvPr id="1163" name="Straight Arrow Connector 1162">
          <a:extLst>
            <a:ext uri="{FF2B5EF4-FFF2-40B4-BE49-F238E27FC236}">
              <a16:creationId xmlns:a16="http://schemas.microsoft.com/office/drawing/2014/main" id="{00000000-0008-0000-1200-00008B040000}"/>
            </a:ext>
          </a:extLst>
        </xdr:cNvPr>
        <xdr:cNvCxnSpPr/>
      </xdr:nvCxnSpPr>
      <xdr:spPr>
        <a:xfrm>
          <a:off x="10551583"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1155</xdr:row>
      <xdr:rowOff>21167</xdr:rowOff>
    </xdr:from>
    <xdr:to>
      <xdr:col>16</xdr:col>
      <xdr:colOff>42333</xdr:colOff>
      <xdr:row>1160</xdr:row>
      <xdr:rowOff>21168</xdr:rowOff>
    </xdr:to>
    <xdr:cxnSp macro="">
      <xdr:nvCxnSpPr>
        <xdr:cNvPr id="1164" name="Straight Arrow Connector 1163">
          <a:extLst>
            <a:ext uri="{FF2B5EF4-FFF2-40B4-BE49-F238E27FC236}">
              <a16:creationId xmlns:a16="http://schemas.microsoft.com/office/drawing/2014/main" id="{00000000-0008-0000-1200-00008C040000}"/>
            </a:ext>
          </a:extLst>
        </xdr:cNvPr>
        <xdr:cNvCxnSpPr/>
      </xdr:nvCxnSpPr>
      <xdr:spPr>
        <a:xfrm>
          <a:off x="10530417" y="48027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1165" name="Straight Arrow Connector 1164">
          <a:extLst>
            <a:ext uri="{FF2B5EF4-FFF2-40B4-BE49-F238E27FC236}">
              <a16:creationId xmlns:a16="http://schemas.microsoft.com/office/drawing/2014/main" id="{00000000-0008-0000-1200-00008D040000}"/>
            </a:ext>
          </a:extLst>
        </xdr:cNvPr>
        <xdr:cNvCxnSpPr/>
      </xdr:nvCxnSpPr>
      <xdr:spPr>
        <a:xfrm>
          <a:off x="10541000" y="48037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1192</xdr:row>
      <xdr:rowOff>42333</xdr:rowOff>
    </xdr:from>
    <xdr:to>
      <xdr:col>9</xdr:col>
      <xdr:colOff>592666</xdr:colOff>
      <xdr:row>1200</xdr:row>
      <xdr:rowOff>42333</xdr:rowOff>
    </xdr:to>
    <xdr:cxnSp macro="">
      <xdr:nvCxnSpPr>
        <xdr:cNvPr id="1166" name="Straight Arrow Connector 1165">
          <a:extLst>
            <a:ext uri="{FF2B5EF4-FFF2-40B4-BE49-F238E27FC236}">
              <a16:creationId xmlns:a16="http://schemas.microsoft.com/office/drawing/2014/main" id="{00000000-0008-0000-1200-00008E040000}"/>
            </a:ext>
          </a:extLst>
        </xdr:cNvPr>
        <xdr:cNvCxnSpPr/>
      </xdr:nvCxnSpPr>
      <xdr:spPr>
        <a:xfrm flipV="1">
          <a:off x="6392333"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1202</xdr:row>
      <xdr:rowOff>169334</xdr:rowOff>
    </xdr:from>
    <xdr:to>
      <xdr:col>9</xdr:col>
      <xdr:colOff>603250</xdr:colOff>
      <xdr:row>1211</xdr:row>
      <xdr:rowOff>31750</xdr:rowOff>
    </xdr:to>
    <xdr:cxnSp macro="">
      <xdr:nvCxnSpPr>
        <xdr:cNvPr id="1167" name="Straight Arrow Connector 1166">
          <a:extLst>
            <a:ext uri="{FF2B5EF4-FFF2-40B4-BE49-F238E27FC236}">
              <a16:creationId xmlns:a16="http://schemas.microsoft.com/office/drawing/2014/main" id="{00000000-0008-0000-1200-00008F040000}"/>
            </a:ext>
          </a:extLst>
        </xdr:cNvPr>
        <xdr:cNvCxnSpPr/>
      </xdr:nvCxnSpPr>
      <xdr:spPr>
        <a:xfrm>
          <a:off x="6413500"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1208</xdr:row>
      <xdr:rowOff>158750</xdr:rowOff>
    </xdr:from>
    <xdr:to>
      <xdr:col>11</xdr:col>
      <xdr:colOff>571500</xdr:colOff>
      <xdr:row>1211</xdr:row>
      <xdr:rowOff>0</xdr:rowOff>
    </xdr:to>
    <xdr:cxnSp macro="">
      <xdr:nvCxnSpPr>
        <xdr:cNvPr id="1168" name="Straight Arrow Connector 1167">
          <a:extLst>
            <a:ext uri="{FF2B5EF4-FFF2-40B4-BE49-F238E27FC236}">
              <a16:creationId xmlns:a16="http://schemas.microsoft.com/office/drawing/2014/main" id="{00000000-0008-0000-1200-000090040000}"/>
            </a:ext>
          </a:extLst>
        </xdr:cNvPr>
        <xdr:cNvCxnSpPr/>
      </xdr:nvCxnSpPr>
      <xdr:spPr>
        <a:xfrm flipV="1">
          <a:off x="7556500" y="58451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1166</xdr:row>
      <xdr:rowOff>0</xdr:rowOff>
    </xdr:from>
    <xdr:to>
      <xdr:col>15</xdr:col>
      <xdr:colOff>603250</xdr:colOff>
      <xdr:row>1168</xdr:row>
      <xdr:rowOff>1</xdr:rowOff>
    </xdr:to>
    <xdr:cxnSp macro="">
      <xdr:nvCxnSpPr>
        <xdr:cNvPr id="1169" name="Straight Arrow Connector 1168">
          <a:extLst>
            <a:ext uri="{FF2B5EF4-FFF2-40B4-BE49-F238E27FC236}">
              <a16:creationId xmlns:a16="http://schemas.microsoft.com/office/drawing/2014/main" id="{00000000-0008-0000-1200-000091040000}"/>
            </a:ext>
          </a:extLst>
        </xdr:cNvPr>
        <xdr:cNvCxnSpPr/>
      </xdr:nvCxnSpPr>
      <xdr:spPr>
        <a:xfrm flipV="1">
          <a:off x="10530417"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1168</xdr:row>
      <xdr:rowOff>10584</xdr:rowOff>
    </xdr:from>
    <xdr:to>
      <xdr:col>15</xdr:col>
      <xdr:colOff>592666</xdr:colOff>
      <xdr:row>1169</xdr:row>
      <xdr:rowOff>95250</xdr:rowOff>
    </xdr:to>
    <xdr:cxnSp macro="">
      <xdr:nvCxnSpPr>
        <xdr:cNvPr id="1170" name="Straight Arrow Connector 1169">
          <a:extLst>
            <a:ext uri="{FF2B5EF4-FFF2-40B4-BE49-F238E27FC236}">
              <a16:creationId xmlns:a16="http://schemas.microsoft.com/office/drawing/2014/main" id="{00000000-0008-0000-1200-000092040000}"/>
            </a:ext>
          </a:extLst>
        </xdr:cNvPr>
        <xdr:cNvCxnSpPr/>
      </xdr:nvCxnSpPr>
      <xdr:spPr>
        <a:xfrm>
          <a:off x="10572750"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1168</xdr:row>
      <xdr:rowOff>10584</xdr:rowOff>
    </xdr:from>
    <xdr:to>
      <xdr:col>15</xdr:col>
      <xdr:colOff>560916</xdr:colOff>
      <xdr:row>1172</xdr:row>
      <xdr:rowOff>52917</xdr:rowOff>
    </xdr:to>
    <xdr:cxnSp macro="">
      <xdr:nvCxnSpPr>
        <xdr:cNvPr id="1171" name="Straight Arrow Connector 1170">
          <a:extLst>
            <a:ext uri="{FF2B5EF4-FFF2-40B4-BE49-F238E27FC236}">
              <a16:creationId xmlns:a16="http://schemas.microsoft.com/office/drawing/2014/main" id="{00000000-0008-0000-1200-000093040000}"/>
            </a:ext>
          </a:extLst>
        </xdr:cNvPr>
        <xdr:cNvCxnSpPr/>
      </xdr:nvCxnSpPr>
      <xdr:spPr>
        <a:xfrm>
          <a:off x="10551583"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1172" name="Straight Arrow Connector 1171">
          <a:extLst>
            <a:ext uri="{FF2B5EF4-FFF2-40B4-BE49-F238E27FC236}">
              <a16:creationId xmlns:a16="http://schemas.microsoft.com/office/drawing/2014/main" id="{00000000-0008-0000-1200-000094040000}"/>
            </a:ext>
          </a:extLst>
        </xdr:cNvPr>
        <xdr:cNvCxnSpPr/>
      </xdr:nvCxnSpPr>
      <xdr:spPr>
        <a:xfrm>
          <a:off x="10583333" y="50704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1182</xdr:row>
      <xdr:rowOff>0</xdr:rowOff>
    </xdr:from>
    <xdr:to>
      <xdr:col>16</xdr:col>
      <xdr:colOff>0</xdr:colOff>
      <xdr:row>1182</xdr:row>
      <xdr:rowOff>42334</xdr:rowOff>
    </xdr:to>
    <xdr:cxnSp macro="">
      <xdr:nvCxnSpPr>
        <xdr:cNvPr id="1173" name="Straight Arrow Connector 1172">
          <a:extLst>
            <a:ext uri="{FF2B5EF4-FFF2-40B4-BE49-F238E27FC236}">
              <a16:creationId xmlns:a16="http://schemas.microsoft.com/office/drawing/2014/main" id="{00000000-0008-0000-1200-000095040000}"/>
            </a:ext>
          </a:extLst>
        </xdr:cNvPr>
        <xdr:cNvCxnSpPr/>
      </xdr:nvCxnSpPr>
      <xdr:spPr>
        <a:xfrm>
          <a:off x="10562166" y="53340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1182</xdr:row>
      <xdr:rowOff>21166</xdr:rowOff>
    </xdr:from>
    <xdr:to>
      <xdr:col>15</xdr:col>
      <xdr:colOff>560916</xdr:colOff>
      <xdr:row>1185</xdr:row>
      <xdr:rowOff>84667</xdr:rowOff>
    </xdr:to>
    <xdr:cxnSp macro="">
      <xdr:nvCxnSpPr>
        <xdr:cNvPr id="1174" name="Straight Arrow Connector 1173">
          <a:extLst>
            <a:ext uri="{FF2B5EF4-FFF2-40B4-BE49-F238E27FC236}">
              <a16:creationId xmlns:a16="http://schemas.microsoft.com/office/drawing/2014/main" id="{00000000-0008-0000-1200-000096040000}"/>
            </a:ext>
          </a:extLst>
        </xdr:cNvPr>
        <xdr:cNvCxnSpPr/>
      </xdr:nvCxnSpPr>
      <xdr:spPr>
        <a:xfrm>
          <a:off x="10615083"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1182</xdr:row>
      <xdr:rowOff>52916</xdr:rowOff>
    </xdr:from>
    <xdr:to>
      <xdr:col>15</xdr:col>
      <xdr:colOff>592666</xdr:colOff>
      <xdr:row>1188</xdr:row>
      <xdr:rowOff>63501</xdr:rowOff>
    </xdr:to>
    <xdr:cxnSp macro="">
      <xdr:nvCxnSpPr>
        <xdr:cNvPr id="1175" name="Straight Arrow Connector 1174">
          <a:extLst>
            <a:ext uri="{FF2B5EF4-FFF2-40B4-BE49-F238E27FC236}">
              <a16:creationId xmlns:a16="http://schemas.microsoft.com/office/drawing/2014/main" id="{00000000-0008-0000-1200-000097040000}"/>
            </a:ext>
          </a:extLst>
        </xdr:cNvPr>
        <xdr:cNvCxnSpPr/>
      </xdr:nvCxnSpPr>
      <xdr:spPr>
        <a:xfrm>
          <a:off x="10572750"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1196</xdr:row>
      <xdr:rowOff>116416</xdr:rowOff>
    </xdr:from>
    <xdr:to>
      <xdr:col>15</xdr:col>
      <xdr:colOff>592666</xdr:colOff>
      <xdr:row>1199</xdr:row>
      <xdr:rowOff>158750</xdr:rowOff>
    </xdr:to>
    <xdr:cxnSp macro="">
      <xdr:nvCxnSpPr>
        <xdr:cNvPr id="1176" name="Straight Arrow Connector 1175">
          <a:extLst>
            <a:ext uri="{FF2B5EF4-FFF2-40B4-BE49-F238E27FC236}">
              <a16:creationId xmlns:a16="http://schemas.microsoft.com/office/drawing/2014/main" id="{00000000-0008-0000-1200-000098040000}"/>
            </a:ext>
          </a:extLst>
        </xdr:cNvPr>
        <xdr:cNvCxnSpPr/>
      </xdr:nvCxnSpPr>
      <xdr:spPr>
        <a:xfrm flipV="1">
          <a:off x="10562166"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1198</xdr:row>
      <xdr:rowOff>95250</xdr:rowOff>
    </xdr:from>
    <xdr:to>
      <xdr:col>15</xdr:col>
      <xdr:colOff>582083</xdr:colOff>
      <xdr:row>1200</xdr:row>
      <xdr:rowOff>52917</xdr:rowOff>
    </xdr:to>
    <xdr:cxnSp macro="">
      <xdr:nvCxnSpPr>
        <xdr:cNvPr id="1177" name="Straight Arrow Connector 1176">
          <a:extLst>
            <a:ext uri="{FF2B5EF4-FFF2-40B4-BE49-F238E27FC236}">
              <a16:creationId xmlns:a16="http://schemas.microsoft.com/office/drawing/2014/main" id="{00000000-0008-0000-1200-000099040000}"/>
            </a:ext>
          </a:extLst>
        </xdr:cNvPr>
        <xdr:cNvCxnSpPr/>
      </xdr:nvCxnSpPr>
      <xdr:spPr>
        <a:xfrm flipV="1">
          <a:off x="10604500"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116417</xdr:rowOff>
    </xdr:from>
    <xdr:to>
      <xdr:col>15</xdr:col>
      <xdr:colOff>592666</xdr:colOff>
      <xdr:row>1204</xdr:row>
      <xdr:rowOff>95250</xdr:rowOff>
    </xdr:to>
    <xdr:cxnSp macro="">
      <xdr:nvCxnSpPr>
        <xdr:cNvPr id="1178" name="Straight Arrow Connector 1177">
          <a:extLst>
            <a:ext uri="{FF2B5EF4-FFF2-40B4-BE49-F238E27FC236}">
              <a16:creationId xmlns:a16="http://schemas.microsoft.com/office/drawing/2014/main" id="{00000000-0008-0000-1200-00009A040000}"/>
            </a:ext>
          </a:extLst>
        </xdr:cNvPr>
        <xdr:cNvCxnSpPr/>
      </xdr:nvCxnSpPr>
      <xdr:spPr>
        <a:xfrm>
          <a:off x="10593916"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1211</xdr:row>
      <xdr:rowOff>116416</xdr:rowOff>
    </xdr:from>
    <xdr:to>
      <xdr:col>16</xdr:col>
      <xdr:colOff>0</xdr:colOff>
      <xdr:row>1218</xdr:row>
      <xdr:rowOff>74084</xdr:rowOff>
    </xdr:to>
    <xdr:cxnSp macro="">
      <xdr:nvCxnSpPr>
        <xdr:cNvPr id="1179" name="Straight Arrow Connector 1178">
          <a:extLst>
            <a:ext uri="{FF2B5EF4-FFF2-40B4-BE49-F238E27FC236}">
              <a16:creationId xmlns:a16="http://schemas.microsoft.com/office/drawing/2014/main" id="{00000000-0008-0000-1200-00009B040000}"/>
            </a:ext>
          </a:extLst>
        </xdr:cNvPr>
        <xdr:cNvCxnSpPr/>
      </xdr:nvCxnSpPr>
      <xdr:spPr>
        <a:xfrm>
          <a:off x="10572750" y="58980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1179</xdr:row>
      <xdr:rowOff>52917</xdr:rowOff>
    </xdr:from>
    <xdr:to>
      <xdr:col>15</xdr:col>
      <xdr:colOff>603250</xdr:colOff>
      <xdr:row>1181</xdr:row>
      <xdr:rowOff>148167</xdr:rowOff>
    </xdr:to>
    <xdr:cxnSp macro="">
      <xdr:nvCxnSpPr>
        <xdr:cNvPr id="1180" name="Straight Arrow Connector 1179">
          <a:extLst>
            <a:ext uri="{FF2B5EF4-FFF2-40B4-BE49-F238E27FC236}">
              <a16:creationId xmlns:a16="http://schemas.microsoft.com/office/drawing/2014/main" id="{00000000-0008-0000-1200-00009C040000}"/>
            </a:ext>
          </a:extLst>
        </xdr:cNvPr>
        <xdr:cNvCxnSpPr/>
      </xdr:nvCxnSpPr>
      <xdr:spPr>
        <a:xfrm flipV="1">
          <a:off x="10583333"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1214</xdr:row>
      <xdr:rowOff>42333</xdr:rowOff>
    </xdr:from>
    <xdr:to>
      <xdr:col>11</xdr:col>
      <xdr:colOff>603250</xdr:colOff>
      <xdr:row>1226</xdr:row>
      <xdr:rowOff>10583</xdr:rowOff>
    </xdr:to>
    <xdr:cxnSp macro="">
      <xdr:nvCxnSpPr>
        <xdr:cNvPr id="1181" name="Straight Arrow Connector 1180">
          <a:extLst>
            <a:ext uri="{FF2B5EF4-FFF2-40B4-BE49-F238E27FC236}">
              <a16:creationId xmlns:a16="http://schemas.microsoft.com/office/drawing/2014/main" id="{00000000-0008-0000-1200-00009D040000}"/>
            </a:ext>
          </a:extLst>
        </xdr:cNvPr>
        <xdr:cNvCxnSpPr/>
      </xdr:nvCxnSpPr>
      <xdr:spPr>
        <a:xfrm>
          <a:off x="7598834"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1204</xdr:row>
      <xdr:rowOff>21167</xdr:rowOff>
    </xdr:from>
    <xdr:to>
      <xdr:col>13</xdr:col>
      <xdr:colOff>592667</xdr:colOff>
      <xdr:row>1206</xdr:row>
      <xdr:rowOff>0</xdr:rowOff>
    </xdr:to>
    <xdr:cxnSp macro="">
      <xdr:nvCxnSpPr>
        <xdr:cNvPr id="1182" name="Straight Arrow Connector 1181">
          <a:extLst>
            <a:ext uri="{FF2B5EF4-FFF2-40B4-BE49-F238E27FC236}">
              <a16:creationId xmlns:a16="http://schemas.microsoft.com/office/drawing/2014/main" id="{00000000-0008-0000-1200-00009E040000}"/>
            </a:ext>
          </a:extLst>
        </xdr:cNvPr>
        <xdr:cNvCxnSpPr/>
      </xdr:nvCxnSpPr>
      <xdr:spPr>
        <a:xfrm flipV="1">
          <a:off x="8794750" y="57552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1209</xdr:row>
      <xdr:rowOff>21166</xdr:rowOff>
    </xdr:from>
    <xdr:to>
      <xdr:col>13</xdr:col>
      <xdr:colOff>592667</xdr:colOff>
      <xdr:row>1210</xdr:row>
      <xdr:rowOff>169334</xdr:rowOff>
    </xdr:to>
    <xdr:cxnSp macro="">
      <xdr:nvCxnSpPr>
        <xdr:cNvPr id="1183" name="Straight Arrow Connector 1182">
          <a:extLst>
            <a:ext uri="{FF2B5EF4-FFF2-40B4-BE49-F238E27FC236}">
              <a16:creationId xmlns:a16="http://schemas.microsoft.com/office/drawing/2014/main" id="{00000000-0008-0000-1200-00009F040000}"/>
            </a:ext>
          </a:extLst>
        </xdr:cNvPr>
        <xdr:cNvCxnSpPr/>
      </xdr:nvCxnSpPr>
      <xdr:spPr>
        <a:xfrm>
          <a:off x="8784166" y="58504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1224</xdr:row>
      <xdr:rowOff>21167</xdr:rowOff>
    </xdr:from>
    <xdr:to>
      <xdr:col>13</xdr:col>
      <xdr:colOff>592667</xdr:colOff>
      <xdr:row>1226</xdr:row>
      <xdr:rowOff>63500</xdr:rowOff>
    </xdr:to>
    <xdr:cxnSp macro="">
      <xdr:nvCxnSpPr>
        <xdr:cNvPr id="1184" name="Straight Arrow Connector 1183">
          <a:extLst>
            <a:ext uri="{FF2B5EF4-FFF2-40B4-BE49-F238E27FC236}">
              <a16:creationId xmlns:a16="http://schemas.microsoft.com/office/drawing/2014/main" id="{00000000-0008-0000-1200-0000A0040000}"/>
            </a:ext>
          </a:extLst>
        </xdr:cNvPr>
        <xdr:cNvCxnSpPr/>
      </xdr:nvCxnSpPr>
      <xdr:spPr>
        <a:xfrm flipV="1">
          <a:off x="879475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1229</xdr:row>
      <xdr:rowOff>0</xdr:rowOff>
    </xdr:from>
    <xdr:to>
      <xdr:col>14</xdr:col>
      <xdr:colOff>10584</xdr:colOff>
      <xdr:row>1237</xdr:row>
      <xdr:rowOff>148167</xdr:rowOff>
    </xdr:to>
    <xdr:cxnSp macro="">
      <xdr:nvCxnSpPr>
        <xdr:cNvPr id="1185" name="Straight Arrow Connector 1184">
          <a:extLst>
            <a:ext uri="{FF2B5EF4-FFF2-40B4-BE49-F238E27FC236}">
              <a16:creationId xmlns:a16="http://schemas.microsoft.com/office/drawing/2014/main" id="{00000000-0008-0000-1200-0000A1040000}"/>
            </a:ext>
          </a:extLst>
        </xdr:cNvPr>
        <xdr:cNvCxnSpPr/>
      </xdr:nvCxnSpPr>
      <xdr:spPr>
        <a:xfrm>
          <a:off x="8805333" y="62484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95250</xdr:rowOff>
    </xdr:from>
    <xdr:to>
      <xdr:col>15</xdr:col>
      <xdr:colOff>582083</xdr:colOff>
      <xdr:row>1202</xdr:row>
      <xdr:rowOff>137583</xdr:rowOff>
    </xdr:to>
    <xdr:cxnSp macro="">
      <xdr:nvCxnSpPr>
        <xdr:cNvPr id="1186" name="Straight Arrow Connector 1185">
          <a:extLst>
            <a:ext uri="{FF2B5EF4-FFF2-40B4-BE49-F238E27FC236}">
              <a16:creationId xmlns:a16="http://schemas.microsoft.com/office/drawing/2014/main" id="{00000000-0008-0000-1200-0000A2040000}"/>
            </a:ext>
          </a:extLst>
        </xdr:cNvPr>
        <xdr:cNvCxnSpPr/>
      </xdr:nvCxnSpPr>
      <xdr:spPr>
        <a:xfrm>
          <a:off x="10593916"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1209</xdr:row>
      <xdr:rowOff>52916</xdr:rowOff>
    </xdr:from>
    <xdr:to>
      <xdr:col>16</xdr:col>
      <xdr:colOff>0</xdr:colOff>
      <xdr:row>1211</xdr:row>
      <xdr:rowOff>0</xdr:rowOff>
    </xdr:to>
    <xdr:cxnSp macro="">
      <xdr:nvCxnSpPr>
        <xdr:cNvPr id="1187" name="Straight Arrow Connector 1186">
          <a:extLst>
            <a:ext uri="{FF2B5EF4-FFF2-40B4-BE49-F238E27FC236}">
              <a16:creationId xmlns:a16="http://schemas.microsoft.com/office/drawing/2014/main" id="{00000000-0008-0000-1200-0000A3040000}"/>
            </a:ext>
          </a:extLst>
        </xdr:cNvPr>
        <xdr:cNvCxnSpPr/>
      </xdr:nvCxnSpPr>
      <xdr:spPr>
        <a:xfrm flipV="1">
          <a:off x="10541000" y="58536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21167</xdr:rowOff>
    </xdr:from>
    <xdr:to>
      <xdr:col>15</xdr:col>
      <xdr:colOff>592666</xdr:colOff>
      <xdr:row>1212</xdr:row>
      <xdr:rowOff>84667</xdr:rowOff>
    </xdr:to>
    <xdr:cxnSp macro="">
      <xdr:nvCxnSpPr>
        <xdr:cNvPr id="1188" name="Straight Arrow Connector 1187">
          <a:extLst>
            <a:ext uri="{FF2B5EF4-FFF2-40B4-BE49-F238E27FC236}">
              <a16:creationId xmlns:a16="http://schemas.microsoft.com/office/drawing/2014/main" id="{00000000-0008-0000-1200-0000A4040000}"/>
            </a:ext>
          </a:extLst>
        </xdr:cNvPr>
        <xdr:cNvCxnSpPr/>
      </xdr:nvCxnSpPr>
      <xdr:spPr>
        <a:xfrm>
          <a:off x="10530417"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0</xdr:rowOff>
    </xdr:from>
    <xdr:to>
      <xdr:col>16</xdr:col>
      <xdr:colOff>0</xdr:colOff>
      <xdr:row>1215</xdr:row>
      <xdr:rowOff>42334</xdr:rowOff>
    </xdr:to>
    <xdr:cxnSp macro="">
      <xdr:nvCxnSpPr>
        <xdr:cNvPr id="1189" name="Straight Arrow Connector 1188">
          <a:extLst>
            <a:ext uri="{FF2B5EF4-FFF2-40B4-BE49-F238E27FC236}">
              <a16:creationId xmlns:a16="http://schemas.microsoft.com/office/drawing/2014/main" id="{00000000-0008-0000-1200-0000A5040000}"/>
            </a:ext>
          </a:extLst>
        </xdr:cNvPr>
        <xdr:cNvCxnSpPr/>
      </xdr:nvCxnSpPr>
      <xdr:spPr>
        <a:xfrm>
          <a:off x="10530417" y="58864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1222</xdr:row>
      <xdr:rowOff>0</xdr:rowOff>
    </xdr:from>
    <xdr:to>
      <xdr:col>15</xdr:col>
      <xdr:colOff>603250</xdr:colOff>
      <xdr:row>1224</xdr:row>
      <xdr:rowOff>1</xdr:rowOff>
    </xdr:to>
    <xdr:cxnSp macro="">
      <xdr:nvCxnSpPr>
        <xdr:cNvPr id="1190" name="Straight Arrow Connector 1189">
          <a:extLst>
            <a:ext uri="{FF2B5EF4-FFF2-40B4-BE49-F238E27FC236}">
              <a16:creationId xmlns:a16="http://schemas.microsoft.com/office/drawing/2014/main" id="{00000000-0008-0000-1200-0000A6040000}"/>
            </a:ext>
          </a:extLst>
        </xdr:cNvPr>
        <xdr:cNvCxnSpPr/>
      </xdr:nvCxnSpPr>
      <xdr:spPr>
        <a:xfrm flipV="1">
          <a:off x="10530417"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1224</xdr:row>
      <xdr:rowOff>10584</xdr:rowOff>
    </xdr:from>
    <xdr:to>
      <xdr:col>15</xdr:col>
      <xdr:colOff>592666</xdr:colOff>
      <xdr:row>1225</xdr:row>
      <xdr:rowOff>95250</xdr:rowOff>
    </xdr:to>
    <xdr:cxnSp macro="">
      <xdr:nvCxnSpPr>
        <xdr:cNvPr id="1191" name="Straight Arrow Connector 1190">
          <a:extLst>
            <a:ext uri="{FF2B5EF4-FFF2-40B4-BE49-F238E27FC236}">
              <a16:creationId xmlns:a16="http://schemas.microsoft.com/office/drawing/2014/main" id="{00000000-0008-0000-1200-0000A7040000}"/>
            </a:ext>
          </a:extLst>
        </xdr:cNvPr>
        <xdr:cNvCxnSpPr/>
      </xdr:nvCxnSpPr>
      <xdr:spPr>
        <a:xfrm>
          <a:off x="10572750"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1224</xdr:row>
      <xdr:rowOff>10584</xdr:rowOff>
    </xdr:from>
    <xdr:to>
      <xdr:col>15</xdr:col>
      <xdr:colOff>560916</xdr:colOff>
      <xdr:row>1228</xdr:row>
      <xdr:rowOff>52917</xdr:rowOff>
    </xdr:to>
    <xdr:cxnSp macro="">
      <xdr:nvCxnSpPr>
        <xdr:cNvPr id="1192" name="Straight Arrow Connector 1191">
          <a:extLst>
            <a:ext uri="{FF2B5EF4-FFF2-40B4-BE49-F238E27FC236}">
              <a16:creationId xmlns:a16="http://schemas.microsoft.com/office/drawing/2014/main" id="{00000000-0008-0000-1200-0000A8040000}"/>
            </a:ext>
          </a:extLst>
        </xdr:cNvPr>
        <xdr:cNvCxnSpPr/>
      </xdr:nvCxnSpPr>
      <xdr:spPr>
        <a:xfrm>
          <a:off x="10551583"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1193" name="Straight Arrow Connector 1192">
          <a:extLst>
            <a:ext uri="{FF2B5EF4-FFF2-40B4-BE49-F238E27FC236}">
              <a16:creationId xmlns:a16="http://schemas.microsoft.com/office/drawing/2014/main" id="{00000000-0008-0000-1200-0000A9040000}"/>
            </a:ext>
          </a:extLst>
        </xdr:cNvPr>
        <xdr:cNvCxnSpPr/>
      </xdr:nvCxnSpPr>
      <xdr:spPr>
        <a:xfrm>
          <a:off x="10583333" y="61563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1238</xdr:row>
      <xdr:rowOff>0</xdr:rowOff>
    </xdr:from>
    <xdr:to>
      <xdr:col>16</xdr:col>
      <xdr:colOff>0</xdr:colOff>
      <xdr:row>1238</xdr:row>
      <xdr:rowOff>42334</xdr:rowOff>
    </xdr:to>
    <xdr:cxnSp macro="">
      <xdr:nvCxnSpPr>
        <xdr:cNvPr id="1194" name="Straight Arrow Connector 1193">
          <a:extLst>
            <a:ext uri="{FF2B5EF4-FFF2-40B4-BE49-F238E27FC236}">
              <a16:creationId xmlns:a16="http://schemas.microsoft.com/office/drawing/2014/main" id="{00000000-0008-0000-1200-0000AA040000}"/>
            </a:ext>
          </a:extLst>
        </xdr:cNvPr>
        <xdr:cNvCxnSpPr/>
      </xdr:nvCxnSpPr>
      <xdr:spPr>
        <a:xfrm>
          <a:off x="10562166" y="64198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1238</xdr:row>
      <xdr:rowOff>21166</xdr:rowOff>
    </xdr:from>
    <xdr:to>
      <xdr:col>15</xdr:col>
      <xdr:colOff>560916</xdr:colOff>
      <xdr:row>1241</xdr:row>
      <xdr:rowOff>84667</xdr:rowOff>
    </xdr:to>
    <xdr:cxnSp macro="">
      <xdr:nvCxnSpPr>
        <xdr:cNvPr id="1195" name="Straight Arrow Connector 1194">
          <a:extLst>
            <a:ext uri="{FF2B5EF4-FFF2-40B4-BE49-F238E27FC236}">
              <a16:creationId xmlns:a16="http://schemas.microsoft.com/office/drawing/2014/main" id="{00000000-0008-0000-1200-0000AB040000}"/>
            </a:ext>
          </a:extLst>
        </xdr:cNvPr>
        <xdr:cNvCxnSpPr/>
      </xdr:nvCxnSpPr>
      <xdr:spPr>
        <a:xfrm>
          <a:off x="10615083"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1238</xdr:row>
      <xdr:rowOff>52916</xdr:rowOff>
    </xdr:from>
    <xdr:to>
      <xdr:col>15</xdr:col>
      <xdr:colOff>592666</xdr:colOff>
      <xdr:row>1244</xdr:row>
      <xdr:rowOff>63501</xdr:rowOff>
    </xdr:to>
    <xdr:cxnSp macro="">
      <xdr:nvCxnSpPr>
        <xdr:cNvPr id="1196" name="Straight Arrow Connector 1195">
          <a:extLst>
            <a:ext uri="{FF2B5EF4-FFF2-40B4-BE49-F238E27FC236}">
              <a16:creationId xmlns:a16="http://schemas.microsoft.com/office/drawing/2014/main" id="{00000000-0008-0000-1200-0000AC040000}"/>
            </a:ext>
          </a:extLst>
        </xdr:cNvPr>
        <xdr:cNvCxnSpPr/>
      </xdr:nvCxnSpPr>
      <xdr:spPr>
        <a:xfrm>
          <a:off x="10572750"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1235</xdr:row>
      <xdr:rowOff>52917</xdr:rowOff>
    </xdr:from>
    <xdr:to>
      <xdr:col>15</xdr:col>
      <xdr:colOff>603250</xdr:colOff>
      <xdr:row>1237</xdr:row>
      <xdr:rowOff>148167</xdr:rowOff>
    </xdr:to>
    <xdr:cxnSp macro="">
      <xdr:nvCxnSpPr>
        <xdr:cNvPr id="1197" name="Straight Arrow Connector 1196">
          <a:extLst>
            <a:ext uri="{FF2B5EF4-FFF2-40B4-BE49-F238E27FC236}">
              <a16:creationId xmlns:a16="http://schemas.microsoft.com/office/drawing/2014/main" id="{00000000-0008-0000-1200-0000AD040000}"/>
            </a:ext>
          </a:extLst>
        </xdr:cNvPr>
        <xdr:cNvCxnSpPr/>
      </xdr:nvCxnSpPr>
      <xdr:spPr>
        <a:xfrm flipV="1">
          <a:off x="10583333"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1279</xdr:row>
      <xdr:rowOff>95250</xdr:rowOff>
    </xdr:from>
    <xdr:to>
      <xdr:col>8</xdr:col>
      <xdr:colOff>21167</xdr:colOff>
      <xdr:row>1311</xdr:row>
      <xdr:rowOff>148166</xdr:rowOff>
    </xdr:to>
    <xdr:cxnSp macro="">
      <xdr:nvCxnSpPr>
        <xdr:cNvPr id="1198" name="Straight Arrow Connector 1197">
          <a:extLst>
            <a:ext uri="{FF2B5EF4-FFF2-40B4-BE49-F238E27FC236}">
              <a16:creationId xmlns:a16="http://schemas.microsoft.com/office/drawing/2014/main" id="{00000000-0008-0000-1200-0000AE040000}"/>
            </a:ext>
          </a:extLst>
        </xdr:cNvPr>
        <xdr:cNvCxnSpPr/>
      </xdr:nvCxnSpPr>
      <xdr:spPr>
        <a:xfrm>
          <a:off x="5080000" y="72294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1250</xdr:row>
      <xdr:rowOff>137583</xdr:rowOff>
    </xdr:from>
    <xdr:to>
      <xdr:col>9</xdr:col>
      <xdr:colOff>603250</xdr:colOff>
      <xdr:row>1256</xdr:row>
      <xdr:rowOff>21166</xdr:rowOff>
    </xdr:to>
    <xdr:cxnSp macro="">
      <xdr:nvCxnSpPr>
        <xdr:cNvPr id="1199" name="Straight Arrow Connector 1198">
          <a:extLst>
            <a:ext uri="{FF2B5EF4-FFF2-40B4-BE49-F238E27FC236}">
              <a16:creationId xmlns:a16="http://schemas.microsoft.com/office/drawing/2014/main" id="{00000000-0008-0000-1200-0000AF040000}"/>
            </a:ext>
          </a:extLst>
        </xdr:cNvPr>
        <xdr:cNvCxnSpPr/>
      </xdr:nvCxnSpPr>
      <xdr:spPr>
        <a:xfrm flipV="1">
          <a:off x="6381750"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1259</xdr:row>
      <xdr:rowOff>0</xdr:rowOff>
    </xdr:from>
    <xdr:to>
      <xdr:col>9</xdr:col>
      <xdr:colOff>582083</xdr:colOff>
      <xdr:row>1267</xdr:row>
      <xdr:rowOff>10583</xdr:rowOff>
    </xdr:to>
    <xdr:cxnSp macro="">
      <xdr:nvCxnSpPr>
        <xdr:cNvPr id="1200" name="Straight Arrow Connector 1199">
          <a:extLst>
            <a:ext uri="{FF2B5EF4-FFF2-40B4-BE49-F238E27FC236}">
              <a16:creationId xmlns:a16="http://schemas.microsoft.com/office/drawing/2014/main" id="{00000000-0008-0000-1200-0000B0040000}"/>
            </a:ext>
          </a:extLst>
        </xdr:cNvPr>
        <xdr:cNvCxnSpPr/>
      </xdr:nvCxnSpPr>
      <xdr:spPr>
        <a:xfrm>
          <a:off x="6413500"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1264</xdr:row>
      <xdr:rowOff>169333</xdr:rowOff>
    </xdr:from>
    <xdr:to>
      <xdr:col>11</xdr:col>
      <xdr:colOff>603250</xdr:colOff>
      <xdr:row>1267</xdr:row>
      <xdr:rowOff>21167</xdr:rowOff>
    </xdr:to>
    <xdr:cxnSp macro="">
      <xdr:nvCxnSpPr>
        <xdr:cNvPr id="1201" name="Straight Arrow Connector 1200">
          <a:extLst>
            <a:ext uri="{FF2B5EF4-FFF2-40B4-BE49-F238E27FC236}">
              <a16:creationId xmlns:a16="http://schemas.microsoft.com/office/drawing/2014/main" id="{00000000-0008-0000-1200-0000B1040000}"/>
            </a:ext>
          </a:extLst>
        </xdr:cNvPr>
        <xdr:cNvCxnSpPr/>
      </xdr:nvCxnSpPr>
      <xdr:spPr>
        <a:xfrm flipV="1">
          <a:off x="7609417"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1270</xdr:row>
      <xdr:rowOff>42333</xdr:rowOff>
    </xdr:from>
    <xdr:to>
      <xdr:col>11</xdr:col>
      <xdr:colOff>603250</xdr:colOff>
      <xdr:row>1282</xdr:row>
      <xdr:rowOff>10583</xdr:rowOff>
    </xdr:to>
    <xdr:cxnSp macro="">
      <xdr:nvCxnSpPr>
        <xdr:cNvPr id="1202" name="Straight Arrow Connector 1201">
          <a:extLst>
            <a:ext uri="{FF2B5EF4-FFF2-40B4-BE49-F238E27FC236}">
              <a16:creationId xmlns:a16="http://schemas.microsoft.com/office/drawing/2014/main" id="{00000000-0008-0000-1200-0000B2040000}"/>
            </a:ext>
          </a:extLst>
        </xdr:cNvPr>
        <xdr:cNvCxnSpPr/>
      </xdr:nvCxnSpPr>
      <xdr:spPr>
        <a:xfrm>
          <a:off x="7598834"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1260</xdr:row>
      <xdr:rowOff>21167</xdr:rowOff>
    </xdr:from>
    <xdr:to>
      <xdr:col>13</xdr:col>
      <xdr:colOff>592667</xdr:colOff>
      <xdr:row>1262</xdr:row>
      <xdr:rowOff>0</xdr:rowOff>
    </xdr:to>
    <xdr:cxnSp macro="">
      <xdr:nvCxnSpPr>
        <xdr:cNvPr id="1203" name="Straight Arrow Connector 1202">
          <a:extLst>
            <a:ext uri="{FF2B5EF4-FFF2-40B4-BE49-F238E27FC236}">
              <a16:creationId xmlns:a16="http://schemas.microsoft.com/office/drawing/2014/main" id="{00000000-0008-0000-1200-0000B3040000}"/>
            </a:ext>
          </a:extLst>
        </xdr:cNvPr>
        <xdr:cNvCxnSpPr/>
      </xdr:nvCxnSpPr>
      <xdr:spPr>
        <a:xfrm flipV="1">
          <a:off x="8794750" y="68410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1265</xdr:row>
      <xdr:rowOff>21166</xdr:rowOff>
    </xdr:from>
    <xdr:to>
      <xdr:col>13</xdr:col>
      <xdr:colOff>592667</xdr:colOff>
      <xdr:row>1266</xdr:row>
      <xdr:rowOff>169334</xdr:rowOff>
    </xdr:to>
    <xdr:cxnSp macro="">
      <xdr:nvCxnSpPr>
        <xdr:cNvPr id="1204" name="Straight Arrow Connector 1203">
          <a:extLst>
            <a:ext uri="{FF2B5EF4-FFF2-40B4-BE49-F238E27FC236}">
              <a16:creationId xmlns:a16="http://schemas.microsoft.com/office/drawing/2014/main" id="{00000000-0008-0000-1200-0000B4040000}"/>
            </a:ext>
          </a:extLst>
        </xdr:cNvPr>
        <xdr:cNvCxnSpPr/>
      </xdr:nvCxnSpPr>
      <xdr:spPr>
        <a:xfrm>
          <a:off x="8784166" y="69363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1280</xdr:row>
      <xdr:rowOff>21167</xdr:rowOff>
    </xdr:from>
    <xdr:to>
      <xdr:col>13</xdr:col>
      <xdr:colOff>592667</xdr:colOff>
      <xdr:row>1282</xdr:row>
      <xdr:rowOff>63500</xdr:rowOff>
    </xdr:to>
    <xdr:cxnSp macro="">
      <xdr:nvCxnSpPr>
        <xdr:cNvPr id="1205" name="Straight Arrow Connector 1204">
          <a:extLst>
            <a:ext uri="{FF2B5EF4-FFF2-40B4-BE49-F238E27FC236}">
              <a16:creationId xmlns:a16="http://schemas.microsoft.com/office/drawing/2014/main" id="{00000000-0008-0000-1200-0000B5040000}"/>
            </a:ext>
          </a:extLst>
        </xdr:cNvPr>
        <xdr:cNvCxnSpPr/>
      </xdr:nvCxnSpPr>
      <xdr:spPr>
        <a:xfrm flipV="1">
          <a:off x="879475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1285</xdr:row>
      <xdr:rowOff>0</xdr:rowOff>
    </xdr:from>
    <xdr:to>
      <xdr:col>14</xdr:col>
      <xdr:colOff>10584</xdr:colOff>
      <xdr:row>1293</xdr:row>
      <xdr:rowOff>148167</xdr:rowOff>
    </xdr:to>
    <xdr:cxnSp macro="">
      <xdr:nvCxnSpPr>
        <xdr:cNvPr id="1206" name="Straight Arrow Connector 1205">
          <a:extLst>
            <a:ext uri="{FF2B5EF4-FFF2-40B4-BE49-F238E27FC236}">
              <a16:creationId xmlns:a16="http://schemas.microsoft.com/office/drawing/2014/main" id="{00000000-0008-0000-1200-0000B6040000}"/>
            </a:ext>
          </a:extLst>
        </xdr:cNvPr>
        <xdr:cNvCxnSpPr/>
      </xdr:nvCxnSpPr>
      <xdr:spPr>
        <a:xfrm>
          <a:off x="8805333" y="73342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1252</xdr:row>
      <xdr:rowOff>0</xdr:rowOff>
    </xdr:from>
    <xdr:to>
      <xdr:col>15</xdr:col>
      <xdr:colOff>603250</xdr:colOff>
      <xdr:row>1257</xdr:row>
      <xdr:rowOff>31750</xdr:rowOff>
    </xdr:to>
    <xdr:cxnSp macro="">
      <xdr:nvCxnSpPr>
        <xdr:cNvPr id="1207" name="Straight Arrow Connector 1206">
          <a:extLst>
            <a:ext uri="{FF2B5EF4-FFF2-40B4-BE49-F238E27FC236}">
              <a16:creationId xmlns:a16="http://schemas.microsoft.com/office/drawing/2014/main" id="{00000000-0008-0000-1200-0000B7040000}"/>
            </a:ext>
          </a:extLst>
        </xdr:cNvPr>
        <xdr:cNvCxnSpPr/>
      </xdr:nvCxnSpPr>
      <xdr:spPr>
        <a:xfrm flipV="1">
          <a:off x="10541000"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1255</xdr:row>
      <xdr:rowOff>52917</xdr:rowOff>
    </xdr:from>
    <xdr:to>
      <xdr:col>15</xdr:col>
      <xdr:colOff>603250</xdr:colOff>
      <xdr:row>1257</xdr:row>
      <xdr:rowOff>95250</xdr:rowOff>
    </xdr:to>
    <xdr:cxnSp macro="">
      <xdr:nvCxnSpPr>
        <xdr:cNvPr id="1208" name="Straight Arrow Connector 1207">
          <a:extLst>
            <a:ext uri="{FF2B5EF4-FFF2-40B4-BE49-F238E27FC236}">
              <a16:creationId xmlns:a16="http://schemas.microsoft.com/office/drawing/2014/main" id="{00000000-0008-0000-1200-0000B8040000}"/>
            </a:ext>
          </a:extLst>
        </xdr:cNvPr>
        <xdr:cNvCxnSpPr/>
      </xdr:nvCxnSpPr>
      <xdr:spPr>
        <a:xfrm flipV="1">
          <a:off x="10583333"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1257</xdr:row>
      <xdr:rowOff>158750</xdr:rowOff>
    </xdr:from>
    <xdr:to>
      <xdr:col>15</xdr:col>
      <xdr:colOff>582083</xdr:colOff>
      <xdr:row>1258</xdr:row>
      <xdr:rowOff>137583</xdr:rowOff>
    </xdr:to>
    <xdr:cxnSp macro="">
      <xdr:nvCxnSpPr>
        <xdr:cNvPr id="1209" name="Straight Arrow Connector 1208">
          <a:extLst>
            <a:ext uri="{FF2B5EF4-FFF2-40B4-BE49-F238E27FC236}">
              <a16:creationId xmlns:a16="http://schemas.microsoft.com/office/drawing/2014/main" id="{00000000-0008-0000-1200-0000B9040000}"/>
            </a:ext>
          </a:extLst>
        </xdr:cNvPr>
        <xdr:cNvCxnSpPr/>
      </xdr:nvCxnSpPr>
      <xdr:spPr>
        <a:xfrm>
          <a:off x="10604500"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1257</xdr:row>
      <xdr:rowOff>105834</xdr:rowOff>
    </xdr:from>
    <xdr:to>
      <xdr:col>16</xdr:col>
      <xdr:colOff>0</xdr:colOff>
      <xdr:row>1261</xdr:row>
      <xdr:rowOff>84667</xdr:rowOff>
    </xdr:to>
    <xdr:cxnSp macro="">
      <xdr:nvCxnSpPr>
        <xdr:cNvPr id="1210" name="Straight Arrow Connector 1209">
          <a:extLst>
            <a:ext uri="{FF2B5EF4-FFF2-40B4-BE49-F238E27FC236}">
              <a16:creationId xmlns:a16="http://schemas.microsoft.com/office/drawing/2014/main" id="{00000000-0008-0000-1200-0000BA040000}"/>
            </a:ext>
          </a:extLst>
        </xdr:cNvPr>
        <xdr:cNvCxnSpPr/>
      </xdr:nvCxnSpPr>
      <xdr:spPr>
        <a:xfrm>
          <a:off x="10519834" y="67923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1265</xdr:row>
      <xdr:rowOff>52916</xdr:rowOff>
    </xdr:from>
    <xdr:to>
      <xdr:col>16</xdr:col>
      <xdr:colOff>0</xdr:colOff>
      <xdr:row>1267</xdr:row>
      <xdr:rowOff>0</xdr:rowOff>
    </xdr:to>
    <xdr:cxnSp macro="">
      <xdr:nvCxnSpPr>
        <xdr:cNvPr id="1211" name="Straight Arrow Connector 1210">
          <a:extLst>
            <a:ext uri="{FF2B5EF4-FFF2-40B4-BE49-F238E27FC236}">
              <a16:creationId xmlns:a16="http://schemas.microsoft.com/office/drawing/2014/main" id="{00000000-0008-0000-1200-0000BB040000}"/>
            </a:ext>
          </a:extLst>
        </xdr:cNvPr>
        <xdr:cNvCxnSpPr/>
      </xdr:nvCxnSpPr>
      <xdr:spPr>
        <a:xfrm flipV="1">
          <a:off x="10541000" y="69394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1267</xdr:row>
      <xdr:rowOff>21167</xdr:rowOff>
    </xdr:from>
    <xdr:to>
      <xdr:col>15</xdr:col>
      <xdr:colOff>582083</xdr:colOff>
      <xdr:row>1268</xdr:row>
      <xdr:rowOff>42333</xdr:rowOff>
    </xdr:to>
    <xdr:cxnSp macro="">
      <xdr:nvCxnSpPr>
        <xdr:cNvPr id="1212" name="Straight Arrow Connector 1211">
          <a:extLst>
            <a:ext uri="{FF2B5EF4-FFF2-40B4-BE49-F238E27FC236}">
              <a16:creationId xmlns:a16="http://schemas.microsoft.com/office/drawing/2014/main" id="{00000000-0008-0000-1200-0000BC040000}"/>
            </a:ext>
          </a:extLst>
        </xdr:cNvPr>
        <xdr:cNvCxnSpPr/>
      </xdr:nvCxnSpPr>
      <xdr:spPr>
        <a:xfrm>
          <a:off x="10551583"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1267</xdr:row>
      <xdr:rowOff>21167</xdr:rowOff>
    </xdr:from>
    <xdr:to>
      <xdr:col>16</xdr:col>
      <xdr:colOff>42333</xdr:colOff>
      <xdr:row>1272</xdr:row>
      <xdr:rowOff>21168</xdr:rowOff>
    </xdr:to>
    <xdr:cxnSp macro="">
      <xdr:nvCxnSpPr>
        <xdr:cNvPr id="1213" name="Straight Arrow Connector 1212">
          <a:extLst>
            <a:ext uri="{FF2B5EF4-FFF2-40B4-BE49-F238E27FC236}">
              <a16:creationId xmlns:a16="http://schemas.microsoft.com/office/drawing/2014/main" id="{00000000-0008-0000-1200-0000BD040000}"/>
            </a:ext>
          </a:extLst>
        </xdr:cNvPr>
        <xdr:cNvCxnSpPr/>
      </xdr:nvCxnSpPr>
      <xdr:spPr>
        <a:xfrm>
          <a:off x="10530417" y="69744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1214" name="Straight Arrow Connector 1213">
          <a:extLst>
            <a:ext uri="{FF2B5EF4-FFF2-40B4-BE49-F238E27FC236}">
              <a16:creationId xmlns:a16="http://schemas.microsoft.com/office/drawing/2014/main" id="{00000000-0008-0000-1200-0000BE040000}"/>
            </a:ext>
          </a:extLst>
        </xdr:cNvPr>
        <xdr:cNvCxnSpPr/>
      </xdr:nvCxnSpPr>
      <xdr:spPr>
        <a:xfrm>
          <a:off x="10541000" y="69754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1304</xdr:row>
      <xdr:rowOff>42333</xdr:rowOff>
    </xdr:from>
    <xdr:to>
      <xdr:col>9</xdr:col>
      <xdr:colOff>592666</xdr:colOff>
      <xdr:row>1312</xdr:row>
      <xdr:rowOff>42333</xdr:rowOff>
    </xdr:to>
    <xdr:cxnSp macro="">
      <xdr:nvCxnSpPr>
        <xdr:cNvPr id="1215" name="Straight Arrow Connector 1214">
          <a:extLst>
            <a:ext uri="{FF2B5EF4-FFF2-40B4-BE49-F238E27FC236}">
              <a16:creationId xmlns:a16="http://schemas.microsoft.com/office/drawing/2014/main" id="{00000000-0008-0000-1200-0000BF040000}"/>
            </a:ext>
          </a:extLst>
        </xdr:cNvPr>
        <xdr:cNvCxnSpPr/>
      </xdr:nvCxnSpPr>
      <xdr:spPr>
        <a:xfrm flipV="1">
          <a:off x="6392333"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1314</xdr:row>
      <xdr:rowOff>169334</xdr:rowOff>
    </xdr:from>
    <xdr:to>
      <xdr:col>9</xdr:col>
      <xdr:colOff>603250</xdr:colOff>
      <xdr:row>1323</xdr:row>
      <xdr:rowOff>31750</xdr:rowOff>
    </xdr:to>
    <xdr:cxnSp macro="">
      <xdr:nvCxnSpPr>
        <xdr:cNvPr id="1216" name="Straight Arrow Connector 1215">
          <a:extLst>
            <a:ext uri="{FF2B5EF4-FFF2-40B4-BE49-F238E27FC236}">
              <a16:creationId xmlns:a16="http://schemas.microsoft.com/office/drawing/2014/main" id="{00000000-0008-0000-1200-0000C0040000}"/>
            </a:ext>
          </a:extLst>
        </xdr:cNvPr>
        <xdr:cNvCxnSpPr/>
      </xdr:nvCxnSpPr>
      <xdr:spPr>
        <a:xfrm>
          <a:off x="6413500"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1320</xdr:row>
      <xdr:rowOff>158750</xdr:rowOff>
    </xdr:from>
    <xdr:to>
      <xdr:col>11</xdr:col>
      <xdr:colOff>571500</xdr:colOff>
      <xdr:row>1323</xdr:row>
      <xdr:rowOff>0</xdr:rowOff>
    </xdr:to>
    <xdr:cxnSp macro="">
      <xdr:nvCxnSpPr>
        <xdr:cNvPr id="1217" name="Straight Arrow Connector 1216">
          <a:extLst>
            <a:ext uri="{FF2B5EF4-FFF2-40B4-BE49-F238E27FC236}">
              <a16:creationId xmlns:a16="http://schemas.microsoft.com/office/drawing/2014/main" id="{00000000-0008-0000-1200-0000C1040000}"/>
            </a:ext>
          </a:extLst>
        </xdr:cNvPr>
        <xdr:cNvCxnSpPr/>
      </xdr:nvCxnSpPr>
      <xdr:spPr>
        <a:xfrm flipV="1">
          <a:off x="7556500" y="80168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1278</xdr:row>
      <xdr:rowOff>0</xdr:rowOff>
    </xdr:from>
    <xdr:to>
      <xdr:col>15</xdr:col>
      <xdr:colOff>603250</xdr:colOff>
      <xdr:row>1280</xdr:row>
      <xdr:rowOff>1</xdr:rowOff>
    </xdr:to>
    <xdr:cxnSp macro="">
      <xdr:nvCxnSpPr>
        <xdr:cNvPr id="1218" name="Straight Arrow Connector 1217">
          <a:extLst>
            <a:ext uri="{FF2B5EF4-FFF2-40B4-BE49-F238E27FC236}">
              <a16:creationId xmlns:a16="http://schemas.microsoft.com/office/drawing/2014/main" id="{00000000-0008-0000-1200-0000C2040000}"/>
            </a:ext>
          </a:extLst>
        </xdr:cNvPr>
        <xdr:cNvCxnSpPr/>
      </xdr:nvCxnSpPr>
      <xdr:spPr>
        <a:xfrm flipV="1">
          <a:off x="10530417"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1280</xdr:row>
      <xdr:rowOff>10584</xdr:rowOff>
    </xdr:from>
    <xdr:to>
      <xdr:col>15</xdr:col>
      <xdr:colOff>592666</xdr:colOff>
      <xdr:row>1281</xdr:row>
      <xdr:rowOff>95250</xdr:rowOff>
    </xdr:to>
    <xdr:cxnSp macro="">
      <xdr:nvCxnSpPr>
        <xdr:cNvPr id="1219" name="Straight Arrow Connector 1218">
          <a:extLst>
            <a:ext uri="{FF2B5EF4-FFF2-40B4-BE49-F238E27FC236}">
              <a16:creationId xmlns:a16="http://schemas.microsoft.com/office/drawing/2014/main" id="{00000000-0008-0000-1200-0000C3040000}"/>
            </a:ext>
          </a:extLst>
        </xdr:cNvPr>
        <xdr:cNvCxnSpPr/>
      </xdr:nvCxnSpPr>
      <xdr:spPr>
        <a:xfrm>
          <a:off x="10572750"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1280</xdr:row>
      <xdr:rowOff>10584</xdr:rowOff>
    </xdr:from>
    <xdr:to>
      <xdr:col>15</xdr:col>
      <xdr:colOff>560916</xdr:colOff>
      <xdr:row>1284</xdr:row>
      <xdr:rowOff>52917</xdr:rowOff>
    </xdr:to>
    <xdr:cxnSp macro="">
      <xdr:nvCxnSpPr>
        <xdr:cNvPr id="1220" name="Straight Arrow Connector 1219">
          <a:extLst>
            <a:ext uri="{FF2B5EF4-FFF2-40B4-BE49-F238E27FC236}">
              <a16:creationId xmlns:a16="http://schemas.microsoft.com/office/drawing/2014/main" id="{00000000-0008-0000-1200-0000C4040000}"/>
            </a:ext>
          </a:extLst>
        </xdr:cNvPr>
        <xdr:cNvCxnSpPr/>
      </xdr:nvCxnSpPr>
      <xdr:spPr>
        <a:xfrm>
          <a:off x="10551583"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1221" name="Straight Arrow Connector 1220">
          <a:extLst>
            <a:ext uri="{FF2B5EF4-FFF2-40B4-BE49-F238E27FC236}">
              <a16:creationId xmlns:a16="http://schemas.microsoft.com/office/drawing/2014/main" id="{00000000-0008-0000-1200-0000C5040000}"/>
            </a:ext>
          </a:extLst>
        </xdr:cNvPr>
        <xdr:cNvCxnSpPr/>
      </xdr:nvCxnSpPr>
      <xdr:spPr>
        <a:xfrm>
          <a:off x="10583333" y="72421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1294</xdr:row>
      <xdr:rowOff>0</xdr:rowOff>
    </xdr:from>
    <xdr:to>
      <xdr:col>16</xdr:col>
      <xdr:colOff>0</xdr:colOff>
      <xdr:row>1294</xdr:row>
      <xdr:rowOff>42334</xdr:rowOff>
    </xdr:to>
    <xdr:cxnSp macro="">
      <xdr:nvCxnSpPr>
        <xdr:cNvPr id="1222" name="Straight Arrow Connector 1221">
          <a:extLst>
            <a:ext uri="{FF2B5EF4-FFF2-40B4-BE49-F238E27FC236}">
              <a16:creationId xmlns:a16="http://schemas.microsoft.com/office/drawing/2014/main" id="{00000000-0008-0000-1200-0000C6040000}"/>
            </a:ext>
          </a:extLst>
        </xdr:cNvPr>
        <xdr:cNvCxnSpPr/>
      </xdr:nvCxnSpPr>
      <xdr:spPr>
        <a:xfrm>
          <a:off x="10562166" y="75057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1294</xdr:row>
      <xdr:rowOff>21166</xdr:rowOff>
    </xdr:from>
    <xdr:to>
      <xdr:col>15</xdr:col>
      <xdr:colOff>560916</xdr:colOff>
      <xdr:row>1297</xdr:row>
      <xdr:rowOff>84667</xdr:rowOff>
    </xdr:to>
    <xdr:cxnSp macro="">
      <xdr:nvCxnSpPr>
        <xdr:cNvPr id="1223" name="Straight Arrow Connector 1222">
          <a:extLst>
            <a:ext uri="{FF2B5EF4-FFF2-40B4-BE49-F238E27FC236}">
              <a16:creationId xmlns:a16="http://schemas.microsoft.com/office/drawing/2014/main" id="{00000000-0008-0000-1200-0000C7040000}"/>
            </a:ext>
          </a:extLst>
        </xdr:cNvPr>
        <xdr:cNvCxnSpPr/>
      </xdr:nvCxnSpPr>
      <xdr:spPr>
        <a:xfrm>
          <a:off x="10615083"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1294</xdr:row>
      <xdr:rowOff>52916</xdr:rowOff>
    </xdr:from>
    <xdr:to>
      <xdr:col>15</xdr:col>
      <xdr:colOff>592666</xdr:colOff>
      <xdr:row>1300</xdr:row>
      <xdr:rowOff>63501</xdr:rowOff>
    </xdr:to>
    <xdr:cxnSp macro="">
      <xdr:nvCxnSpPr>
        <xdr:cNvPr id="1224" name="Straight Arrow Connector 1223">
          <a:extLst>
            <a:ext uri="{FF2B5EF4-FFF2-40B4-BE49-F238E27FC236}">
              <a16:creationId xmlns:a16="http://schemas.microsoft.com/office/drawing/2014/main" id="{00000000-0008-0000-1200-0000C8040000}"/>
            </a:ext>
          </a:extLst>
        </xdr:cNvPr>
        <xdr:cNvCxnSpPr/>
      </xdr:nvCxnSpPr>
      <xdr:spPr>
        <a:xfrm>
          <a:off x="10572750"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1308</xdr:row>
      <xdr:rowOff>116416</xdr:rowOff>
    </xdr:from>
    <xdr:to>
      <xdr:col>15</xdr:col>
      <xdr:colOff>592666</xdr:colOff>
      <xdr:row>1311</xdr:row>
      <xdr:rowOff>158750</xdr:rowOff>
    </xdr:to>
    <xdr:cxnSp macro="">
      <xdr:nvCxnSpPr>
        <xdr:cNvPr id="1225" name="Straight Arrow Connector 1224">
          <a:extLst>
            <a:ext uri="{FF2B5EF4-FFF2-40B4-BE49-F238E27FC236}">
              <a16:creationId xmlns:a16="http://schemas.microsoft.com/office/drawing/2014/main" id="{00000000-0008-0000-1200-0000C9040000}"/>
            </a:ext>
          </a:extLst>
        </xdr:cNvPr>
        <xdr:cNvCxnSpPr/>
      </xdr:nvCxnSpPr>
      <xdr:spPr>
        <a:xfrm flipV="1">
          <a:off x="10562166"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1310</xdr:row>
      <xdr:rowOff>95250</xdr:rowOff>
    </xdr:from>
    <xdr:to>
      <xdr:col>15</xdr:col>
      <xdr:colOff>582083</xdr:colOff>
      <xdr:row>1312</xdr:row>
      <xdr:rowOff>52917</xdr:rowOff>
    </xdr:to>
    <xdr:cxnSp macro="">
      <xdr:nvCxnSpPr>
        <xdr:cNvPr id="1226" name="Straight Arrow Connector 1225">
          <a:extLst>
            <a:ext uri="{FF2B5EF4-FFF2-40B4-BE49-F238E27FC236}">
              <a16:creationId xmlns:a16="http://schemas.microsoft.com/office/drawing/2014/main" id="{00000000-0008-0000-1200-0000CA040000}"/>
            </a:ext>
          </a:extLst>
        </xdr:cNvPr>
        <xdr:cNvCxnSpPr/>
      </xdr:nvCxnSpPr>
      <xdr:spPr>
        <a:xfrm flipV="1">
          <a:off x="10604500"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116417</xdr:rowOff>
    </xdr:from>
    <xdr:to>
      <xdr:col>15</xdr:col>
      <xdr:colOff>592666</xdr:colOff>
      <xdr:row>1316</xdr:row>
      <xdr:rowOff>95250</xdr:rowOff>
    </xdr:to>
    <xdr:cxnSp macro="">
      <xdr:nvCxnSpPr>
        <xdr:cNvPr id="1227" name="Straight Arrow Connector 1226">
          <a:extLst>
            <a:ext uri="{FF2B5EF4-FFF2-40B4-BE49-F238E27FC236}">
              <a16:creationId xmlns:a16="http://schemas.microsoft.com/office/drawing/2014/main" id="{00000000-0008-0000-1200-0000CB040000}"/>
            </a:ext>
          </a:extLst>
        </xdr:cNvPr>
        <xdr:cNvCxnSpPr/>
      </xdr:nvCxnSpPr>
      <xdr:spPr>
        <a:xfrm>
          <a:off x="10593916"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1323</xdr:row>
      <xdr:rowOff>116416</xdr:rowOff>
    </xdr:from>
    <xdr:to>
      <xdr:col>16</xdr:col>
      <xdr:colOff>0</xdr:colOff>
      <xdr:row>1330</xdr:row>
      <xdr:rowOff>74084</xdr:rowOff>
    </xdr:to>
    <xdr:cxnSp macro="">
      <xdr:nvCxnSpPr>
        <xdr:cNvPr id="1228" name="Straight Arrow Connector 1227">
          <a:extLst>
            <a:ext uri="{FF2B5EF4-FFF2-40B4-BE49-F238E27FC236}">
              <a16:creationId xmlns:a16="http://schemas.microsoft.com/office/drawing/2014/main" id="{00000000-0008-0000-1200-0000CC040000}"/>
            </a:ext>
          </a:extLst>
        </xdr:cNvPr>
        <xdr:cNvCxnSpPr/>
      </xdr:nvCxnSpPr>
      <xdr:spPr>
        <a:xfrm>
          <a:off x="10572750" y="80697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1291</xdr:row>
      <xdr:rowOff>52917</xdr:rowOff>
    </xdr:from>
    <xdr:to>
      <xdr:col>15</xdr:col>
      <xdr:colOff>603250</xdr:colOff>
      <xdr:row>1293</xdr:row>
      <xdr:rowOff>148167</xdr:rowOff>
    </xdr:to>
    <xdr:cxnSp macro="">
      <xdr:nvCxnSpPr>
        <xdr:cNvPr id="1229" name="Straight Arrow Connector 1228">
          <a:extLst>
            <a:ext uri="{FF2B5EF4-FFF2-40B4-BE49-F238E27FC236}">
              <a16:creationId xmlns:a16="http://schemas.microsoft.com/office/drawing/2014/main" id="{00000000-0008-0000-1200-0000CD040000}"/>
            </a:ext>
          </a:extLst>
        </xdr:cNvPr>
        <xdr:cNvCxnSpPr/>
      </xdr:nvCxnSpPr>
      <xdr:spPr>
        <a:xfrm flipV="1">
          <a:off x="10583333"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1326</xdr:row>
      <xdr:rowOff>42333</xdr:rowOff>
    </xdr:from>
    <xdr:to>
      <xdr:col>11</xdr:col>
      <xdr:colOff>603250</xdr:colOff>
      <xdr:row>1338</xdr:row>
      <xdr:rowOff>10583</xdr:rowOff>
    </xdr:to>
    <xdr:cxnSp macro="">
      <xdr:nvCxnSpPr>
        <xdr:cNvPr id="1230" name="Straight Arrow Connector 1229">
          <a:extLst>
            <a:ext uri="{FF2B5EF4-FFF2-40B4-BE49-F238E27FC236}">
              <a16:creationId xmlns:a16="http://schemas.microsoft.com/office/drawing/2014/main" id="{00000000-0008-0000-1200-0000CE040000}"/>
            </a:ext>
          </a:extLst>
        </xdr:cNvPr>
        <xdr:cNvCxnSpPr/>
      </xdr:nvCxnSpPr>
      <xdr:spPr>
        <a:xfrm>
          <a:off x="7598834"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1316</xdr:row>
      <xdr:rowOff>21167</xdr:rowOff>
    </xdr:from>
    <xdr:to>
      <xdr:col>13</xdr:col>
      <xdr:colOff>592667</xdr:colOff>
      <xdr:row>1318</xdr:row>
      <xdr:rowOff>0</xdr:rowOff>
    </xdr:to>
    <xdr:cxnSp macro="">
      <xdr:nvCxnSpPr>
        <xdr:cNvPr id="1231" name="Straight Arrow Connector 1230">
          <a:extLst>
            <a:ext uri="{FF2B5EF4-FFF2-40B4-BE49-F238E27FC236}">
              <a16:creationId xmlns:a16="http://schemas.microsoft.com/office/drawing/2014/main" id="{00000000-0008-0000-1200-0000CF040000}"/>
            </a:ext>
          </a:extLst>
        </xdr:cNvPr>
        <xdr:cNvCxnSpPr/>
      </xdr:nvCxnSpPr>
      <xdr:spPr>
        <a:xfrm flipV="1">
          <a:off x="8794750" y="7926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1321</xdr:row>
      <xdr:rowOff>21166</xdr:rowOff>
    </xdr:from>
    <xdr:to>
      <xdr:col>13</xdr:col>
      <xdr:colOff>592667</xdr:colOff>
      <xdr:row>1322</xdr:row>
      <xdr:rowOff>169334</xdr:rowOff>
    </xdr:to>
    <xdr:cxnSp macro="">
      <xdr:nvCxnSpPr>
        <xdr:cNvPr id="1232" name="Straight Arrow Connector 1231">
          <a:extLst>
            <a:ext uri="{FF2B5EF4-FFF2-40B4-BE49-F238E27FC236}">
              <a16:creationId xmlns:a16="http://schemas.microsoft.com/office/drawing/2014/main" id="{00000000-0008-0000-1200-0000D0040000}"/>
            </a:ext>
          </a:extLst>
        </xdr:cNvPr>
        <xdr:cNvCxnSpPr/>
      </xdr:nvCxnSpPr>
      <xdr:spPr>
        <a:xfrm>
          <a:off x="8784166" y="8022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1336</xdr:row>
      <xdr:rowOff>21167</xdr:rowOff>
    </xdr:from>
    <xdr:to>
      <xdr:col>13</xdr:col>
      <xdr:colOff>592667</xdr:colOff>
      <xdr:row>1338</xdr:row>
      <xdr:rowOff>63500</xdr:rowOff>
    </xdr:to>
    <xdr:cxnSp macro="">
      <xdr:nvCxnSpPr>
        <xdr:cNvPr id="1233" name="Straight Arrow Connector 1232">
          <a:extLst>
            <a:ext uri="{FF2B5EF4-FFF2-40B4-BE49-F238E27FC236}">
              <a16:creationId xmlns:a16="http://schemas.microsoft.com/office/drawing/2014/main" id="{00000000-0008-0000-1200-0000D1040000}"/>
            </a:ext>
          </a:extLst>
        </xdr:cNvPr>
        <xdr:cNvCxnSpPr/>
      </xdr:nvCxnSpPr>
      <xdr:spPr>
        <a:xfrm flipV="1">
          <a:off x="879475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1341</xdr:row>
      <xdr:rowOff>0</xdr:rowOff>
    </xdr:from>
    <xdr:to>
      <xdr:col>14</xdr:col>
      <xdr:colOff>10584</xdr:colOff>
      <xdr:row>1349</xdr:row>
      <xdr:rowOff>148167</xdr:rowOff>
    </xdr:to>
    <xdr:cxnSp macro="">
      <xdr:nvCxnSpPr>
        <xdr:cNvPr id="1234" name="Straight Arrow Connector 1233">
          <a:extLst>
            <a:ext uri="{FF2B5EF4-FFF2-40B4-BE49-F238E27FC236}">
              <a16:creationId xmlns:a16="http://schemas.microsoft.com/office/drawing/2014/main" id="{00000000-0008-0000-1200-0000D2040000}"/>
            </a:ext>
          </a:extLst>
        </xdr:cNvPr>
        <xdr:cNvCxnSpPr/>
      </xdr:nvCxnSpPr>
      <xdr:spPr>
        <a:xfrm>
          <a:off x="8805333" y="8420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95250</xdr:rowOff>
    </xdr:from>
    <xdr:to>
      <xdr:col>15</xdr:col>
      <xdr:colOff>582083</xdr:colOff>
      <xdr:row>1314</xdr:row>
      <xdr:rowOff>137583</xdr:rowOff>
    </xdr:to>
    <xdr:cxnSp macro="">
      <xdr:nvCxnSpPr>
        <xdr:cNvPr id="1235" name="Straight Arrow Connector 1234">
          <a:extLst>
            <a:ext uri="{FF2B5EF4-FFF2-40B4-BE49-F238E27FC236}">
              <a16:creationId xmlns:a16="http://schemas.microsoft.com/office/drawing/2014/main" id="{00000000-0008-0000-1200-0000D3040000}"/>
            </a:ext>
          </a:extLst>
        </xdr:cNvPr>
        <xdr:cNvCxnSpPr/>
      </xdr:nvCxnSpPr>
      <xdr:spPr>
        <a:xfrm>
          <a:off x="10593916"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1321</xdr:row>
      <xdr:rowOff>52916</xdr:rowOff>
    </xdr:from>
    <xdr:to>
      <xdr:col>16</xdr:col>
      <xdr:colOff>0</xdr:colOff>
      <xdr:row>1323</xdr:row>
      <xdr:rowOff>0</xdr:rowOff>
    </xdr:to>
    <xdr:cxnSp macro="">
      <xdr:nvCxnSpPr>
        <xdr:cNvPr id="1236" name="Straight Arrow Connector 1235">
          <a:extLst>
            <a:ext uri="{FF2B5EF4-FFF2-40B4-BE49-F238E27FC236}">
              <a16:creationId xmlns:a16="http://schemas.microsoft.com/office/drawing/2014/main" id="{00000000-0008-0000-1200-0000D4040000}"/>
            </a:ext>
          </a:extLst>
        </xdr:cNvPr>
        <xdr:cNvCxnSpPr/>
      </xdr:nvCxnSpPr>
      <xdr:spPr>
        <a:xfrm flipV="1">
          <a:off x="10541000" y="8025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21167</xdr:rowOff>
    </xdr:from>
    <xdr:to>
      <xdr:col>15</xdr:col>
      <xdr:colOff>592666</xdr:colOff>
      <xdr:row>1324</xdr:row>
      <xdr:rowOff>84667</xdr:rowOff>
    </xdr:to>
    <xdr:cxnSp macro="">
      <xdr:nvCxnSpPr>
        <xdr:cNvPr id="1237" name="Straight Arrow Connector 1236">
          <a:extLst>
            <a:ext uri="{FF2B5EF4-FFF2-40B4-BE49-F238E27FC236}">
              <a16:creationId xmlns:a16="http://schemas.microsoft.com/office/drawing/2014/main" id="{00000000-0008-0000-1200-0000D5040000}"/>
            </a:ext>
          </a:extLst>
        </xdr:cNvPr>
        <xdr:cNvCxnSpPr/>
      </xdr:nvCxnSpPr>
      <xdr:spPr>
        <a:xfrm>
          <a:off x="10530417"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0</xdr:rowOff>
    </xdr:from>
    <xdr:to>
      <xdr:col>16</xdr:col>
      <xdr:colOff>0</xdr:colOff>
      <xdr:row>1327</xdr:row>
      <xdr:rowOff>42334</xdr:rowOff>
    </xdr:to>
    <xdr:cxnSp macro="">
      <xdr:nvCxnSpPr>
        <xdr:cNvPr id="1238" name="Straight Arrow Connector 1237">
          <a:extLst>
            <a:ext uri="{FF2B5EF4-FFF2-40B4-BE49-F238E27FC236}">
              <a16:creationId xmlns:a16="http://schemas.microsoft.com/office/drawing/2014/main" id="{00000000-0008-0000-1200-0000D6040000}"/>
            </a:ext>
          </a:extLst>
        </xdr:cNvPr>
        <xdr:cNvCxnSpPr/>
      </xdr:nvCxnSpPr>
      <xdr:spPr>
        <a:xfrm>
          <a:off x="10530417" y="80581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1334</xdr:row>
      <xdr:rowOff>0</xdr:rowOff>
    </xdr:from>
    <xdr:to>
      <xdr:col>15</xdr:col>
      <xdr:colOff>603250</xdr:colOff>
      <xdr:row>1336</xdr:row>
      <xdr:rowOff>1</xdr:rowOff>
    </xdr:to>
    <xdr:cxnSp macro="">
      <xdr:nvCxnSpPr>
        <xdr:cNvPr id="1239" name="Straight Arrow Connector 1238">
          <a:extLst>
            <a:ext uri="{FF2B5EF4-FFF2-40B4-BE49-F238E27FC236}">
              <a16:creationId xmlns:a16="http://schemas.microsoft.com/office/drawing/2014/main" id="{00000000-0008-0000-1200-0000D7040000}"/>
            </a:ext>
          </a:extLst>
        </xdr:cNvPr>
        <xdr:cNvCxnSpPr/>
      </xdr:nvCxnSpPr>
      <xdr:spPr>
        <a:xfrm flipV="1">
          <a:off x="10530417"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1336</xdr:row>
      <xdr:rowOff>10584</xdr:rowOff>
    </xdr:from>
    <xdr:to>
      <xdr:col>15</xdr:col>
      <xdr:colOff>592666</xdr:colOff>
      <xdr:row>1337</xdr:row>
      <xdr:rowOff>95250</xdr:rowOff>
    </xdr:to>
    <xdr:cxnSp macro="">
      <xdr:nvCxnSpPr>
        <xdr:cNvPr id="1240" name="Straight Arrow Connector 1239">
          <a:extLst>
            <a:ext uri="{FF2B5EF4-FFF2-40B4-BE49-F238E27FC236}">
              <a16:creationId xmlns:a16="http://schemas.microsoft.com/office/drawing/2014/main" id="{00000000-0008-0000-1200-0000D8040000}"/>
            </a:ext>
          </a:extLst>
        </xdr:cNvPr>
        <xdr:cNvCxnSpPr/>
      </xdr:nvCxnSpPr>
      <xdr:spPr>
        <a:xfrm>
          <a:off x="10572750"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1336</xdr:row>
      <xdr:rowOff>10584</xdr:rowOff>
    </xdr:from>
    <xdr:to>
      <xdr:col>15</xdr:col>
      <xdr:colOff>560916</xdr:colOff>
      <xdr:row>1340</xdr:row>
      <xdr:rowOff>52917</xdr:rowOff>
    </xdr:to>
    <xdr:cxnSp macro="">
      <xdr:nvCxnSpPr>
        <xdr:cNvPr id="1241" name="Straight Arrow Connector 1240">
          <a:extLst>
            <a:ext uri="{FF2B5EF4-FFF2-40B4-BE49-F238E27FC236}">
              <a16:creationId xmlns:a16="http://schemas.microsoft.com/office/drawing/2014/main" id="{00000000-0008-0000-1200-0000D9040000}"/>
            </a:ext>
          </a:extLst>
        </xdr:cNvPr>
        <xdr:cNvCxnSpPr/>
      </xdr:nvCxnSpPr>
      <xdr:spPr>
        <a:xfrm>
          <a:off x="10551583"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1242" name="Straight Arrow Connector 1241">
          <a:extLst>
            <a:ext uri="{FF2B5EF4-FFF2-40B4-BE49-F238E27FC236}">
              <a16:creationId xmlns:a16="http://schemas.microsoft.com/office/drawing/2014/main" id="{00000000-0008-0000-1200-0000DA040000}"/>
            </a:ext>
          </a:extLst>
        </xdr:cNvPr>
        <xdr:cNvCxnSpPr/>
      </xdr:nvCxnSpPr>
      <xdr:spPr>
        <a:xfrm>
          <a:off x="10583333" y="8328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1350</xdr:row>
      <xdr:rowOff>0</xdr:rowOff>
    </xdr:from>
    <xdr:to>
      <xdr:col>16</xdr:col>
      <xdr:colOff>0</xdr:colOff>
      <xdr:row>1350</xdr:row>
      <xdr:rowOff>42334</xdr:rowOff>
    </xdr:to>
    <xdr:cxnSp macro="">
      <xdr:nvCxnSpPr>
        <xdr:cNvPr id="1243" name="Straight Arrow Connector 1242">
          <a:extLst>
            <a:ext uri="{FF2B5EF4-FFF2-40B4-BE49-F238E27FC236}">
              <a16:creationId xmlns:a16="http://schemas.microsoft.com/office/drawing/2014/main" id="{00000000-0008-0000-1200-0000DB040000}"/>
            </a:ext>
          </a:extLst>
        </xdr:cNvPr>
        <xdr:cNvCxnSpPr/>
      </xdr:nvCxnSpPr>
      <xdr:spPr>
        <a:xfrm>
          <a:off x="10562166" y="8591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1350</xdr:row>
      <xdr:rowOff>21166</xdr:rowOff>
    </xdr:from>
    <xdr:to>
      <xdr:col>15</xdr:col>
      <xdr:colOff>560916</xdr:colOff>
      <xdr:row>1353</xdr:row>
      <xdr:rowOff>84667</xdr:rowOff>
    </xdr:to>
    <xdr:cxnSp macro="">
      <xdr:nvCxnSpPr>
        <xdr:cNvPr id="1244" name="Straight Arrow Connector 1243">
          <a:extLst>
            <a:ext uri="{FF2B5EF4-FFF2-40B4-BE49-F238E27FC236}">
              <a16:creationId xmlns:a16="http://schemas.microsoft.com/office/drawing/2014/main" id="{00000000-0008-0000-1200-0000DC040000}"/>
            </a:ext>
          </a:extLst>
        </xdr:cNvPr>
        <xdr:cNvCxnSpPr/>
      </xdr:nvCxnSpPr>
      <xdr:spPr>
        <a:xfrm>
          <a:off x="10615083"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1350</xdr:row>
      <xdr:rowOff>52916</xdr:rowOff>
    </xdr:from>
    <xdr:to>
      <xdr:col>15</xdr:col>
      <xdr:colOff>592666</xdr:colOff>
      <xdr:row>1356</xdr:row>
      <xdr:rowOff>63501</xdr:rowOff>
    </xdr:to>
    <xdr:cxnSp macro="">
      <xdr:nvCxnSpPr>
        <xdr:cNvPr id="1245" name="Straight Arrow Connector 1244">
          <a:extLst>
            <a:ext uri="{FF2B5EF4-FFF2-40B4-BE49-F238E27FC236}">
              <a16:creationId xmlns:a16="http://schemas.microsoft.com/office/drawing/2014/main" id="{00000000-0008-0000-1200-0000DD040000}"/>
            </a:ext>
          </a:extLst>
        </xdr:cNvPr>
        <xdr:cNvCxnSpPr/>
      </xdr:nvCxnSpPr>
      <xdr:spPr>
        <a:xfrm>
          <a:off x="10572750"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1347</xdr:row>
      <xdr:rowOff>52917</xdr:rowOff>
    </xdr:from>
    <xdr:to>
      <xdr:col>15</xdr:col>
      <xdr:colOff>603250</xdr:colOff>
      <xdr:row>1349</xdr:row>
      <xdr:rowOff>148167</xdr:rowOff>
    </xdr:to>
    <xdr:cxnSp macro="">
      <xdr:nvCxnSpPr>
        <xdr:cNvPr id="1246" name="Straight Arrow Connector 1245">
          <a:extLst>
            <a:ext uri="{FF2B5EF4-FFF2-40B4-BE49-F238E27FC236}">
              <a16:creationId xmlns:a16="http://schemas.microsoft.com/office/drawing/2014/main" id="{00000000-0008-0000-1200-0000DE040000}"/>
            </a:ext>
          </a:extLst>
        </xdr:cNvPr>
        <xdr:cNvCxnSpPr/>
      </xdr:nvCxnSpPr>
      <xdr:spPr>
        <a:xfrm flipV="1">
          <a:off x="10583333"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1258</xdr:row>
      <xdr:rowOff>127000</xdr:rowOff>
    </xdr:from>
    <xdr:to>
      <xdr:col>8</xdr:col>
      <xdr:colOff>63500</xdr:colOff>
      <xdr:row>1277</xdr:row>
      <xdr:rowOff>0</xdr:rowOff>
    </xdr:to>
    <xdr:cxnSp macro="">
      <xdr:nvCxnSpPr>
        <xdr:cNvPr id="1247" name="Straight Arrow Connector 1246">
          <a:extLst>
            <a:ext uri="{FF2B5EF4-FFF2-40B4-BE49-F238E27FC236}">
              <a16:creationId xmlns:a16="http://schemas.microsoft.com/office/drawing/2014/main" id="{00000000-0008-0000-1200-0000DF040000}"/>
            </a:ext>
          </a:extLst>
        </xdr:cNvPr>
        <xdr:cNvCxnSpPr/>
      </xdr:nvCxnSpPr>
      <xdr:spPr>
        <a:xfrm flipV="1">
          <a:off x="5207000" y="68135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1248" name="Straight Arrow Connector 1247">
          <a:extLst>
            <a:ext uri="{FF2B5EF4-FFF2-40B4-BE49-F238E27FC236}">
              <a16:creationId xmlns:a16="http://schemas.microsoft.com/office/drawing/2014/main" id="{00000000-0008-0000-1200-0000E0040000}"/>
            </a:ext>
          </a:extLst>
        </xdr:cNvPr>
        <xdr:cNvCxnSpPr/>
      </xdr:nvCxnSpPr>
      <xdr:spPr>
        <a:xfrm flipV="1">
          <a:off x="603250" y="884025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1249" name="Straight Arrow Connector 1248">
          <a:extLst>
            <a:ext uri="{FF2B5EF4-FFF2-40B4-BE49-F238E27FC236}">
              <a16:creationId xmlns:a16="http://schemas.microsoft.com/office/drawing/2014/main" id="{00000000-0008-0000-1200-0000E1040000}"/>
            </a:ext>
          </a:extLst>
        </xdr:cNvPr>
        <xdr:cNvCxnSpPr/>
      </xdr:nvCxnSpPr>
      <xdr:spPr>
        <a:xfrm>
          <a:off x="603250" y="1072303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1250" name="Straight Arrow Connector 1249">
          <a:extLst>
            <a:ext uri="{FF2B5EF4-FFF2-40B4-BE49-F238E27FC236}">
              <a16:creationId xmlns:a16="http://schemas.microsoft.com/office/drawing/2014/main" id="{00000000-0008-0000-1200-0000E2040000}"/>
            </a:ext>
          </a:extLst>
        </xdr:cNvPr>
        <xdr:cNvCxnSpPr/>
      </xdr:nvCxnSpPr>
      <xdr:spPr>
        <a:xfrm flipV="1">
          <a:off x="2296584" y="1024572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1251" name="Straight Arrow Connector 1250">
          <a:extLst>
            <a:ext uri="{FF2B5EF4-FFF2-40B4-BE49-F238E27FC236}">
              <a16:creationId xmlns:a16="http://schemas.microsoft.com/office/drawing/2014/main" id="{00000000-0008-0000-1200-0000E3040000}"/>
            </a:ext>
          </a:extLst>
        </xdr:cNvPr>
        <xdr:cNvCxnSpPr/>
      </xdr:nvCxnSpPr>
      <xdr:spPr>
        <a:xfrm>
          <a:off x="2307167" y="1158345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1252" name="Straight Arrow Connector 1251">
          <a:extLst>
            <a:ext uri="{FF2B5EF4-FFF2-40B4-BE49-F238E27FC236}">
              <a16:creationId xmlns:a16="http://schemas.microsoft.com/office/drawing/2014/main" id="{00000000-0008-0000-1200-0000E4040000}"/>
            </a:ext>
          </a:extLst>
        </xdr:cNvPr>
        <xdr:cNvCxnSpPr/>
      </xdr:nvCxnSpPr>
      <xdr:spPr>
        <a:xfrm flipV="1">
          <a:off x="3714750" y="952500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1253" name="Straight Arrow Connector 1252">
          <a:extLst>
            <a:ext uri="{FF2B5EF4-FFF2-40B4-BE49-F238E27FC236}">
              <a16:creationId xmlns:a16="http://schemas.microsoft.com/office/drawing/2014/main" id="{00000000-0008-0000-1200-0000E5040000}"/>
            </a:ext>
          </a:extLst>
        </xdr:cNvPr>
        <xdr:cNvCxnSpPr/>
      </xdr:nvCxnSpPr>
      <xdr:spPr>
        <a:xfrm>
          <a:off x="3799417" y="102467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1254" name="Straight Arrow Connector 1253">
          <a:extLst>
            <a:ext uri="{FF2B5EF4-FFF2-40B4-BE49-F238E27FC236}">
              <a16:creationId xmlns:a16="http://schemas.microsoft.com/office/drawing/2014/main" id="{00000000-0008-0000-1200-0000E6040000}"/>
            </a:ext>
          </a:extLst>
        </xdr:cNvPr>
        <xdr:cNvCxnSpPr/>
      </xdr:nvCxnSpPr>
      <xdr:spPr>
        <a:xfrm flipV="1">
          <a:off x="5175250" y="90445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1255" name="Straight Arrow Connector 1254">
          <a:extLst>
            <a:ext uri="{FF2B5EF4-FFF2-40B4-BE49-F238E27FC236}">
              <a16:creationId xmlns:a16="http://schemas.microsoft.com/office/drawing/2014/main" id="{00000000-0008-0000-1200-0000E7040000}"/>
            </a:ext>
          </a:extLst>
        </xdr:cNvPr>
        <xdr:cNvCxnSpPr/>
      </xdr:nvCxnSpPr>
      <xdr:spPr>
        <a:xfrm>
          <a:off x="5175250" y="952605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1256" name="Straight Arrow Connector 1255">
          <a:extLst>
            <a:ext uri="{FF2B5EF4-FFF2-40B4-BE49-F238E27FC236}">
              <a16:creationId xmlns:a16="http://schemas.microsoft.com/office/drawing/2014/main" id="{00000000-0008-0000-1200-0000E8040000}"/>
            </a:ext>
          </a:extLst>
        </xdr:cNvPr>
        <xdr:cNvCxnSpPr/>
      </xdr:nvCxnSpPr>
      <xdr:spPr>
        <a:xfrm flipV="1">
          <a:off x="6381750" y="88910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1257" name="Straight Arrow Connector 1256">
          <a:extLst>
            <a:ext uri="{FF2B5EF4-FFF2-40B4-BE49-F238E27FC236}">
              <a16:creationId xmlns:a16="http://schemas.microsoft.com/office/drawing/2014/main" id="{00000000-0008-0000-1200-0000E9040000}"/>
            </a:ext>
          </a:extLst>
        </xdr:cNvPr>
        <xdr:cNvCxnSpPr/>
      </xdr:nvCxnSpPr>
      <xdr:spPr>
        <a:xfrm>
          <a:off x="6413500" y="90487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1258" name="Straight Arrow Connector 1257">
          <a:extLst>
            <a:ext uri="{FF2B5EF4-FFF2-40B4-BE49-F238E27FC236}">
              <a16:creationId xmlns:a16="http://schemas.microsoft.com/office/drawing/2014/main" id="{00000000-0008-0000-1200-0000EA040000}"/>
            </a:ext>
          </a:extLst>
        </xdr:cNvPr>
        <xdr:cNvCxnSpPr/>
      </xdr:nvCxnSpPr>
      <xdr:spPr>
        <a:xfrm flipV="1">
          <a:off x="7609417" y="91609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1259" name="Straight Arrow Connector 1258">
          <a:extLst>
            <a:ext uri="{FF2B5EF4-FFF2-40B4-BE49-F238E27FC236}">
              <a16:creationId xmlns:a16="http://schemas.microsoft.com/office/drawing/2014/main" id="{00000000-0008-0000-1200-0000EB040000}"/>
            </a:ext>
          </a:extLst>
        </xdr:cNvPr>
        <xdr:cNvCxnSpPr/>
      </xdr:nvCxnSpPr>
      <xdr:spPr>
        <a:xfrm>
          <a:off x="7598834" y="9262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1260" name="Straight Arrow Connector 1259">
          <a:extLst>
            <a:ext uri="{FF2B5EF4-FFF2-40B4-BE49-F238E27FC236}">
              <a16:creationId xmlns:a16="http://schemas.microsoft.com/office/drawing/2014/main" id="{00000000-0008-0000-1200-0000EC040000}"/>
            </a:ext>
          </a:extLst>
        </xdr:cNvPr>
        <xdr:cNvCxnSpPr/>
      </xdr:nvCxnSpPr>
      <xdr:spPr>
        <a:xfrm flipV="1">
          <a:off x="8794750" y="9069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1261" name="Straight Arrow Connector 1260">
          <a:extLst>
            <a:ext uri="{FF2B5EF4-FFF2-40B4-BE49-F238E27FC236}">
              <a16:creationId xmlns:a16="http://schemas.microsoft.com/office/drawing/2014/main" id="{00000000-0008-0000-1200-0000ED040000}"/>
            </a:ext>
          </a:extLst>
        </xdr:cNvPr>
        <xdr:cNvCxnSpPr/>
      </xdr:nvCxnSpPr>
      <xdr:spPr>
        <a:xfrm>
          <a:off x="8784166" y="9165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1262" name="Straight Arrow Connector 1261">
          <a:extLst>
            <a:ext uri="{FF2B5EF4-FFF2-40B4-BE49-F238E27FC236}">
              <a16:creationId xmlns:a16="http://schemas.microsoft.com/office/drawing/2014/main" id="{00000000-0008-0000-1200-0000EE040000}"/>
            </a:ext>
          </a:extLst>
        </xdr:cNvPr>
        <xdr:cNvCxnSpPr/>
      </xdr:nvCxnSpPr>
      <xdr:spPr>
        <a:xfrm flipV="1">
          <a:off x="8794750" y="9469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1263" name="Straight Arrow Connector 1262">
          <a:extLst>
            <a:ext uri="{FF2B5EF4-FFF2-40B4-BE49-F238E27FC236}">
              <a16:creationId xmlns:a16="http://schemas.microsoft.com/office/drawing/2014/main" id="{00000000-0008-0000-1200-0000EF040000}"/>
            </a:ext>
          </a:extLst>
        </xdr:cNvPr>
        <xdr:cNvCxnSpPr/>
      </xdr:nvCxnSpPr>
      <xdr:spPr>
        <a:xfrm>
          <a:off x="8805333" y="9563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1368</xdr:row>
      <xdr:rowOff>0</xdr:rowOff>
    </xdr:from>
    <xdr:to>
      <xdr:col>15</xdr:col>
      <xdr:colOff>603250</xdr:colOff>
      <xdr:row>1373</xdr:row>
      <xdr:rowOff>31750</xdr:rowOff>
    </xdr:to>
    <xdr:cxnSp macro="">
      <xdr:nvCxnSpPr>
        <xdr:cNvPr id="1264" name="Straight Arrow Connector 1263">
          <a:extLst>
            <a:ext uri="{FF2B5EF4-FFF2-40B4-BE49-F238E27FC236}">
              <a16:creationId xmlns:a16="http://schemas.microsoft.com/office/drawing/2014/main" id="{00000000-0008-0000-1200-0000F0040000}"/>
            </a:ext>
          </a:extLst>
        </xdr:cNvPr>
        <xdr:cNvCxnSpPr/>
      </xdr:nvCxnSpPr>
      <xdr:spPr>
        <a:xfrm flipV="1">
          <a:off x="10541000" y="89154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1265" name="Straight Arrow Connector 1264">
          <a:extLst>
            <a:ext uri="{FF2B5EF4-FFF2-40B4-BE49-F238E27FC236}">
              <a16:creationId xmlns:a16="http://schemas.microsoft.com/office/drawing/2014/main" id="{00000000-0008-0000-1200-0000F1040000}"/>
            </a:ext>
          </a:extLst>
        </xdr:cNvPr>
        <xdr:cNvCxnSpPr/>
      </xdr:nvCxnSpPr>
      <xdr:spPr>
        <a:xfrm flipV="1">
          <a:off x="10583333" y="89778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1266" name="Straight Arrow Connector 1265">
          <a:extLst>
            <a:ext uri="{FF2B5EF4-FFF2-40B4-BE49-F238E27FC236}">
              <a16:creationId xmlns:a16="http://schemas.microsoft.com/office/drawing/2014/main" id="{00000000-0008-0000-1200-0000F2040000}"/>
            </a:ext>
          </a:extLst>
        </xdr:cNvPr>
        <xdr:cNvCxnSpPr/>
      </xdr:nvCxnSpPr>
      <xdr:spPr>
        <a:xfrm>
          <a:off x="10604500" y="90265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1267" name="Straight Arrow Connector 1266">
          <a:extLst>
            <a:ext uri="{FF2B5EF4-FFF2-40B4-BE49-F238E27FC236}">
              <a16:creationId xmlns:a16="http://schemas.microsoft.com/office/drawing/2014/main" id="{00000000-0008-0000-1200-0000F3040000}"/>
            </a:ext>
          </a:extLst>
        </xdr:cNvPr>
        <xdr:cNvCxnSpPr/>
      </xdr:nvCxnSpPr>
      <xdr:spPr>
        <a:xfrm>
          <a:off x="10519834" y="90212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1381</xdr:row>
      <xdr:rowOff>52916</xdr:rowOff>
    </xdr:from>
    <xdr:to>
      <xdr:col>16</xdr:col>
      <xdr:colOff>0</xdr:colOff>
      <xdr:row>1383</xdr:row>
      <xdr:rowOff>0</xdr:rowOff>
    </xdr:to>
    <xdr:cxnSp macro="">
      <xdr:nvCxnSpPr>
        <xdr:cNvPr id="1268" name="Straight Arrow Connector 1267">
          <a:extLst>
            <a:ext uri="{FF2B5EF4-FFF2-40B4-BE49-F238E27FC236}">
              <a16:creationId xmlns:a16="http://schemas.microsoft.com/office/drawing/2014/main" id="{00000000-0008-0000-1200-0000F4040000}"/>
            </a:ext>
          </a:extLst>
        </xdr:cNvPr>
        <xdr:cNvCxnSpPr/>
      </xdr:nvCxnSpPr>
      <xdr:spPr>
        <a:xfrm flipV="1">
          <a:off x="10541000" y="9168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1269" name="Straight Arrow Connector 1268">
          <a:extLst>
            <a:ext uri="{FF2B5EF4-FFF2-40B4-BE49-F238E27FC236}">
              <a16:creationId xmlns:a16="http://schemas.microsoft.com/office/drawing/2014/main" id="{00000000-0008-0000-1200-0000F5040000}"/>
            </a:ext>
          </a:extLst>
        </xdr:cNvPr>
        <xdr:cNvCxnSpPr/>
      </xdr:nvCxnSpPr>
      <xdr:spPr>
        <a:xfrm>
          <a:off x="10551583" y="92032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1270" name="Straight Arrow Connector 1269">
          <a:extLst>
            <a:ext uri="{FF2B5EF4-FFF2-40B4-BE49-F238E27FC236}">
              <a16:creationId xmlns:a16="http://schemas.microsoft.com/office/drawing/2014/main" id="{00000000-0008-0000-1200-0000F6040000}"/>
            </a:ext>
          </a:extLst>
        </xdr:cNvPr>
        <xdr:cNvCxnSpPr/>
      </xdr:nvCxnSpPr>
      <xdr:spPr>
        <a:xfrm>
          <a:off x="10530417" y="92032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1383</xdr:row>
      <xdr:rowOff>31750</xdr:rowOff>
    </xdr:from>
    <xdr:to>
      <xdr:col>16</xdr:col>
      <xdr:colOff>42334</xdr:colOff>
      <xdr:row>1390</xdr:row>
      <xdr:rowOff>63501</xdr:rowOff>
    </xdr:to>
    <xdr:cxnSp macro="">
      <xdr:nvCxnSpPr>
        <xdr:cNvPr id="1271" name="Straight Arrow Connector 1270">
          <a:extLst>
            <a:ext uri="{FF2B5EF4-FFF2-40B4-BE49-F238E27FC236}">
              <a16:creationId xmlns:a16="http://schemas.microsoft.com/office/drawing/2014/main" id="{00000000-0008-0000-1200-0000F7040000}"/>
            </a:ext>
          </a:extLst>
        </xdr:cNvPr>
        <xdr:cNvCxnSpPr/>
      </xdr:nvCxnSpPr>
      <xdr:spPr>
        <a:xfrm>
          <a:off x="10541000" y="92043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1272" name="Straight Arrow Connector 1271">
          <a:extLst>
            <a:ext uri="{FF2B5EF4-FFF2-40B4-BE49-F238E27FC236}">
              <a16:creationId xmlns:a16="http://schemas.microsoft.com/office/drawing/2014/main" id="{00000000-0008-0000-1200-0000F8040000}"/>
            </a:ext>
          </a:extLst>
        </xdr:cNvPr>
        <xdr:cNvCxnSpPr/>
      </xdr:nvCxnSpPr>
      <xdr:spPr>
        <a:xfrm flipV="1">
          <a:off x="6392333" y="99292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1273" name="Straight Arrow Connector 1272">
          <a:extLst>
            <a:ext uri="{FF2B5EF4-FFF2-40B4-BE49-F238E27FC236}">
              <a16:creationId xmlns:a16="http://schemas.microsoft.com/office/drawing/2014/main" id="{00000000-0008-0000-1200-0000F9040000}"/>
            </a:ext>
          </a:extLst>
        </xdr:cNvPr>
        <xdr:cNvCxnSpPr/>
      </xdr:nvCxnSpPr>
      <xdr:spPr>
        <a:xfrm>
          <a:off x="6413500" y="101324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1274" name="Straight Arrow Connector 1273">
          <a:extLst>
            <a:ext uri="{FF2B5EF4-FFF2-40B4-BE49-F238E27FC236}">
              <a16:creationId xmlns:a16="http://schemas.microsoft.com/office/drawing/2014/main" id="{00000000-0008-0000-1200-0000FA040000}"/>
            </a:ext>
          </a:extLst>
        </xdr:cNvPr>
        <xdr:cNvCxnSpPr/>
      </xdr:nvCxnSpPr>
      <xdr:spPr>
        <a:xfrm flipV="1">
          <a:off x="7556500" y="102457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1275" name="Straight Arrow Connector 1274">
          <a:extLst>
            <a:ext uri="{FF2B5EF4-FFF2-40B4-BE49-F238E27FC236}">
              <a16:creationId xmlns:a16="http://schemas.microsoft.com/office/drawing/2014/main" id="{00000000-0008-0000-1200-0000FB040000}"/>
            </a:ext>
          </a:extLst>
        </xdr:cNvPr>
        <xdr:cNvCxnSpPr/>
      </xdr:nvCxnSpPr>
      <xdr:spPr>
        <a:xfrm flipV="1">
          <a:off x="10530417" y="9429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1276" name="Straight Arrow Connector 1275">
          <a:extLst>
            <a:ext uri="{FF2B5EF4-FFF2-40B4-BE49-F238E27FC236}">
              <a16:creationId xmlns:a16="http://schemas.microsoft.com/office/drawing/2014/main" id="{00000000-0008-0000-1200-0000FC040000}"/>
            </a:ext>
          </a:extLst>
        </xdr:cNvPr>
        <xdr:cNvCxnSpPr/>
      </xdr:nvCxnSpPr>
      <xdr:spPr>
        <a:xfrm>
          <a:off x="10572750" y="9468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1277" name="Straight Arrow Connector 1276">
          <a:extLst>
            <a:ext uri="{FF2B5EF4-FFF2-40B4-BE49-F238E27FC236}">
              <a16:creationId xmlns:a16="http://schemas.microsoft.com/office/drawing/2014/main" id="{00000000-0008-0000-1200-0000FD040000}"/>
            </a:ext>
          </a:extLst>
        </xdr:cNvPr>
        <xdr:cNvCxnSpPr/>
      </xdr:nvCxnSpPr>
      <xdr:spPr>
        <a:xfrm>
          <a:off x="10551583" y="9468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1278" name="Straight Arrow Connector 1277">
          <a:extLst>
            <a:ext uri="{FF2B5EF4-FFF2-40B4-BE49-F238E27FC236}">
              <a16:creationId xmlns:a16="http://schemas.microsoft.com/office/drawing/2014/main" id="{00000000-0008-0000-1200-0000FE040000}"/>
            </a:ext>
          </a:extLst>
        </xdr:cNvPr>
        <xdr:cNvCxnSpPr/>
      </xdr:nvCxnSpPr>
      <xdr:spPr>
        <a:xfrm>
          <a:off x="10583333" y="9471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1279" name="Straight Arrow Connector 1278">
          <a:extLst>
            <a:ext uri="{FF2B5EF4-FFF2-40B4-BE49-F238E27FC236}">
              <a16:creationId xmlns:a16="http://schemas.microsoft.com/office/drawing/2014/main" id="{00000000-0008-0000-1200-0000FF040000}"/>
            </a:ext>
          </a:extLst>
        </xdr:cNvPr>
        <xdr:cNvCxnSpPr/>
      </xdr:nvCxnSpPr>
      <xdr:spPr>
        <a:xfrm>
          <a:off x="10562166" y="9734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1280" name="Straight Arrow Connector 1279">
          <a:extLst>
            <a:ext uri="{FF2B5EF4-FFF2-40B4-BE49-F238E27FC236}">
              <a16:creationId xmlns:a16="http://schemas.microsoft.com/office/drawing/2014/main" id="{00000000-0008-0000-1200-000000050000}"/>
            </a:ext>
          </a:extLst>
        </xdr:cNvPr>
        <xdr:cNvCxnSpPr/>
      </xdr:nvCxnSpPr>
      <xdr:spPr>
        <a:xfrm>
          <a:off x="10615083" y="9736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1281" name="Straight Arrow Connector 1280">
          <a:extLst>
            <a:ext uri="{FF2B5EF4-FFF2-40B4-BE49-F238E27FC236}">
              <a16:creationId xmlns:a16="http://schemas.microsoft.com/office/drawing/2014/main" id="{00000000-0008-0000-1200-000001050000}"/>
            </a:ext>
          </a:extLst>
        </xdr:cNvPr>
        <xdr:cNvCxnSpPr/>
      </xdr:nvCxnSpPr>
      <xdr:spPr>
        <a:xfrm>
          <a:off x="10572750" y="9739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1282" name="Straight Arrow Connector 1281">
          <a:extLst>
            <a:ext uri="{FF2B5EF4-FFF2-40B4-BE49-F238E27FC236}">
              <a16:creationId xmlns:a16="http://schemas.microsoft.com/office/drawing/2014/main" id="{00000000-0008-0000-1200-000002050000}"/>
            </a:ext>
          </a:extLst>
        </xdr:cNvPr>
        <xdr:cNvCxnSpPr/>
      </xdr:nvCxnSpPr>
      <xdr:spPr>
        <a:xfrm flipV="1">
          <a:off x="10562166" y="100128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1283" name="Straight Arrow Connector 1282">
          <a:extLst>
            <a:ext uri="{FF2B5EF4-FFF2-40B4-BE49-F238E27FC236}">
              <a16:creationId xmlns:a16="http://schemas.microsoft.com/office/drawing/2014/main" id="{00000000-0008-0000-1200-000003050000}"/>
            </a:ext>
          </a:extLst>
        </xdr:cNvPr>
        <xdr:cNvCxnSpPr/>
      </xdr:nvCxnSpPr>
      <xdr:spPr>
        <a:xfrm flipV="1">
          <a:off x="10604500" y="100488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1284" name="Straight Arrow Connector 1283">
          <a:extLst>
            <a:ext uri="{FF2B5EF4-FFF2-40B4-BE49-F238E27FC236}">
              <a16:creationId xmlns:a16="http://schemas.microsoft.com/office/drawing/2014/main" id="{00000000-0008-0000-1200-000004050000}"/>
            </a:ext>
          </a:extLst>
        </xdr:cNvPr>
        <xdr:cNvCxnSpPr/>
      </xdr:nvCxnSpPr>
      <xdr:spPr>
        <a:xfrm>
          <a:off x="10593916" y="100890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1285" name="Straight Arrow Connector 1284">
          <a:extLst>
            <a:ext uri="{FF2B5EF4-FFF2-40B4-BE49-F238E27FC236}">
              <a16:creationId xmlns:a16="http://schemas.microsoft.com/office/drawing/2014/main" id="{00000000-0008-0000-1200-000005050000}"/>
            </a:ext>
          </a:extLst>
        </xdr:cNvPr>
        <xdr:cNvCxnSpPr/>
      </xdr:nvCxnSpPr>
      <xdr:spPr>
        <a:xfrm>
          <a:off x="10572750" y="102986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1286" name="Straight Arrow Connector 1285">
          <a:extLst>
            <a:ext uri="{FF2B5EF4-FFF2-40B4-BE49-F238E27FC236}">
              <a16:creationId xmlns:a16="http://schemas.microsoft.com/office/drawing/2014/main" id="{00000000-0008-0000-1200-000006050000}"/>
            </a:ext>
          </a:extLst>
        </xdr:cNvPr>
        <xdr:cNvCxnSpPr/>
      </xdr:nvCxnSpPr>
      <xdr:spPr>
        <a:xfrm flipV="1">
          <a:off x="10583333" y="9682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1287" name="Straight Arrow Connector 1286">
          <a:extLst>
            <a:ext uri="{FF2B5EF4-FFF2-40B4-BE49-F238E27FC236}">
              <a16:creationId xmlns:a16="http://schemas.microsoft.com/office/drawing/2014/main" id="{00000000-0008-0000-1200-000007050000}"/>
            </a:ext>
          </a:extLst>
        </xdr:cNvPr>
        <xdr:cNvCxnSpPr/>
      </xdr:nvCxnSpPr>
      <xdr:spPr>
        <a:xfrm>
          <a:off x="7598834" y="103483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1288" name="Straight Arrow Connector 1287">
          <a:extLst>
            <a:ext uri="{FF2B5EF4-FFF2-40B4-BE49-F238E27FC236}">
              <a16:creationId xmlns:a16="http://schemas.microsoft.com/office/drawing/2014/main" id="{00000000-0008-0000-1200-000008050000}"/>
            </a:ext>
          </a:extLst>
        </xdr:cNvPr>
        <xdr:cNvCxnSpPr/>
      </xdr:nvCxnSpPr>
      <xdr:spPr>
        <a:xfrm flipV="1">
          <a:off x="8794750" y="101557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1289" name="Straight Arrow Connector 1288">
          <a:extLst>
            <a:ext uri="{FF2B5EF4-FFF2-40B4-BE49-F238E27FC236}">
              <a16:creationId xmlns:a16="http://schemas.microsoft.com/office/drawing/2014/main" id="{00000000-0008-0000-1200-000009050000}"/>
            </a:ext>
          </a:extLst>
        </xdr:cNvPr>
        <xdr:cNvCxnSpPr/>
      </xdr:nvCxnSpPr>
      <xdr:spPr>
        <a:xfrm>
          <a:off x="8784166" y="102510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1290" name="Straight Arrow Connector 1289">
          <a:extLst>
            <a:ext uri="{FF2B5EF4-FFF2-40B4-BE49-F238E27FC236}">
              <a16:creationId xmlns:a16="http://schemas.microsoft.com/office/drawing/2014/main" id="{00000000-0008-0000-1200-00000A050000}"/>
            </a:ext>
          </a:extLst>
        </xdr:cNvPr>
        <xdr:cNvCxnSpPr/>
      </xdr:nvCxnSpPr>
      <xdr:spPr>
        <a:xfrm flipV="1">
          <a:off x="8794750" y="105558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1291" name="Straight Arrow Connector 1290">
          <a:extLst>
            <a:ext uri="{FF2B5EF4-FFF2-40B4-BE49-F238E27FC236}">
              <a16:creationId xmlns:a16="http://schemas.microsoft.com/office/drawing/2014/main" id="{00000000-0008-0000-1200-00000B050000}"/>
            </a:ext>
          </a:extLst>
        </xdr:cNvPr>
        <xdr:cNvCxnSpPr/>
      </xdr:nvCxnSpPr>
      <xdr:spPr>
        <a:xfrm>
          <a:off x="8805333" y="106489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1292" name="Straight Arrow Connector 1291">
          <a:extLst>
            <a:ext uri="{FF2B5EF4-FFF2-40B4-BE49-F238E27FC236}">
              <a16:creationId xmlns:a16="http://schemas.microsoft.com/office/drawing/2014/main" id="{00000000-0008-0000-1200-00000C050000}"/>
            </a:ext>
          </a:extLst>
        </xdr:cNvPr>
        <xdr:cNvCxnSpPr/>
      </xdr:nvCxnSpPr>
      <xdr:spPr>
        <a:xfrm>
          <a:off x="10593916" y="100869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1437</xdr:row>
      <xdr:rowOff>52916</xdr:rowOff>
    </xdr:from>
    <xdr:to>
      <xdr:col>16</xdr:col>
      <xdr:colOff>0</xdr:colOff>
      <xdr:row>1439</xdr:row>
      <xdr:rowOff>0</xdr:rowOff>
    </xdr:to>
    <xdr:cxnSp macro="">
      <xdr:nvCxnSpPr>
        <xdr:cNvPr id="1293" name="Straight Arrow Connector 1292">
          <a:extLst>
            <a:ext uri="{FF2B5EF4-FFF2-40B4-BE49-F238E27FC236}">
              <a16:creationId xmlns:a16="http://schemas.microsoft.com/office/drawing/2014/main" id="{00000000-0008-0000-1200-00000D050000}"/>
            </a:ext>
          </a:extLst>
        </xdr:cNvPr>
        <xdr:cNvCxnSpPr/>
      </xdr:nvCxnSpPr>
      <xdr:spPr>
        <a:xfrm flipV="1">
          <a:off x="10541000" y="102541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1294" name="Straight Arrow Connector 1293">
          <a:extLst>
            <a:ext uri="{FF2B5EF4-FFF2-40B4-BE49-F238E27FC236}">
              <a16:creationId xmlns:a16="http://schemas.microsoft.com/office/drawing/2014/main" id="{00000000-0008-0000-1200-00000E050000}"/>
            </a:ext>
          </a:extLst>
        </xdr:cNvPr>
        <xdr:cNvCxnSpPr/>
      </xdr:nvCxnSpPr>
      <xdr:spPr>
        <a:xfrm>
          <a:off x="10530417" y="102891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1295" name="Straight Arrow Connector 1294">
          <a:extLst>
            <a:ext uri="{FF2B5EF4-FFF2-40B4-BE49-F238E27FC236}">
              <a16:creationId xmlns:a16="http://schemas.microsoft.com/office/drawing/2014/main" id="{00000000-0008-0000-1200-00000F050000}"/>
            </a:ext>
          </a:extLst>
        </xdr:cNvPr>
        <xdr:cNvCxnSpPr/>
      </xdr:nvCxnSpPr>
      <xdr:spPr>
        <a:xfrm>
          <a:off x="10530417" y="102870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1296" name="Straight Arrow Connector 1295">
          <a:extLst>
            <a:ext uri="{FF2B5EF4-FFF2-40B4-BE49-F238E27FC236}">
              <a16:creationId xmlns:a16="http://schemas.microsoft.com/office/drawing/2014/main" id="{00000000-0008-0000-1200-000010050000}"/>
            </a:ext>
          </a:extLst>
        </xdr:cNvPr>
        <xdr:cNvCxnSpPr/>
      </xdr:nvCxnSpPr>
      <xdr:spPr>
        <a:xfrm flipV="1">
          <a:off x="10530417" y="105156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1297" name="Straight Arrow Connector 1296">
          <a:extLst>
            <a:ext uri="{FF2B5EF4-FFF2-40B4-BE49-F238E27FC236}">
              <a16:creationId xmlns:a16="http://schemas.microsoft.com/office/drawing/2014/main" id="{00000000-0008-0000-1200-000011050000}"/>
            </a:ext>
          </a:extLst>
        </xdr:cNvPr>
        <xdr:cNvCxnSpPr/>
      </xdr:nvCxnSpPr>
      <xdr:spPr>
        <a:xfrm>
          <a:off x="10572750" y="105547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1298" name="Straight Arrow Connector 1297">
          <a:extLst>
            <a:ext uri="{FF2B5EF4-FFF2-40B4-BE49-F238E27FC236}">
              <a16:creationId xmlns:a16="http://schemas.microsoft.com/office/drawing/2014/main" id="{00000000-0008-0000-1200-000012050000}"/>
            </a:ext>
          </a:extLst>
        </xdr:cNvPr>
        <xdr:cNvCxnSpPr/>
      </xdr:nvCxnSpPr>
      <xdr:spPr>
        <a:xfrm>
          <a:off x="10551583" y="105547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1299" name="Straight Arrow Connector 1298">
          <a:extLst>
            <a:ext uri="{FF2B5EF4-FFF2-40B4-BE49-F238E27FC236}">
              <a16:creationId xmlns:a16="http://schemas.microsoft.com/office/drawing/2014/main" id="{00000000-0008-0000-1200-000013050000}"/>
            </a:ext>
          </a:extLst>
        </xdr:cNvPr>
        <xdr:cNvCxnSpPr/>
      </xdr:nvCxnSpPr>
      <xdr:spPr>
        <a:xfrm>
          <a:off x="10583333" y="105568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1304" name="Straight Arrow Connector 1303">
          <a:extLst>
            <a:ext uri="{FF2B5EF4-FFF2-40B4-BE49-F238E27FC236}">
              <a16:creationId xmlns:a16="http://schemas.microsoft.com/office/drawing/2014/main" id="{00000000-0008-0000-1200-000018050000}"/>
            </a:ext>
          </a:extLst>
        </xdr:cNvPr>
        <xdr:cNvCxnSpPr/>
      </xdr:nvCxnSpPr>
      <xdr:spPr>
        <a:xfrm>
          <a:off x="5080000" y="1163002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1305" name="Straight Arrow Connector 1304">
          <a:extLst>
            <a:ext uri="{FF2B5EF4-FFF2-40B4-BE49-F238E27FC236}">
              <a16:creationId xmlns:a16="http://schemas.microsoft.com/office/drawing/2014/main" id="{00000000-0008-0000-1200-000019050000}"/>
            </a:ext>
          </a:extLst>
        </xdr:cNvPr>
        <xdr:cNvCxnSpPr/>
      </xdr:nvCxnSpPr>
      <xdr:spPr>
        <a:xfrm flipV="1">
          <a:off x="6381750" y="110627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1306" name="Straight Arrow Connector 1305">
          <a:extLst>
            <a:ext uri="{FF2B5EF4-FFF2-40B4-BE49-F238E27FC236}">
              <a16:creationId xmlns:a16="http://schemas.microsoft.com/office/drawing/2014/main" id="{00000000-0008-0000-1200-00001A050000}"/>
            </a:ext>
          </a:extLst>
        </xdr:cNvPr>
        <xdr:cNvCxnSpPr/>
      </xdr:nvCxnSpPr>
      <xdr:spPr>
        <a:xfrm>
          <a:off x="6413500" y="112204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1307" name="Straight Arrow Connector 1306">
          <a:extLst>
            <a:ext uri="{FF2B5EF4-FFF2-40B4-BE49-F238E27FC236}">
              <a16:creationId xmlns:a16="http://schemas.microsoft.com/office/drawing/2014/main" id="{00000000-0008-0000-1200-00001B050000}"/>
            </a:ext>
          </a:extLst>
        </xdr:cNvPr>
        <xdr:cNvCxnSpPr/>
      </xdr:nvCxnSpPr>
      <xdr:spPr>
        <a:xfrm flipV="1">
          <a:off x="7609417" y="113326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1308" name="Straight Arrow Connector 1307">
          <a:extLst>
            <a:ext uri="{FF2B5EF4-FFF2-40B4-BE49-F238E27FC236}">
              <a16:creationId xmlns:a16="http://schemas.microsoft.com/office/drawing/2014/main" id="{00000000-0008-0000-1200-00001C050000}"/>
            </a:ext>
          </a:extLst>
        </xdr:cNvPr>
        <xdr:cNvCxnSpPr/>
      </xdr:nvCxnSpPr>
      <xdr:spPr>
        <a:xfrm>
          <a:off x="7598834" y="114342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1309" name="Straight Arrow Connector 1308">
          <a:extLst>
            <a:ext uri="{FF2B5EF4-FFF2-40B4-BE49-F238E27FC236}">
              <a16:creationId xmlns:a16="http://schemas.microsoft.com/office/drawing/2014/main" id="{00000000-0008-0000-1200-00001D050000}"/>
            </a:ext>
          </a:extLst>
        </xdr:cNvPr>
        <xdr:cNvCxnSpPr/>
      </xdr:nvCxnSpPr>
      <xdr:spPr>
        <a:xfrm flipV="1">
          <a:off x="8794750" y="112416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1310" name="Straight Arrow Connector 1309">
          <a:extLst>
            <a:ext uri="{FF2B5EF4-FFF2-40B4-BE49-F238E27FC236}">
              <a16:creationId xmlns:a16="http://schemas.microsoft.com/office/drawing/2014/main" id="{00000000-0008-0000-1200-00001E050000}"/>
            </a:ext>
          </a:extLst>
        </xdr:cNvPr>
        <xdr:cNvCxnSpPr/>
      </xdr:nvCxnSpPr>
      <xdr:spPr>
        <a:xfrm>
          <a:off x="8784166" y="113368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1311" name="Straight Arrow Connector 1310">
          <a:extLst>
            <a:ext uri="{FF2B5EF4-FFF2-40B4-BE49-F238E27FC236}">
              <a16:creationId xmlns:a16="http://schemas.microsoft.com/office/drawing/2014/main" id="{00000000-0008-0000-1200-00001F050000}"/>
            </a:ext>
          </a:extLst>
        </xdr:cNvPr>
        <xdr:cNvCxnSpPr/>
      </xdr:nvCxnSpPr>
      <xdr:spPr>
        <a:xfrm flipV="1">
          <a:off x="8794750" y="116416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1312" name="Straight Arrow Connector 1311">
          <a:extLst>
            <a:ext uri="{FF2B5EF4-FFF2-40B4-BE49-F238E27FC236}">
              <a16:creationId xmlns:a16="http://schemas.microsoft.com/office/drawing/2014/main" id="{00000000-0008-0000-1200-000020050000}"/>
            </a:ext>
          </a:extLst>
        </xdr:cNvPr>
        <xdr:cNvCxnSpPr/>
      </xdr:nvCxnSpPr>
      <xdr:spPr>
        <a:xfrm>
          <a:off x="8805333" y="117348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1480</xdr:row>
      <xdr:rowOff>0</xdr:rowOff>
    </xdr:from>
    <xdr:to>
      <xdr:col>15</xdr:col>
      <xdr:colOff>603250</xdr:colOff>
      <xdr:row>1485</xdr:row>
      <xdr:rowOff>31750</xdr:rowOff>
    </xdr:to>
    <xdr:cxnSp macro="">
      <xdr:nvCxnSpPr>
        <xdr:cNvPr id="1313" name="Straight Arrow Connector 1312">
          <a:extLst>
            <a:ext uri="{FF2B5EF4-FFF2-40B4-BE49-F238E27FC236}">
              <a16:creationId xmlns:a16="http://schemas.microsoft.com/office/drawing/2014/main" id="{00000000-0008-0000-1200-000021050000}"/>
            </a:ext>
          </a:extLst>
        </xdr:cNvPr>
        <xdr:cNvCxnSpPr/>
      </xdr:nvCxnSpPr>
      <xdr:spPr>
        <a:xfrm flipV="1">
          <a:off x="10541000" y="110871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1314" name="Straight Arrow Connector 1313">
          <a:extLst>
            <a:ext uri="{FF2B5EF4-FFF2-40B4-BE49-F238E27FC236}">
              <a16:creationId xmlns:a16="http://schemas.microsoft.com/office/drawing/2014/main" id="{00000000-0008-0000-1200-000022050000}"/>
            </a:ext>
          </a:extLst>
        </xdr:cNvPr>
        <xdr:cNvCxnSpPr/>
      </xdr:nvCxnSpPr>
      <xdr:spPr>
        <a:xfrm flipV="1">
          <a:off x="10583333" y="111495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1315" name="Straight Arrow Connector 1314">
          <a:extLst>
            <a:ext uri="{FF2B5EF4-FFF2-40B4-BE49-F238E27FC236}">
              <a16:creationId xmlns:a16="http://schemas.microsoft.com/office/drawing/2014/main" id="{00000000-0008-0000-1200-000023050000}"/>
            </a:ext>
          </a:extLst>
        </xdr:cNvPr>
        <xdr:cNvCxnSpPr/>
      </xdr:nvCxnSpPr>
      <xdr:spPr>
        <a:xfrm>
          <a:off x="10604500" y="111982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1316" name="Straight Arrow Connector 1315">
          <a:extLst>
            <a:ext uri="{FF2B5EF4-FFF2-40B4-BE49-F238E27FC236}">
              <a16:creationId xmlns:a16="http://schemas.microsoft.com/office/drawing/2014/main" id="{00000000-0008-0000-1200-000024050000}"/>
            </a:ext>
          </a:extLst>
        </xdr:cNvPr>
        <xdr:cNvCxnSpPr/>
      </xdr:nvCxnSpPr>
      <xdr:spPr>
        <a:xfrm>
          <a:off x="10519834" y="111929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1493</xdr:row>
      <xdr:rowOff>52916</xdr:rowOff>
    </xdr:from>
    <xdr:to>
      <xdr:col>16</xdr:col>
      <xdr:colOff>0</xdr:colOff>
      <xdr:row>1495</xdr:row>
      <xdr:rowOff>0</xdr:rowOff>
    </xdr:to>
    <xdr:cxnSp macro="">
      <xdr:nvCxnSpPr>
        <xdr:cNvPr id="1317" name="Straight Arrow Connector 1316">
          <a:extLst>
            <a:ext uri="{FF2B5EF4-FFF2-40B4-BE49-F238E27FC236}">
              <a16:creationId xmlns:a16="http://schemas.microsoft.com/office/drawing/2014/main" id="{00000000-0008-0000-1200-000025050000}"/>
            </a:ext>
          </a:extLst>
        </xdr:cNvPr>
        <xdr:cNvCxnSpPr/>
      </xdr:nvCxnSpPr>
      <xdr:spPr>
        <a:xfrm flipV="1">
          <a:off x="10541000" y="113400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1318" name="Straight Arrow Connector 1317">
          <a:extLst>
            <a:ext uri="{FF2B5EF4-FFF2-40B4-BE49-F238E27FC236}">
              <a16:creationId xmlns:a16="http://schemas.microsoft.com/office/drawing/2014/main" id="{00000000-0008-0000-1200-000026050000}"/>
            </a:ext>
          </a:extLst>
        </xdr:cNvPr>
        <xdr:cNvCxnSpPr/>
      </xdr:nvCxnSpPr>
      <xdr:spPr>
        <a:xfrm>
          <a:off x="10551583" y="113749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1319" name="Straight Arrow Connector 1318">
          <a:extLst>
            <a:ext uri="{FF2B5EF4-FFF2-40B4-BE49-F238E27FC236}">
              <a16:creationId xmlns:a16="http://schemas.microsoft.com/office/drawing/2014/main" id="{00000000-0008-0000-1200-000027050000}"/>
            </a:ext>
          </a:extLst>
        </xdr:cNvPr>
        <xdr:cNvCxnSpPr/>
      </xdr:nvCxnSpPr>
      <xdr:spPr>
        <a:xfrm>
          <a:off x="10530417" y="113749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1320" name="Straight Arrow Connector 1319">
          <a:extLst>
            <a:ext uri="{FF2B5EF4-FFF2-40B4-BE49-F238E27FC236}">
              <a16:creationId xmlns:a16="http://schemas.microsoft.com/office/drawing/2014/main" id="{00000000-0008-0000-1200-000028050000}"/>
            </a:ext>
          </a:extLst>
        </xdr:cNvPr>
        <xdr:cNvCxnSpPr/>
      </xdr:nvCxnSpPr>
      <xdr:spPr>
        <a:xfrm>
          <a:off x="10541000" y="113760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1321" name="Straight Arrow Connector 1320">
          <a:extLst>
            <a:ext uri="{FF2B5EF4-FFF2-40B4-BE49-F238E27FC236}">
              <a16:creationId xmlns:a16="http://schemas.microsoft.com/office/drawing/2014/main" id="{00000000-0008-0000-1200-000029050000}"/>
            </a:ext>
          </a:extLst>
        </xdr:cNvPr>
        <xdr:cNvCxnSpPr/>
      </xdr:nvCxnSpPr>
      <xdr:spPr>
        <a:xfrm flipV="1">
          <a:off x="6392333" y="121009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1322" name="Straight Arrow Connector 1321">
          <a:extLst>
            <a:ext uri="{FF2B5EF4-FFF2-40B4-BE49-F238E27FC236}">
              <a16:creationId xmlns:a16="http://schemas.microsoft.com/office/drawing/2014/main" id="{00000000-0008-0000-1200-00002A050000}"/>
            </a:ext>
          </a:extLst>
        </xdr:cNvPr>
        <xdr:cNvCxnSpPr/>
      </xdr:nvCxnSpPr>
      <xdr:spPr>
        <a:xfrm>
          <a:off x="6413500" y="123041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1323" name="Straight Arrow Connector 1322">
          <a:extLst>
            <a:ext uri="{FF2B5EF4-FFF2-40B4-BE49-F238E27FC236}">
              <a16:creationId xmlns:a16="http://schemas.microsoft.com/office/drawing/2014/main" id="{00000000-0008-0000-1200-00002B050000}"/>
            </a:ext>
          </a:extLst>
        </xdr:cNvPr>
        <xdr:cNvCxnSpPr/>
      </xdr:nvCxnSpPr>
      <xdr:spPr>
        <a:xfrm flipV="1">
          <a:off x="7556500" y="124174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1324" name="Straight Arrow Connector 1323">
          <a:extLst>
            <a:ext uri="{FF2B5EF4-FFF2-40B4-BE49-F238E27FC236}">
              <a16:creationId xmlns:a16="http://schemas.microsoft.com/office/drawing/2014/main" id="{00000000-0008-0000-1200-00002C050000}"/>
            </a:ext>
          </a:extLst>
        </xdr:cNvPr>
        <xdr:cNvCxnSpPr/>
      </xdr:nvCxnSpPr>
      <xdr:spPr>
        <a:xfrm flipV="1">
          <a:off x="10530417" y="116014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1325" name="Straight Arrow Connector 1324">
          <a:extLst>
            <a:ext uri="{FF2B5EF4-FFF2-40B4-BE49-F238E27FC236}">
              <a16:creationId xmlns:a16="http://schemas.microsoft.com/office/drawing/2014/main" id="{00000000-0008-0000-1200-00002D050000}"/>
            </a:ext>
          </a:extLst>
        </xdr:cNvPr>
        <xdr:cNvCxnSpPr/>
      </xdr:nvCxnSpPr>
      <xdr:spPr>
        <a:xfrm>
          <a:off x="10572750" y="116406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1326" name="Straight Arrow Connector 1325">
          <a:extLst>
            <a:ext uri="{FF2B5EF4-FFF2-40B4-BE49-F238E27FC236}">
              <a16:creationId xmlns:a16="http://schemas.microsoft.com/office/drawing/2014/main" id="{00000000-0008-0000-1200-00002E050000}"/>
            </a:ext>
          </a:extLst>
        </xdr:cNvPr>
        <xdr:cNvCxnSpPr/>
      </xdr:nvCxnSpPr>
      <xdr:spPr>
        <a:xfrm>
          <a:off x="10551583" y="116406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1327" name="Straight Arrow Connector 1326">
          <a:extLst>
            <a:ext uri="{FF2B5EF4-FFF2-40B4-BE49-F238E27FC236}">
              <a16:creationId xmlns:a16="http://schemas.microsoft.com/office/drawing/2014/main" id="{00000000-0008-0000-1200-00002F050000}"/>
            </a:ext>
          </a:extLst>
        </xdr:cNvPr>
        <xdr:cNvCxnSpPr/>
      </xdr:nvCxnSpPr>
      <xdr:spPr>
        <a:xfrm>
          <a:off x="10583333" y="116427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1328" name="Straight Arrow Connector 1327">
          <a:extLst>
            <a:ext uri="{FF2B5EF4-FFF2-40B4-BE49-F238E27FC236}">
              <a16:creationId xmlns:a16="http://schemas.microsoft.com/office/drawing/2014/main" id="{00000000-0008-0000-1200-000030050000}"/>
            </a:ext>
          </a:extLst>
        </xdr:cNvPr>
        <xdr:cNvCxnSpPr/>
      </xdr:nvCxnSpPr>
      <xdr:spPr>
        <a:xfrm>
          <a:off x="10562166" y="119062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1329" name="Straight Arrow Connector 1328">
          <a:extLst>
            <a:ext uri="{FF2B5EF4-FFF2-40B4-BE49-F238E27FC236}">
              <a16:creationId xmlns:a16="http://schemas.microsoft.com/office/drawing/2014/main" id="{00000000-0008-0000-1200-000031050000}"/>
            </a:ext>
          </a:extLst>
        </xdr:cNvPr>
        <xdr:cNvCxnSpPr/>
      </xdr:nvCxnSpPr>
      <xdr:spPr>
        <a:xfrm>
          <a:off x="10615083" y="119083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1330" name="Straight Arrow Connector 1329">
          <a:extLst>
            <a:ext uri="{FF2B5EF4-FFF2-40B4-BE49-F238E27FC236}">
              <a16:creationId xmlns:a16="http://schemas.microsoft.com/office/drawing/2014/main" id="{00000000-0008-0000-1200-000032050000}"/>
            </a:ext>
          </a:extLst>
        </xdr:cNvPr>
        <xdr:cNvCxnSpPr/>
      </xdr:nvCxnSpPr>
      <xdr:spPr>
        <a:xfrm>
          <a:off x="10572750" y="119115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1331" name="Straight Arrow Connector 1330">
          <a:extLst>
            <a:ext uri="{FF2B5EF4-FFF2-40B4-BE49-F238E27FC236}">
              <a16:creationId xmlns:a16="http://schemas.microsoft.com/office/drawing/2014/main" id="{00000000-0008-0000-1200-000033050000}"/>
            </a:ext>
          </a:extLst>
        </xdr:cNvPr>
        <xdr:cNvCxnSpPr/>
      </xdr:nvCxnSpPr>
      <xdr:spPr>
        <a:xfrm flipV="1">
          <a:off x="10562166" y="121845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1332" name="Straight Arrow Connector 1331">
          <a:extLst>
            <a:ext uri="{FF2B5EF4-FFF2-40B4-BE49-F238E27FC236}">
              <a16:creationId xmlns:a16="http://schemas.microsoft.com/office/drawing/2014/main" id="{00000000-0008-0000-1200-000034050000}"/>
            </a:ext>
          </a:extLst>
        </xdr:cNvPr>
        <xdr:cNvCxnSpPr/>
      </xdr:nvCxnSpPr>
      <xdr:spPr>
        <a:xfrm flipV="1">
          <a:off x="10604500" y="122205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1333" name="Straight Arrow Connector 1332">
          <a:extLst>
            <a:ext uri="{FF2B5EF4-FFF2-40B4-BE49-F238E27FC236}">
              <a16:creationId xmlns:a16="http://schemas.microsoft.com/office/drawing/2014/main" id="{00000000-0008-0000-1200-000035050000}"/>
            </a:ext>
          </a:extLst>
        </xdr:cNvPr>
        <xdr:cNvCxnSpPr/>
      </xdr:nvCxnSpPr>
      <xdr:spPr>
        <a:xfrm>
          <a:off x="10593916" y="122607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1334" name="Straight Arrow Connector 1333">
          <a:extLst>
            <a:ext uri="{FF2B5EF4-FFF2-40B4-BE49-F238E27FC236}">
              <a16:creationId xmlns:a16="http://schemas.microsoft.com/office/drawing/2014/main" id="{00000000-0008-0000-1200-000036050000}"/>
            </a:ext>
          </a:extLst>
        </xdr:cNvPr>
        <xdr:cNvCxnSpPr/>
      </xdr:nvCxnSpPr>
      <xdr:spPr>
        <a:xfrm>
          <a:off x="10572750" y="124703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1335" name="Straight Arrow Connector 1334">
          <a:extLst>
            <a:ext uri="{FF2B5EF4-FFF2-40B4-BE49-F238E27FC236}">
              <a16:creationId xmlns:a16="http://schemas.microsoft.com/office/drawing/2014/main" id="{00000000-0008-0000-1200-000037050000}"/>
            </a:ext>
          </a:extLst>
        </xdr:cNvPr>
        <xdr:cNvCxnSpPr/>
      </xdr:nvCxnSpPr>
      <xdr:spPr>
        <a:xfrm flipV="1">
          <a:off x="10583333" y="118543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1336" name="Straight Arrow Connector 1335">
          <a:extLst>
            <a:ext uri="{FF2B5EF4-FFF2-40B4-BE49-F238E27FC236}">
              <a16:creationId xmlns:a16="http://schemas.microsoft.com/office/drawing/2014/main" id="{00000000-0008-0000-1200-000038050000}"/>
            </a:ext>
          </a:extLst>
        </xdr:cNvPr>
        <xdr:cNvCxnSpPr/>
      </xdr:nvCxnSpPr>
      <xdr:spPr>
        <a:xfrm>
          <a:off x="7598834" y="125200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1337" name="Straight Arrow Connector 1336">
          <a:extLst>
            <a:ext uri="{FF2B5EF4-FFF2-40B4-BE49-F238E27FC236}">
              <a16:creationId xmlns:a16="http://schemas.microsoft.com/office/drawing/2014/main" id="{00000000-0008-0000-1200-000039050000}"/>
            </a:ext>
          </a:extLst>
        </xdr:cNvPr>
        <xdr:cNvCxnSpPr/>
      </xdr:nvCxnSpPr>
      <xdr:spPr>
        <a:xfrm flipV="1">
          <a:off x="8794750" y="123274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1338" name="Straight Arrow Connector 1337">
          <a:extLst>
            <a:ext uri="{FF2B5EF4-FFF2-40B4-BE49-F238E27FC236}">
              <a16:creationId xmlns:a16="http://schemas.microsoft.com/office/drawing/2014/main" id="{00000000-0008-0000-1200-00003A050000}"/>
            </a:ext>
          </a:extLst>
        </xdr:cNvPr>
        <xdr:cNvCxnSpPr/>
      </xdr:nvCxnSpPr>
      <xdr:spPr>
        <a:xfrm>
          <a:off x="8784166" y="124227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1339" name="Straight Arrow Connector 1338">
          <a:extLst>
            <a:ext uri="{FF2B5EF4-FFF2-40B4-BE49-F238E27FC236}">
              <a16:creationId xmlns:a16="http://schemas.microsoft.com/office/drawing/2014/main" id="{00000000-0008-0000-1200-00003B050000}"/>
            </a:ext>
          </a:extLst>
        </xdr:cNvPr>
        <xdr:cNvCxnSpPr/>
      </xdr:nvCxnSpPr>
      <xdr:spPr>
        <a:xfrm flipV="1">
          <a:off x="8794750" y="127275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1340" name="Straight Arrow Connector 1339">
          <a:extLst>
            <a:ext uri="{FF2B5EF4-FFF2-40B4-BE49-F238E27FC236}">
              <a16:creationId xmlns:a16="http://schemas.microsoft.com/office/drawing/2014/main" id="{00000000-0008-0000-1200-00003C050000}"/>
            </a:ext>
          </a:extLst>
        </xdr:cNvPr>
        <xdr:cNvCxnSpPr/>
      </xdr:nvCxnSpPr>
      <xdr:spPr>
        <a:xfrm>
          <a:off x="8805333" y="128206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1341" name="Straight Arrow Connector 1340">
          <a:extLst>
            <a:ext uri="{FF2B5EF4-FFF2-40B4-BE49-F238E27FC236}">
              <a16:creationId xmlns:a16="http://schemas.microsoft.com/office/drawing/2014/main" id="{00000000-0008-0000-1200-00003D050000}"/>
            </a:ext>
          </a:extLst>
        </xdr:cNvPr>
        <xdr:cNvCxnSpPr/>
      </xdr:nvCxnSpPr>
      <xdr:spPr>
        <a:xfrm>
          <a:off x="10593916" y="122586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1549</xdr:row>
      <xdr:rowOff>52916</xdr:rowOff>
    </xdr:from>
    <xdr:to>
      <xdr:col>16</xdr:col>
      <xdr:colOff>0</xdr:colOff>
      <xdr:row>1551</xdr:row>
      <xdr:rowOff>0</xdr:rowOff>
    </xdr:to>
    <xdr:cxnSp macro="">
      <xdr:nvCxnSpPr>
        <xdr:cNvPr id="1342" name="Straight Arrow Connector 1341">
          <a:extLst>
            <a:ext uri="{FF2B5EF4-FFF2-40B4-BE49-F238E27FC236}">
              <a16:creationId xmlns:a16="http://schemas.microsoft.com/office/drawing/2014/main" id="{00000000-0008-0000-1200-00003E050000}"/>
            </a:ext>
          </a:extLst>
        </xdr:cNvPr>
        <xdr:cNvCxnSpPr/>
      </xdr:nvCxnSpPr>
      <xdr:spPr>
        <a:xfrm flipV="1">
          <a:off x="10541000" y="124258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1343" name="Straight Arrow Connector 1342">
          <a:extLst>
            <a:ext uri="{FF2B5EF4-FFF2-40B4-BE49-F238E27FC236}">
              <a16:creationId xmlns:a16="http://schemas.microsoft.com/office/drawing/2014/main" id="{00000000-0008-0000-1200-00003F050000}"/>
            </a:ext>
          </a:extLst>
        </xdr:cNvPr>
        <xdr:cNvCxnSpPr/>
      </xdr:nvCxnSpPr>
      <xdr:spPr>
        <a:xfrm>
          <a:off x="10530417" y="124608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1344" name="Straight Arrow Connector 1343">
          <a:extLst>
            <a:ext uri="{FF2B5EF4-FFF2-40B4-BE49-F238E27FC236}">
              <a16:creationId xmlns:a16="http://schemas.microsoft.com/office/drawing/2014/main" id="{00000000-0008-0000-1200-000040050000}"/>
            </a:ext>
          </a:extLst>
        </xdr:cNvPr>
        <xdr:cNvCxnSpPr/>
      </xdr:nvCxnSpPr>
      <xdr:spPr>
        <a:xfrm>
          <a:off x="10530417" y="124587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1345" name="Straight Arrow Connector 1344">
          <a:extLst>
            <a:ext uri="{FF2B5EF4-FFF2-40B4-BE49-F238E27FC236}">
              <a16:creationId xmlns:a16="http://schemas.microsoft.com/office/drawing/2014/main" id="{00000000-0008-0000-1200-000041050000}"/>
            </a:ext>
          </a:extLst>
        </xdr:cNvPr>
        <xdr:cNvCxnSpPr/>
      </xdr:nvCxnSpPr>
      <xdr:spPr>
        <a:xfrm flipV="1">
          <a:off x="10530417" y="126873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1346" name="Straight Arrow Connector 1345">
          <a:extLst>
            <a:ext uri="{FF2B5EF4-FFF2-40B4-BE49-F238E27FC236}">
              <a16:creationId xmlns:a16="http://schemas.microsoft.com/office/drawing/2014/main" id="{00000000-0008-0000-1200-000042050000}"/>
            </a:ext>
          </a:extLst>
        </xdr:cNvPr>
        <xdr:cNvCxnSpPr/>
      </xdr:nvCxnSpPr>
      <xdr:spPr>
        <a:xfrm>
          <a:off x="10572750" y="127264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1347" name="Straight Arrow Connector 1346">
          <a:extLst>
            <a:ext uri="{FF2B5EF4-FFF2-40B4-BE49-F238E27FC236}">
              <a16:creationId xmlns:a16="http://schemas.microsoft.com/office/drawing/2014/main" id="{00000000-0008-0000-1200-000043050000}"/>
            </a:ext>
          </a:extLst>
        </xdr:cNvPr>
        <xdr:cNvCxnSpPr/>
      </xdr:nvCxnSpPr>
      <xdr:spPr>
        <a:xfrm>
          <a:off x="10551583" y="127264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1348" name="Straight Arrow Connector 1347">
          <a:extLst>
            <a:ext uri="{FF2B5EF4-FFF2-40B4-BE49-F238E27FC236}">
              <a16:creationId xmlns:a16="http://schemas.microsoft.com/office/drawing/2014/main" id="{00000000-0008-0000-1200-000044050000}"/>
            </a:ext>
          </a:extLst>
        </xdr:cNvPr>
        <xdr:cNvCxnSpPr/>
      </xdr:nvCxnSpPr>
      <xdr:spPr>
        <a:xfrm>
          <a:off x="10583333" y="127285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1349" name="Straight Arrow Connector 1348">
          <a:extLst>
            <a:ext uri="{FF2B5EF4-FFF2-40B4-BE49-F238E27FC236}">
              <a16:creationId xmlns:a16="http://schemas.microsoft.com/office/drawing/2014/main" id="{00000000-0008-0000-1200-000045050000}"/>
            </a:ext>
          </a:extLst>
        </xdr:cNvPr>
        <xdr:cNvCxnSpPr/>
      </xdr:nvCxnSpPr>
      <xdr:spPr>
        <a:xfrm>
          <a:off x="10562166" y="129921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1350" name="Straight Arrow Connector 1349">
          <a:extLst>
            <a:ext uri="{FF2B5EF4-FFF2-40B4-BE49-F238E27FC236}">
              <a16:creationId xmlns:a16="http://schemas.microsoft.com/office/drawing/2014/main" id="{00000000-0008-0000-1200-000046050000}"/>
            </a:ext>
          </a:extLst>
        </xdr:cNvPr>
        <xdr:cNvCxnSpPr/>
      </xdr:nvCxnSpPr>
      <xdr:spPr>
        <a:xfrm>
          <a:off x="10615083" y="129942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1351" name="Straight Arrow Connector 1350">
          <a:extLst>
            <a:ext uri="{FF2B5EF4-FFF2-40B4-BE49-F238E27FC236}">
              <a16:creationId xmlns:a16="http://schemas.microsoft.com/office/drawing/2014/main" id="{00000000-0008-0000-1200-000047050000}"/>
            </a:ext>
          </a:extLst>
        </xdr:cNvPr>
        <xdr:cNvCxnSpPr/>
      </xdr:nvCxnSpPr>
      <xdr:spPr>
        <a:xfrm>
          <a:off x="10572750" y="129973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1352" name="Straight Arrow Connector 1351">
          <a:extLst>
            <a:ext uri="{FF2B5EF4-FFF2-40B4-BE49-F238E27FC236}">
              <a16:creationId xmlns:a16="http://schemas.microsoft.com/office/drawing/2014/main" id="{00000000-0008-0000-1200-000048050000}"/>
            </a:ext>
          </a:extLst>
        </xdr:cNvPr>
        <xdr:cNvCxnSpPr/>
      </xdr:nvCxnSpPr>
      <xdr:spPr>
        <a:xfrm flipV="1">
          <a:off x="10583333" y="129402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1353" name="Straight Arrow Connector 1352">
          <a:extLst>
            <a:ext uri="{FF2B5EF4-FFF2-40B4-BE49-F238E27FC236}">
              <a16:creationId xmlns:a16="http://schemas.microsoft.com/office/drawing/2014/main" id="{00000000-0008-0000-1200-000049050000}"/>
            </a:ext>
          </a:extLst>
        </xdr:cNvPr>
        <xdr:cNvCxnSpPr/>
      </xdr:nvCxnSpPr>
      <xdr:spPr>
        <a:xfrm flipV="1">
          <a:off x="5207000" y="1121410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1354" name="Straight Arrow Connector 1353">
          <a:extLst>
            <a:ext uri="{FF2B5EF4-FFF2-40B4-BE49-F238E27FC236}">
              <a16:creationId xmlns:a16="http://schemas.microsoft.com/office/drawing/2014/main" id="{00000000-0008-0000-1200-00004A050000}"/>
            </a:ext>
          </a:extLst>
        </xdr:cNvPr>
        <xdr:cNvCxnSpPr/>
      </xdr:nvCxnSpPr>
      <xdr:spPr>
        <a:xfrm flipV="1">
          <a:off x="3714750" y="1386840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1355" name="Straight Arrow Connector 1354">
          <a:extLst>
            <a:ext uri="{FF2B5EF4-FFF2-40B4-BE49-F238E27FC236}">
              <a16:creationId xmlns:a16="http://schemas.microsoft.com/office/drawing/2014/main" id="{00000000-0008-0000-1200-00004B050000}"/>
            </a:ext>
          </a:extLst>
        </xdr:cNvPr>
        <xdr:cNvCxnSpPr/>
      </xdr:nvCxnSpPr>
      <xdr:spPr>
        <a:xfrm>
          <a:off x="3799417" y="145901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1356" name="Straight Arrow Connector 1355">
          <a:extLst>
            <a:ext uri="{FF2B5EF4-FFF2-40B4-BE49-F238E27FC236}">
              <a16:creationId xmlns:a16="http://schemas.microsoft.com/office/drawing/2014/main" id="{00000000-0008-0000-1200-00004C050000}"/>
            </a:ext>
          </a:extLst>
        </xdr:cNvPr>
        <xdr:cNvCxnSpPr/>
      </xdr:nvCxnSpPr>
      <xdr:spPr>
        <a:xfrm flipV="1">
          <a:off x="5175250" y="133879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1357" name="Straight Arrow Connector 1356">
          <a:extLst>
            <a:ext uri="{FF2B5EF4-FFF2-40B4-BE49-F238E27FC236}">
              <a16:creationId xmlns:a16="http://schemas.microsoft.com/office/drawing/2014/main" id="{00000000-0008-0000-1200-00004D050000}"/>
            </a:ext>
          </a:extLst>
        </xdr:cNvPr>
        <xdr:cNvCxnSpPr/>
      </xdr:nvCxnSpPr>
      <xdr:spPr>
        <a:xfrm>
          <a:off x="5175250" y="1386945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1358" name="Straight Arrow Connector 1357">
          <a:extLst>
            <a:ext uri="{FF2B5EF4-FFF2-40B4-BE49-F238E27FC236}">
              <a16:creationId xmlns:a16="http://schemas.microsoft.com/office/drawing/2014/main" id="{00000000-0008-0000-1200-00004E050000}"/>
            </a:ext>
          </a:extLst>
        </xdr:cNvPr>
        <xdr:cNvCxnSpPr/>
      </xdr:nvCxnSpPr>
      <xdr:spPr>
        <a:xfrm flipV="1">
          <a:off x="6381750" y="132344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1359" name="Straight Arrow Connector 1358">
          <a:extLst>
            <a:ext uri="{FF2B5EF4-FFF2-40B4-BE49-F238E27FC236}">
              <a16:creationId xmlns:a16="http://schemas.microsoft.com/office/drawing/2014/main" id="{00000000-0008-0000-1200-00004F050000}"/>
            </a:ext>
          </a:extLst>
        </xdr:cNvPr>
        <xdr:cNvCxnSpPr/>
      </xdr:nvCxnSpPr>
      <xdr:spPr>
        <a:xfrm>
          <a:off x="6413500" y="133921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1360" name="Straight Arrow Connector 1359">
          <a:extLst>
            <a:ext uri="{FF2B5EF4-FFF2-40B4-BE49-F238E27FC236}">
              <a16:creationId xmlns:a16="http://schemas.microsoft.com/office/drawing/2014/main" id="{00000000-0008-0000-1200-000050050000}"/>
            </a:ext>
          </a:extLst>
        </xdr:cNvPr>
        <xdr:cNvCxnSpPr/>
      </xdr:nvCxnSpPr>
      <xdr:spPr>
        <a:xfrm flipV="1">
          <a:off x="7609417" y="135043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1361" name="Straight Arrow Connector 1360">
          <a:extLst>
            <a:ext uri="{FF2B5EF4-FFF2-40B4-BE49-F238E27FC236}">
              <a16:creationId xmlns:a16="http://schemas.microsoft.com/office/drawing/2014/main" id="{00000000-0008-0000-1200-000051050000}"/>
            </a:ext>
          </a:extLst>
        </xdr:cNvPr>
        <xdr:cNvCxnSpPr/>
      </xdr:nvCxnSpPr>
      <xdr:spPr>
        <a:xfrm>
          <a:off x="7598834" y="136059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1362" name="Straight Arrow Connector 1361">
          <a:extLst>
            <a:ext uri="{FF2B5EF4-FFF2-40B4-BE49-F238E27FC236}">
              <a16:creationId xmlns:a16="http://schemas.microsoft.com/office/drawing/2014/main" id="{00000000-0008-0000-1200-000052050000}"/>
            </a:ext>
          </a:extLst>
        </xdr:cNvPr>
        <xdr:cNvCxnSpPr/>
      </xdr:nvCxnSpPr>
      <xdr:spPr>
        <a:xfrm flipV="1">
          <a:off x="8794750" y="134133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1363" name="Straight Arrow Connector 1362">
          <a:extLst>
            <a:ext uri="{FF2B5EF4-FFF2-40B4-BE49-F238E27FC236}">
              <a16:creationId xmlns:a16="http://schemas.microsoft.com/office/drawing/2014/main" id="{00000000-0008-0000-1200-000053050000}"/>
            </a:ext>
          </a:extLst>
        </xdr:cNvPr>
        <xdr:cNvCxnSpPr/>
      </xdr:nvCxnSpPr>
      <xdr:spPr>
        <a:xfrm>
          <a:off x="8784166" y="135085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1364" name="Straight Arrow Connector 1363">
          <a:extLst>
            <a:ext uri="{FF2B5EF4-FFF2-40B4-BE49-F238E27FC236}">
              <a16:creationId xmlns:a16="http://schemas.microsoft.com/office/drawing/2014/main" id="{00000000-0008-0000-1200-000054050000}"/>
            </a:ext>
          </a:extLst>
        </xdr:cNvPr>
        <xdr:cNvCxnSpPr/>
      </xdr:nvCxnSpPr>
      <xdr:spPr>
        <a:xfrm flipV="1">
          <a:off x="8794750" y="138133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1365" name="Straight Arrow Connector 1364">
          <a:extLst>
            <a:ext uri="{FF2B5EF4-FFF2-40B4-BE49-F238E27FC236}">
              <a16:creationId xmlns:a16="http://schemas.microsoft.com/office/drawing/2014/main" id="{00000000-0008-0000-1200-000055050000}"/>
            </a:ext>
          </a:extLst>
        </xdr:cNvPr>
        <xdr:cNvCxnSpPr/>
      </xdr:nvCxnSpPr>
      <xdr:spPr>
        <a:xfrm>
          <a:off x="8805333" y="139065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1592</xdr:row>
      <xdr:rowOff>0</xdr:rowOff>
    </xdr:from>
    <xdr:to>
      <xdr:col>15</xdr:col>
      <xdr:colOff>603250</xdr:colOff>
      <xdr:row>1597</xdr:row>
      <xdr:rowOff>31750</xdr:rowOff>
    </xdr:to>
    <xdr:cxnSp macro="">
      <xdr:nvCxnSpPr>
        <xdr:cNvPr id="1366" name="Straight Arrow Connector 1365">
          <a:extLst>
            <a:ext uri="{FF2B5EF4-FFF2-40B4-BE49-F238E27FC236}">
              <a16:creationId xmlns:a16="http://schemas.microsoft.com/office/drawing/2014/main" id="{00000000-0008-0000-1200-000056050000}"/>
            </a:ext>
          </a:extLst>
        </xdr:cNvPr>
        <xdr:cNvCxnSpPr/>
      </xdr:nvCxnSpPr>
      <xdr:spPr>
        <a:xfrm flipV="1">
          <a:off x="10541000" y="132588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1367" name="Straight Arrow Connector 1366">
          <a:extLst>
            <a:ext uri="{FF2B5EF4-FFF2-40B4-BE49-F238E27FC236}">
              <a16:creationId xmlns:a16="http://schemas.microsoft.com/office/drawing/2014/main" id="{00000000-0008-0000-1200-000057050000}"/>
            </a:ext>
          </a:extLst>
        </xdr:cNvPr>
        <xdr:cNvCxnSpPr/>
      </xdr:nvCxnSpPr>
      <xdr:spPr>
        <a:xfrm flipV="1">
          <a:off x="10583333" y="133212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1368" name="Straight Arrow Connector 1367">
          <a:extLst>
            <a:ext uri="{FF2B5EF4-FFF2-40B4-BE49-F238E27FC236}">
              <a16:creationId xmlns:a16="http://schemas.microsoft.com/office/drawing/2014/main" id="{00000000-0008-0000-1200-000058050000}"/>
            </a:ext>
          </a:extLst>
        </xdr:cNvPr>
        <xdr:cNvCxnSpPr/>
      </xdr:nvCxnSpPr>
      <xdr:spPr>
        <a:xfrm>
          <a:off x="10604500" y="133699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1369" name="Straight Arrow Connector 1368">
          <a:extLst>
            <a:ext uri="{FF2B5EF4-FFF2-40B4-BE49-F238E27FC236}">
              <a16:creationId xmlns:a16="http://schemas.microsoft.com/office/drawing/2014/main" id="{00000000-0008-0000-1200-000059050000}"/>
            </a:ext>
          </a:extLst>
        </xdr:cNvPr>
        <xdr:cNvCxnSpPr/>
      </xdr:nvCxnSpPr>
      <xdr:spPr>
        <a:xfrm>
          <a:off x="10519834" y="133646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1605</xdr:row>
      <xdr:rowOff>52916</xdr:rowOff>
    </xdr:from>
    <xdr:to>
      <xdr:col>16</xdr:col>
      <xdr:colOff>0</xdr:colOff>
      <xdr:row>1607</xdr:row>
      <xdr:rowOff>0</xdr:rowOff>
    </xdr:to>
    <xdr:cxnSp macro="">
      <xdr:nvCxnSpPr>
        <xdr:cNvPr id="1370" name="Straight Arrow Connector 1369">
          <a:extLst>
            <a:ext uri="{FF2B5EF4-FFF2-40B4-BE49-F238E27FC236}">
              <a16:creationId xmlns:a16="http://schemas.microsoft.com/office/drawing/2014/main" id="{00000000-0008-0000-1200-00005A050000}"/>
            </a:ext>
          </a:extLst>
        </xdr:cNvPr>
        <xdr:cNvCxnSpPr/>
      </xdr:nvCxnSpPr>
      <xdr:spPr>
        <a:xfrm flipV="1">
          <a:off x="10541000" y="135117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1371" name="Straight Arrow Connector 1370">
          <a:extLst>
            <a:ext uri="{FF2B5EF4-FFF2-40B4-BE49-F238E27FC236}">
              <a16:creationId xmlns:a16="http://schemas.microsoft.com/office/drawing/2014/main" id="{00000000-0008-0000-1200-00005B050000}"/>
            </a:ext>
          </a:extLst>
        </xdr:cNvPr>
        <xdr:cNvCxnSpPr/>
      </xdr:nvCxnSpPr>
      <xdr:spPr>
        <a:xfrm>
          <a:off x="10551583" y="135466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1372" name="Straight Arrow Connector 1371">
          <a:extLst>
            <a:ext uri="{FF2B5EF4-FFF2-40B4-BE49-F238E27FC236}">
              <a16:creationId xmlns:a16="http://schemas.microsoft.com/office/drawing/2014/main" id="{00000000-0008-0000-1200-00005C050000}"/>
            </a:ext>
          </a:extLst>
        </xdr:cNvPr>
        <xdr:cNvCxnSpPr/>
      </xdr:nvCxnSpPr>
      <xdr:spPr>
        <a:xfrm>
          <a:off x="10530417" y="135466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1373" name="Straight Arrow Connector 1372">
          <a:extLst>
            <a:ext uri="{FF2B5EF4-FFF2-40B4-BE49-F238E27FC236}">
              <a16:creationId xmlns:a16="http://schemas.microsoft.com/office/drawing/2014/main" id="{00000000-0008-0000-1200-00005D050000}"/>
            </a:ext>
          </a:extLst>
        </xdr:cNvPr>
        <xdr:cNvCxnSpPr/>
      </xdr:nvCxnSpPr>
      <xdr:spPr>
        <a:xfrm>
          <a:off x="10541000" y="135477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1374" name="Straight Arrow Connector 1373">
          <a:extLst>
            <a:ext uri="{FF2B5EF4-FFF2-40B4-BE49-F238E27FC236}">
              <a16:creationId xmlns:a16="http://schemas.microsoft.com/office/drawing/2014/main" id="{00000000-0008-0000-1200-00005E050000}"/>
            </a:ext>
          </a:extLst>
        </xdr:cNvPr>
        <xdr:cNvCxnSpPr/>
      </xdr:nvCxnSpPr>
      <xdr:spPr>
        <a:xfrm flipV="1">
          <a:off x="6392333" y="142726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1375" name="Straight Arrow Connector 1374">
          <a:extLst>
            <a:ext uri="{FF2B5EF4-FFF2-40B4-BE49-F238E27FC236}">
              <a16:creationId xmlns:a16="http://schemas.microsoft.com/office/drawing/2014/main" id="{00000000-0008-0000-1200-00005F050000}"/>
            </a:ext>
          </a:extLst>
        </xdr:cNvPr>
        <xdr:cNvCxnSpPr/>
      </xdr:nvCxnSpPr>
      <xdr:spPr>
        <a:xfrm>
          <a:off x="6413500" y="144758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1376" name="Straight Arrow Connector 1375">
          <a:extLst>
            <a:ext uri="{FF2B5EF4-FFF2-40B4-BE49-F238E27FC236}">
              <a16:creationId xmlns:a16="http://schemas.microsoft.com/office/drawing/2014/main" id="{00000000-0008-0000-1200-000060050000}"/>
            </a:ext>
          </a:extLst>
        </xdr:cNvPr>
        <xdr:cNvCxnSpPr/>
      </xdr:nvCxnSpPr>
      <xdr:spPr>
        <a:xfrm flipV="1">
          <a:off x="7556500" y="145891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1377" name="Straight Arrow Connector 1376">
          <a:extLst>
            <a:ext uri="{FF2B5EF4-FFF2-40B4-BE49-F238E27FC236}">
              <a16:creationId xmlns:a16="http://schemas.microsoft.com/office/drawing/2014/main" id="{00000000-0008-0000-1200-000061050000}"/>
            </a:ext>
          </a:extLst>
        </xdr:cNvPr>
        <xdr:cNvCxnSpPr/>
      </xdr:nvCxnSpPr>
      <xdr:spPr>
        <a:xfrm flipV="1">
          <a:off x="10530417" y="137731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1378" name="Straight Arrow Connector 1377">
          <a:extLst>
            <a:ext uri="{FF2B5EF4-FFF2-40B4-BE49-F238E27FC236}">
              <a16:creationId xmlns:a16="http://schemas.microsoft.com/office/drawing/2014/main" id="{00000000-0008-0000-1200-000062050000}"/>
            </a:ext>
          </a:extLst>
        </xdr:cNvPr>
        <xdr:cNvCxnSpPr/>
      </xdr:nvCxnSpPr>
      <xdr:spPr>
        <a:xfrm>
          <a:off x="10572750" y="138123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1379" name="Straight Arrow Connector 1378">
          <a:extLst>
            <a:ext uri="{FF2B5EF4-FFF2-40B4-BE49-F238E27FC236}">
              <a16:creationId xmlns:a16="http://schemas.microsoft.com/office/drawing/2014/main" id="{00000000-0008-0000-1200-000063050000}"/>
            </a:ext>
          </a:extLst>
        </xdr:cNvPr>
        <xdr:cNvCxnSpPr/>
      </xdr:nvCxnSpPr>
      <xdr:spPr>
        <a:xfrm>
          <a:off x="10551583" y="138123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1380" name="Straight Arrow Connector 1379">
          <a:extLst>
            <a:ext uri="{FF2B5EF4-FFF2-40B4-BE49-F238E27FC236}">
              <a16:creationId xmlns:a16="http://schemas.microsoft.com/office/drawing/2014/main" id="{00000000-0008-0000-1200-000064050000}"/>
            </a:ext>
          </a:extLst>
        </xdr:cNvPr>
        <xdr:cNvCxnSpPr/>
      </xdr:nvCxnSpPr>
      <xdr:spPr>
        <a:xfrm>
          <a:off x="10583333" y="138144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1381" name="Straight Arrow Connector 1380">
          <a:extLst>
            <a:ext uri="{FF2B5EF4-FFF2-40B4-BE49-F238E27FC236}">
              <a16:creationId xmlns:a16="http://schemas.microsoft.com/office/drawing/2014/main" id="{00000000-0008-0000-1200-000065050000}"/>
            </a:ext>
          </a:extLst>
        </xdr:cNvPr>
        <xdr:cNvCxnSpPr/>
      </xdr:nvCxnSpPr>
      <xdr:spPr>
        <a:xfrm>
          <a:off x="10562166" y="140779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1382" name="Straight Arrow Connector 1381">
          <a:extLst>
            <a:ext uri="{FF2B5EF4-FFF2-40B4-BE49-F238E27FC236}">
              <a16:creationId xmlns:a16="http://schemas.microsoft.com/office/drawing/2014/main" id="{00000000-0008-0000-1200-000066050000}"/>
            </a:ext>
          </a:extLst>
        </xdr:cNvPr>
        <xdr:cNvCxnSpPr/>
      </xdr:nvCxnSpPr>
      <xdr:spPr>
        <a:xfrm>
          <a:off x="10615083" y="140800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1383" name="Straight Arrow Connector 1382">
          <a:extLst>
            <a:ext uri="{FF2B5EF4-FFF2-40B4-BE49-F238E27FC236}">
              <a16:creationId xmlns:a16="http://schemas.microsoft.com/office/drawing/2014/main" id="{00000000-0008-0000-1200-000067050000}"/>
            </a:ext>
          </a:extLst>
        </xdr:cNvPr>
        <xdr:cNvCxnSpPr/>
      </xdr:nvCxnSpPr>
      <xdr:spPr>
        <a:xfrm>
          <a:off x="10572750" y="140832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1384" name="Straight Arrow Connector 1383">
          <a:extLst>
            <a:ext uri="{FF2B5EF4-FFF2-40B4-BE49-F238E27FC236}">
              <a16:creationId xmlns:a16="http://schemas.microsoft.com/office/drawing/2014/main" id="{00000000-0008-0000-1200-000068050000}"/>
            </a:ext>
          </a:extLst>
        </xdr:cNvPr>
        <xdr:cNvCxnSpPr/>
      </xdr:nvCxnSpPr>
      <xdr:spPr>
        <a:xfrm flipV="1">
          <a:off x="10562166" y="143562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1385" name="Straight Arrow Connector 1384">
          <a:extLst>
            <a:ext uri="{FF2B5EF4-FFF2-40B4-BE49-F238E27FC236}">
              <a16:creationId xmlns:a16="http://schemas.microsoft.com/office/drawing/2014/main" id="{00000000-0008-0000-1200-000069050000}"/>
            </a:ext>
          </a:extLst>
        </xdr:cNvPr>
        <xdr:cNvCxnSpPr/>
      </xdr:nvCxnSpPr>
      <xdr:spPr>
        <a:xfrm flipV="1">
          <a:off x="10604500" y="143922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1386" name="Straight Arrow Connector 1385">
          <a:extLst>
            <a:ext uri="{FF2B5EF4-FFF2-40B4-BE49-F238E27FC236}">
              <a16:creationId xmlns:a16="http://schemas.microsoft.com/office/drawing/2014/main" id="{00000000-0008-0000-1200-00006A050000}"/>
            </a:ext>
          </a:extLst>
        </xdr:cNvPr>
        <xdr:cNvCxnSpPr/>
      </xdr:nvCxnSpPr>
      <xdr:spPr>
        <a:xfrm>
          <a:off x="10593916" y="144324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1387" name="Straight Arrow Connector 1386">
          <a:extLst>
            <a:ext uri="{FF2B5EF4-FFF2-40B4-BE49-F238E27FC236}">
              <a16:creationId xmlns:a16="http://schemas.microsoft.com/office/drawing/2014/main" id="{00000000-0008-0000-1200-00006B050000}"/>
            </a:ext>
          </a:extLst>
        </xdr:cNvPr>
        <xdr:cNvCxnSpPr/>
      </xdr:nvCxnSpPr>
      <xdr:spPr>
        <a:xfrm>
          <a:off x="10572750" y="146420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1388" name="Straight Arrow Connector 1387">
          <a:extLst>
            <a:ext uri="{FF2B5EF4-FFF2-40B4-BE49-F238E27FC236}">
              <a16:creationId xmlns:a16="http://schemas.microsoft.com/office/drawing/2014/main" id="{00000000-0008-0000-1200-00006C050000}"/>
            </a:ext>
          </a:extLst>
        </xdr:cNvPr>
        <xdr:cNvCxnSpPr/>
      </xdr:nvCxnSpPr>
      <xdr:spPr>
        <a:xfrm flipV="1">
          <a:off x="10583333" y="140260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1389" name="Straight Arrow Connector 1388">
          <a:extLst>
            <a:ext uri="{FF2B5EF4-FFF2-40B4-BE49-F238E27FC236}">
              <a16:creationId xmlns:a16="http://schemas.microsoft.com/office/drawing/2014/main" id="{00000000-0008-0000-1200-00006D050000}"/>
            </a:ext>
          </a:extLst>
        </xdr:cNvPr>
        <xdr:cNvCxnSpPr/>
      </xdr:nvCxnSpPr>
      <xdr:spPr>
        <a:xfrm>
          <a:off x="7598834" y="146917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1390" name="Straight Arrow Connector 1389">
          <a:extLst>
            <a:ext uri="{FF2B5EF4-FFF2-40B4-BE49-F238E27FC236}">
              <a16:creationId xmlns:a16="http://schemas.microsoft.com/office/drawing/2014/main" id="{00000000-0008-0000-1200-00006E050000}"/>
            </a:ext>
          </a:extLst>
        </xdr:cNvPr>
        <xdr:cNvCxnSpPr/>
      </xdr:nvCxnSpPr>
      <xdr:spPr>
        <a:xfrm flipV="1">
          <a:off x="8794750" y="144991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1391" name="Straight Arrow Connector 1390">
          <a:extLst>
            <a:ext uri="{FF2B5EF4-FFF2-40B4-BE49-F238E27FC236}">
              <a16:creationId xmlns:a16="http://schemas.microsoft.com/office/drawing/2014/main" id="{00000000-0008-0000-1200-00006F050000}"/>
            </a:ext>
          </a:extLst>
        </xdr:cNvPr>
        <xdr:cNvCxnSpPr/>
      </xdr:nvCxnSpPr>
      <xdr:spPr>
        <a:xfrm>
          <a:off x="8784166" y="145944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1392" name="Straight Arrow Connector 1391">
          <a:extLst>
            <a:ext uri="{FF2B5EF4-FFF2-40B4-BE49-F238E27FC236}">
              <a16:creationId xmlns:a16="http://schemas.microsoft.com/office/drawing/2014/main" id="{00000000-0008-0000-1200-000070050000}"/>
            </a:ext>
          </a:extLst>
        </xdr:cNvPr>
        <xdr:cNvCxnSpPr/>
      </xdr:nvCxnSpPr>
      <xdr:spPr>
        <a:xfrm flipV="1">
          <a:off x="8794750" y="148992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1393" name="Straight Arrow Connector 1392">
          <a:extLst>
            <a:ext uri="{FF2B5EF4-FFF2-40B4-BE49-F238E27FC236}">
              <a16:creationId xmlns:a16="http://schemas.microsoft.com/office/drawing/2014/main" id="{00000000-0008-0000-1200-000071050000}"/>
            </a:ext>
          </a:extLst>
        </xdr:cNvPr>
        <xdr:cNvCxnSpPr/>
      </xdr:nvCxnSpPr>
      <xdr:spPr>
        <a:xfrm>
          <a:off x="8805333" y="149923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1394" name="Straight Arrow Connector 1393">
          <a:extLst>
            <a:ext uri="{FF2B5EF4-FFF2-40B4-BE49-F238E27FC236}">
              <a16:creationId xmlns:a16="http://schemas.microsoft.com/office/drawing/2014/main" id="{00000000-0008-0000-1200-000072050000}"/>
            </a:ext>
          </a:extLst>
        </xdr:cNvPr>
        <xdr:cNvCxnSpPr/>
      </xdr:nvCxnSpPr>
      <xdr:spPr>
        <a:xfrm>
          <a:off x="10593916" y="144303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1661</xdr:row>
      <xdr:rowOff>52916</xdr:rowOff>
    </xdr:from>
    <xdr:to>
      <xdr:col>16</xdr:col>
      <xdr:colOff>0</xdr:colOff>
      <xdr:row>1663</xdr:row>
      <xdr:rowOff>0</xdr:rowOff>
    </xdr:to>
    <xdr:cxnSp macro="">
      <xdr:nvCxnSpPr>
        <xdr:cNvPr id="1395" name="Straight Arrow Connector 1394">
          <a:extLst>
            <a:ext uri="{FF2B5EF4-FFF2-40B4-BE49-F238E27FC236}">
              <a16:creationId xmlns:a16="http://schemas.microsoft.com/office/drawing/2014/main" id="{00000000-0008-0000-1200-000073050000}"/>
            </a:ext>
          </a:extLst>
        </xdr:cNvPr>
        <xdr:cNvCxnSpPr/>
      </xdr:nvCxnSpPr>
      <xdr:spPr>
        <a:xfrm flipV="1">
          <a:off x="10541000" y="145975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1396" name="Straight Arrow Connector 1395">
          <a:extLst>
            <a:ext uri="{FF2B5EF4-FFF2-40B4-BE49-F238E27FC236}">
              <a16:creationId xmlns:a16="http://schemas.microsoft.com/office/drawing/2014/main" id="{00000000-0008-0000-1200-000074050000}"/>
            </a:ext>
          </a:extLst>
        </xdr:cNvPr>
        <xdr:cNvCxnSpPr/>
      </xdr:nvCxnSpPr>
      <xdr:spPr>
        <a:xfrm>
          <a:off x="10530417" y="146325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1397" name="Straight Arrow Connector 1396">
          <a:extLst>
            <a:ext uri="{FF2B5EF4-FFF2-40B4-BE49-F238E27FC236}">
              <a16:creationId xmlns:a16="http://schemas.microsoft.com/office/drawing/2014/main" id="{00000000-0008-0000-1200-000075050000}"/>
            </a:ext>
          </a:extLst>
        </xdr:cNvPr>
        <xdr:cNvCxnSpPr/>
      </xdr:nvCxnSpPr>
      <xdr:spPr>
        <a:xfrm>
          <a:off x="10530417" y="146304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1398" name="Straight Arrow Connector 1397">
          <a:extLst>
            <a:ext uri="{FF2B5EF4-FFF2-40B4-BE49-F238E27FC236}">
              <a16:creationId xmlns:a16="http://schemas.microsoft.com/office/drawing/2014/main" id="{00000000-0008-0000-1200-000076050000}"/>
            </a:ext>
          </a:extLst>
        </xdr:cNvPr>
        <xdr:cNvCxnSpPr/>
      </xdr:nvCxnSpPr>
      <xdr:spPr>
        <a:xfrm flipV="1">
          <a:off x="10530417" y="148590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1399" name="Straight Arrow Connector 1398">
          <a:extLst>
            <a:ext uri="{FF2B5EF4-FFF2-40B4-BE49-F238E27FC236}">
              <a16:creationId xmlns:a16="http://schemas.microsoft.com/office/drawing/2014/main" id="{00000000-0008-0000-1200-000077050000}"/>
            </a:ext>
          </a:extLst>
        </xdr:cNvPr>
        <xdr:cNvCxnSpPr/>
      </xdr:nvCxnSpPr>
      <xdr:spPr>
        <a:xfrm>
          <a:off x="10572750" y="148981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1400" name="Straight Arrow Connector 1399">
          <a:extLst>
            <a:ext uri="{FF2B5EF4-FFF2-40B4-BE49-F238E27FC236}">
              <a16:creationId xmlns:a16="http://schemas.microsoft.com/office/drawing/2014/main" id="{00000000-0008-0000-1200-000078050000}"/>
            </a:ext>
          </a:extLst>
        </xdr:cNvPr>
        <xdr:cNvCxnSpPr/>
      </xdr:nvCxnSpPr>
      <xdr:spPr>
        <a:xfrm>
          <a:off x="10551583" y="148981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1401" name="Straight Arrow Connector 1400">
          <a:extLst>
            <a:ext uri="{FF2B5EF4-FFF2-40B4-BE49-F238E27FC236}">
              <a16:creationId xmlns:a16="http://schemas.microsoft.com/office/drawing/2014/main" id="{00000000-0008-0000-1200-000079050000}"/>
            </a:ext>
          </a:extLst>
        </xdr:cNvPr>
        <xdr:cNvCxnSpPr/>
      </xdr:nvCxnSpPr>
      <xdr:spPr>
        <a:xfrm>
          <a:off x="10583333" y="149002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1402" name="Straight Arrow Connector 1401">
          <a:extLst>
            <a:ext uri="{FF2B5EF4-FFF2-40B4-BE49-F238E27FC236}">
              <a16:creationId xmlns:a16="http://schemas.microsoft.com/office/drawing/2014/main" id="{00000000-0008-0000-1200-00007A050000}"/>
            </a:ext>
          </a:extLst>
        </xdr:cNvPr>
        <xdr:cNvCxnSpPr/>
      </xdr:nvCxnSpPr>
      <xdr:spPr>
        <a:xfrm>
          <a:off x="10562166" y="151638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1403" name="Straight Arrow Connector 1402">
          <a:extLst>
            <a:ext uri="{FF2B5EF4-FFF2-40B4-BE49-F238E27FC236}">
              <a16:creationId xmlns:a16="http://schemas.microsoft.com/office/drawing/2014/main" id="{00000000-0008-0000-1200-00007B050000}"/>
            </a:ext>
          </a:extLst>
        </xdr:cNvPr>
        <xdr:cNvCxnSpPr/>
      </xdr:nvCxnSpPr>
      <xdr:spPr>
        <a:xfrm>
          <a:off x="10615083" y="151659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1404" name="Straight Arrow Connector 1403">
          <a:extLst>
            <a:ext uri="{FF2B5EF4-FFF2-40B4-BE49-F238E27FC236}">
              <a16:creationId xmlns:a16="http://schemas.microsoft.com/office/drawing/2014/main" id="{00000000-0008-0000-1200-00007C050000}"/>
            </a:ext>
          </a:extLst>
        </xdr:cNvPr>
        <xdr:cNvCxnSpPr/>
      </xdr:nvCxnSpPr>
      <xdr:spPr>
        <a:xfrm>
          <a:off x="10572750" y="151690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1405" name="Straight Arrow Connector 1404">
          <a:extLst>
            <a:ext uri="{FF2B5EF4-FFF2-40B4-BE49-F238E27FC236}">
              <a16:creationId xmlns:a16="http://schemas.microsoft.com/office/drawing/2014/main" id="{00000000-0008-0000-1200-00007D050000}"/>
            </a:ext>
          </a:extLst>
        </xdr:cNvPr>
        <xdr:cNvCxnSpPr/>
      </xdr:nvCxnSpPr>
      <xdr:spPr>
        <a:xfrm flipV="1">
          <a:off x="10583333" y="151119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1406" name="Straight Arrow Connector 1405">
          <a:extLst>
            <a:ext uri="{FF2B5EF4-FFF2-40B4-BE49-F238E27FC236}">
              <a16:creationId xmlns:a16="http://schemas.microsoft.com/office/drawing/2014/main" id="{00000000-0008-0000-1200-00007E050000}"/>
            </a:ext>
          </a:extLst>
        </xdr:cNvPr>
        <xdr:cNvCxnSpPr/>
      </xdr:nvCxnSpPr>
      <xdr:spPr>
        <a:xfrm>
          <a:off x="5080000" y="1597342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1407" name="Straight Arrow Connector 1406">
          <a:extLst>
            <a:ext uri="{FF2B5EF4-FFF2-40B4-BE49-F238E27FC236}">
              <a16:creationId xmlns:a16="http://schemas.microsoft.com/office/drawing/2014/main" id="{00000000-0008-0000-1200-00007F050000}"/>
            </a:ext>
          </a:extLst>
        </xdr:cNvPr>
        <xdr:cNvCxnSpPr/>
      </xdr:nvCxnSpPr>
      <xdr:spPr>
        <a:xfrm flipV="1">
          <a:off x="6381750" y="154061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1408" name="Straight Arrow Connector 1407">
          <a:extLst>
            <a:ext uri="{FF2B5EF4-FFF2-40B4-BE49-F238E27FC236}">
              <a16:creationId xmlns:a16="http://schemas.microsoft.com/office/drawing/2014/main" id="{00000000-0008-0000-1200-000080050000}"/>
            </a:ext>
          </a:extLst>
        </xdr:cNvPr>
        <xdr:cNvCxnSpPr/>
      </xdr:nvCxnSpPr>
      <xdr:spPr>
        <a:xfrm>
          <a:off x="6413500" y="155638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1409" name="Straight Arrow Connector 1408">
          <a:extLst>
            <a:ext uri="{FF2B5EF4-FFF2-40B4-BE49-F238E27FC236}">
              <a16:creationId xmlns:a16="http://schemas.microsoft.com/office/drawing/2014/main" id="{00000000-0008-0000-1200-000081050000}"/>
            </a:ext>
          </a:extLst>
        </xdr:cNvPr>
        <xdr:cNvCxnSpPr/>
      </xdr:nvCxnSpPr>
      <xdr:spPr>
        <a:xfrm flipV="1">
          <a:off x="7609417" y="156760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1410" name="Straight Arrow Connector 1409">
          <a:extLst>
            <a:ext uri="{FF2B5EF4-FFF2-40B4-BE49-F238E27FC236}">
              <a16:creationId xmlns:a16="http://schemas.microsoft.com/office/drawing/2014/main" id="{00000000-0008-0000-1200-000082050000}"/>
            </a:ext>
          </a:extLst>
        </xdr:cNvPr>
        <xdr:cNvCxnSpPr/>
      </xdr:nvCxnSpPr>
      <xdr:spPr>
        <a:xfrm>
          <a:off x="7598834" y="157776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1411" name="Straight Arrow Connector 1410">
          <a:extLst>
            <a:ext uri="{FF2B5EF4-FFF2-40B4-BE49-F238E27FC236}">
              <a16:creationId xmlns:a16="http://schemas.microsoft.com/office/drawing/2014/main" id="{00000000-0008-0000-1200-000083050000}"/>
            </a:ext>
          </a:extLst>
        </xdr:cNvPr>
        <xdr:cNvCxnSpPr/>
      </xdr:nvCxnSpPr>
      <xdr:spPr>
        <a:xfrm flipV="1">
          <a:off x="8794750" y="155850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1412" name="Straight Arrow Connector 1411">
          <a:extLst>
            <a:ext uri="{FF2B5EF4-FFF2-40B4-BE49-F238E27FC236}">
              <a16:creationId xmlns:a16="http://schemas.microsoft.com/office/drawing/2014/main" id="{00000000-0008-0000-1200-000084050000}"/>
            </a:ext>
          </a:extLst>
        </xdr:cNvPr>
        <xdr:cNvCxnSpPr/>
      </xdr:nvCxnSpPr>
      <xdr:spPr>
        <a:xfrm>
          <a:off x="8784166" y="156802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1413" name="Straight Arrow Connector 1412">
          <a:extLst>
            <a:ext uri="{FF2B5EF4-FFF2-40B4-BE49-F238E27FC236}">
              <a16:creationId xmlns:a16="http://schemas.microsoft.com/office/drawing/2014/main" id="{00000000-0008-0000-1200-000085050000}"/>
            </a:ext>
          </a:extLst>
        </xdr:cNvPr>
        <xdr:cNvCxnSpPr/>
      </xdr:nvCxnSpPr>
      <xdr:spPr>
        <a:xfrm flipV="1">
          <a:off x="8794750" y="159850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1414" name="Straight Arrow Connector 1413">
          <a:extLst>
            <a:ext uri="{FF2B5EF4-FFF2-40B4-BE49-F238E27FC236}">
              <a16:creationId xmlns:a16="http://schemas.microsoft.com/office/drawing/2014/main" id="{00000000-0008-0000-1200-000086050000}"/>
            </a:ext>
          </a:extLst>
        </xdr:cNvPr>
        <xdr:cNvCxnSpPr/>
      </xdr:nvCxnSpPr>
      <xdr:spPr>
        <a:xfrm>
          <a:off x="8805333" y="160782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1704</xdr:row>
      <xdr:rowOff>0</xdr:rowOff>
    </xdr:from>
    <xdr:to>
      <xdr:col>15</xdr:col>
      <xdr:colOff>603250</xdr:colOff>
      <xdr:row>1709</xdr:row>
      <xdr:rowOff>31750</xdr:rowOff>
    </xdr:to>
    <xdr:cxnSp macro="">
      <xdr:nvCxnSpPr>
        <xdr:cNvPr id="1415" name="Straight Arrow Connector 1414">
          <a:extLst>
            <a:ext uri="{FF2B5EF4-FFF2-40B4-BE49-F238E27FC236}">
              <a16:creationId xmlns:a16="http://schemas.microsoft.com/office/drawing/2014/main" id="{00000000-0008-0000-1200-000087050000}"/>
            </a:ext>
          </a:extLst>
        </xdr:cNvPr>
        <xdr:cNvCxnSpPr/>
      </xdr:nvCxnSpPr>
      <xdr:spPr>
        <a:xfrm flipV="1">
          <a:off x="10541000" y="154305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1416" name="Straight Arrow Connector 1415">
          <a:extLst>
            <a:ext uri="{FF2B5EF4-FFF2-40B4-BE49-F238E27FC236}">
              <a16:creationId xmlns:a16="http://schemas.microsoft.com/office/drawing/2014/main" id="{00000000-0008-0000-1200-000088050000}"/>
            </a:ext>
          </a:extLst>
        </xdr:cNvPr>
        <xdr:cNvCxnSpPr/>
      </xdr:nvCxnSpPr>
      <xdr:spPr>
        <a:xfrm flipV="1">
          <a:off x="10583333" y="154929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1417" name="Straight Arrow Connector 1416">
          <a:extLst>
            <a:ext uri="{FF2B5EF4-FFF2-40B4-BE49-F238E27FC236}">
              <a16:creationId xmlns:a16="http://schemas.microsoft.com/office/drawing/2014/main" id="{00000000-0008-0000-1200-000089050000}"/>
            </a:ext>
          </a:extLst>
        </xdr:cNvPr>
        <xdr:cNvCxnSpPr/>
      </xdr:nvCxnSpPr>
      <xdr:spPr>
        <a:xfrm>
          <a:off x="10604500" y="155416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1418" name="Straight Arrow Connector 1417">
          <a:extLst>
            <a:ext uri="{FF2B5EF4-FFF2-40B4-BE49-F238E27FC236}">
              <a16:creationId xmlns:a16="http://schemas.microsoft.com/office/drawing/2014/main" id="{00000000-0008-0000-1200-00008A050000}"/>
            </a:ext>
          </a:extLst>
        </xdr:cNvPr>
        <xdr:cNvCxnSpPr/>
      </xdr:nvCxnSpPr>
      <xdr:spPr>
        <a:xfrm>
          <a:off x="10519834" y="155363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1717</xdr:row>
      <xdr:rowOff>52916</xdr:rowOff>
    </xdr:from>
    <xdr:to>
      <xdr:col>16</xdr:col>
      <xdr:colOff>0</xdr:colOff>
      <xdr:row>1719</xdr:row>
      <xdr:rowOff>0</xdr:rowOff>
    </xdr:to>
    <xdr:cxnSp macro="">
      <xdr:nvCxnSpPr>
        <xdr:cNvPr id="1419" name="Straight Arrow Connector 1418">
          <a:extLst>
            <a:ext uri="{FF2B5EF4-FFF2-40B4-BE49-F238E27FC236}">
              <a16:creationId xmlns:a16="http://schemas.microsoft.com/office/drawing/2014/main" id="{00000000-0008-0000-1200-00008B050000}"/>
            </a:ext>
          </a:extLst>
        </xdr:cNvPr>
        <xdr:cNvCxnSpPr/>
      </xdr:nvCxnSpPr>
      <xdr:spPr>
        <a:xfrm flipV="1">
          <a:off x="10541000" y="156834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1420" name="Straight Arrow Connector 1419">
          <a:extLst>
            <a:ext uri="{FF2B5EF4-FFF2-40B4-BE49-F238E27FC236}">
              <a16:creationId xmlns:a16="http://schemas.microsoft.com/office/drawing/2014/main" id="{00000000-0008-0000-1200-00008C050000}"/>
            </a:ext>
          </a:extLst>
        </xdr:cNvPr>
        <xdr:cNvCxnSpPr/>
      </xdr:nvCxnSpPr>
      <xdr:spPr>
        <a:xfrm>
          <a:off x="10551583" y="157183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1421" name="Straight Arrow Connector 1420">
          <a:extLst>
            <a:ext uri="{FF2B5EF4-FFF2-40B4-BE49-F238E27FC236}">
              <a16:creationId xmlns:a16="http://schemas.microsoft.com/office/drawing/2014/main" id="{00000000-0008-0000-1200-00008D050000}"/>
            </a:ext>
          </a:extLst>
        </xdr:cNvPr>
        <xdr:cNvCxnSpPr/>
      </xdr:nvCxnSpPr>
      <xdr:spPr>
        <a:xfrm>
          <a:off x="10530417" y="157183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1422" name="Straight Arrow Connector 1421">
          <a:extLst>
            <a:ext uri="{FF2B5EF4-FFF2-40B4-BE49-F238E27FC236}">
              <a16:creationId xmlns:a16="http://schemas.microsoft.com/office/drawing/2014/main" id="{00000000-0008-0000-1200-00008E050000}"/>
            </a:ext>
          </a:extLst>
        </xdr:cNvPr>
        <xdr:cNvCxnSpPr/>
      </xdr:nvCxnSpPr>
      <xdr:spPr>
        <a:xfrm>
          <a:off x="10541000" y="157194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1423" name="Straight Arrow Connector 1422">
          <a:extLst>
            <a:ext uri="{FF2B5EF4-FFF2-40B4-BE49-F238E27FC236}">
              <a16:creationId xmlns:a16="http://schemas.microsoft.com/office/drawing/2014/main" id="{00000000-0008-0000-1200-00008F050000}"/>
            </a:ext>
          </a:extLst>
        </xdr:cNvPr>
        <xdr:cNvCxnSpPr/>
      </xdr:nvCxnSpPr>
      <xdr:spPr>
        <a:xfrm flipV="1">
          <a:off x="6392333" y="164443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1424" name="Straight Arrow Connector 1423">
          <a:extLst>
            <a:ext uri="{FF2B5EF4-FFF2-40B4-BE49-F238E27FC236}">
              <a16:creationId xmlns:a16="http://schemas.microsoft.com/office/drawing/2014/main" id="{00000000-0008-0000-1200-000090050000}"/>
            </a:ext>
          </a:extLst>
        </xdr:cNvPr>
        <xdr:cNvCxnSpPr/>
      </xdr:nvCxnSpPr>
      <xdr:spPr>
        <a:xfrm>
          <a:off x="6413500" y="166475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1425" name="Straight Arrow Connector 1424">
          <a:extLst>
            <a:ext uri="{FF2B5EF4-FFF2-40B4-BE49-F238E27FC236}">
              <a16:creationId xmlns:a16="http://schemas.microsoft.com/office/drawing/2014/main" id="{00000000-0008-0000-1200-000091050000}"/>
            </a:ext>
          </a:extLst>
        </xdr:cNvPr>
        <xdr:cNvCxnSpPr/>
      </xdr:nvCxnSpPr>
      <xdr:spPr>
        <a:xfrm flipV="1">
          <a:off x="7556500" y="167608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1426" name="Straight Arrow Connector 1425">
          <a:extLst>
            <a:ext uri="{FF2B5EF4-FFF2-40B4-BE49-F238E27FC236}">
              <a16:creationId xmlns:a16="http://schemas.microsoft.com/office/drawing/2014/main" id="{00000000-0008-0000-1200-000092050000}"/>
            </a:ext>
          </a:extLst>
        </xdr:cNvPr>
        <xdr:cNvCxnSpPr/>
      </xdr:nvCxnSpPr>
      <xdr:spPr>
        <a:xfrm flipV="1">
          <a:off x="10530417" y="159448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1427" name="Straight Arrow Connector 1426">
          <a:extLst>
            <a:ext uri="{FF2B5EF4-FFF2-40B4-BE49-F238E27FC236}">
              <a16:creationId xmlns:a16="http://schemas.microsoft.com/office/drawing/2014/main" id="{00000000-0008-0000-1200-000093050000}"/>
            </a:ext>
          </a:extLst>
        </xdr:cNvPr>
        <xdr:cNvCxnSpPr/>
      </xdr:nvCxnSpPr>
      <xdr:spPr>
        <a:xfrm>
          <a:off x="10572750" y="159840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1428" name="Straight Arrow Connector 1427">
          <a:extLst>
            <a:ext uri="{FF2B5EF4-FFF2-40B4-BE49-F238E27FC236}">
              <a16:creationId xmlns:a16="http://schemas.microsoft.com/office/drawing/2014/main" id="{00000000-0008-0000-1200-000094050000}"/>
            </a:ext>
          </a:extLst>
        </xdr:cNvPr>
        <xdr:cNvCxnSpPr/>
      </xdr:nvCxnSpPr>
      <xdr:spPr>
        <a:xfrm>
          <a:off x="10551583" y="159840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1429" name="Straight Arrow Connector 1428">
          <a:extLst>
            <a:ext uri="{FF2B5EF4-FFF2-40B4-BE49-F238E27FC236}">
              <a16:creationId xmlns:a16="http://schemas.microsoft.com/office/drawing/2014/main" id="{00000000-0008-0000-1200-000095050000}"/>
            </a:ext>
          </a:extLst>
        </xdr:cNvPr>
        <xdr:cNvCxnSpPr/>
      </xdr:nvCxnSpPr>
      <xdr:spPr>
        <a:xfrm>
          <a:off x="10583333" y="159861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1430" name="Straight Arrow Connector 1429">
          <a:extLst>
            <a:ext uri="{FF2B5EF4-FFF2-40B4-BE49-F238E27FC236}">
              <a16:creationId xmlns:a16="http://schemas.microsoft.com/office/drawing/2014/main" id="{00000000-0008-0000-1200-000096050000}"/>
            </a:ext>
          </a:extLst>
        </xdr:cNvPr>
        <xdr:cNvCxnSpPr/>
      </xdr:nvCxnSpPr>
      <xdr:spPr>
        <a:xfrm>
          <a:off x="10562166" y="162496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1431" name="Straight Arrow Connector 1430">
          <a:extLst>
            <a:ext uri="{FF2B5EF4-FFF2-40B4-BE49-F238E27FC236}">
              <a16:creationId xmlns:a16="http://schemas.microsoft.com/office/drawing/2014/main" id="{00000000-0008-0000-1200-000097050000}"/>
            </a:ext>
          </a:extLst>
        </xdr:cNvPr>
        <xdr:cNvCxnSpPr/>
      </xdr:nvCxnSpPr>
      <xdr:spPr>
        <a:xfrm>
          <a:off x="10615083" y="162517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1432" name="Straight Arrow Connector 1431">
          <a:extLst>
            <a:ext uri="{FF2B5EF4-FFF2-40B4-BE49-F238E27FC236}">
              <a16:creationId xmlns:a16="http://schemas.microsoft.com/office/drawing/2014/main" id="{00000000-0008-0000-1200-000098050000}"/>
            </a:ext>
          </a:extLst>
        </xdr:cNvPr>
        <xdr:cNvCxnSpPr/>
      </xdr:nvCxnSpPr>
      <xdr:spPr>
        <a:xfrm>
          <a:off x="10572750" y="162549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1433" name="Straight Arrow Connector 1432">
          <a:extLst>
            <a:ext uri="{FF2B5EF4-FFF2-40B4-BE49-F238E27FC236}">
              <a16:creationId xmlns:a16="http://schemas.microsoft.com/office/drawing/2014/main" id="{00000000-0008-0000-1200-000099050000}"/>
            </a:ext>
          </a:extLst>
        </xdr:cNvPr>
        <xdr:cNvCxnSpPr/>
      </xdr:nvCxnSpPr>
      <xdr:spPr>
        <a:xfrm flipV="1">
          <a:off x="10562166" y="165279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1434" name="Straight Arrow Connector 1433">
          <a:extLst>
            <a:ext uri="{FF2B5EF4-FFF2-40B4-BE49-F238E27FC236}">
              <a16:creationId xmlns:a16="http://schemas.microsoft.com/office/drawing/2014/main" id="{00000000-0008-0000-1200-00009A050000}"/>
            </a:ext>
          </a:extLst>
        </xdr:cNvPr>
        <xdr:cNvCxnSpPr/>
      </xdr:nvCxnSpPr>
      <xdr:spPr>
        <a:xfrm flipV="1">
          <a:off x="10604500" y="165639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1435" name="Straight Arrow Connector 1434">
          <a:extLst>
            <a:ext uri="{FF2B5EF4-FFF2-40B4-BE49-F238E27FC236}">
              <a16:creationId xmlns:a16="http://schemas.microsoft.com/office/drawing/2014/main" id="{00000000-0008-0000-1200-00009B050000}"/>
            </a:ext>
          </a:extLst>
        </xdr:cNvPr>
        <xdr:cNvCxnSpPr/>
      </xdr:nvCxnSpPr>
      <xdr:spPr>
        <a:xfrm>
          <a:off x="10593916" y="166041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1436" name="Straight Arrow Connector 1435">
          <a:extLst>
            <a:ext uri="{FF2B5EF4-FFF2-40B4-BE49-F238E27FC236}">
              <a16:creationId xmlns:a16="http://schemas.microsoft.com/office/drawing/2014/main" id="{00000000-0008-0000-1200-00009C050000}"/>
            </a:ext>
          </a:extLst>
        </xdr:cNvPr>
        <xdr:cNvCxnSpPr/>
      </xdr:nvCxnSpPr>
      <xdr:spPr>
        <a:xfrm>
          <a:off x="10572750" y="168137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1437" name="Straight Arrow Connector 1436">
          <a:extLst>
            <a:ext uri="{FF2B5EF4-FFF2-40B4-BE49-F238E27FC236}">
              <a16:creationId xmlns:a16="http://schemas.microsoft.com/office/drawing/2014/main" id="{00000000-0008-0000-1200-00009D050000}"/>
            </a:ext>
          </a:extLst>
        </xdr:cNvPr>
        <xdr:cNvCxnSpPr/>
      </xdr:nvCxnSpPr>
      <xdr:spPr>
        <a:xfrm flipV="1">
          <a:off x="10583333" y="161977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1438" name="Straight Arrow Connector 1437">
          <a:extLst>
            <a:ext uri="{FF2B5EF4-FFF2-40B4-BE49-F238E27FC236}">
              <a16:creationId xmlns:a16="http://schemas.microsoft.com/office/drawing/2014/main" id="{00000000-0008-0000-1200-00009E050000}"/>
            </a:ext>
          </a:extLst>
        </xdr:cNvPr>
        <xdr:cNvCxnSpPr/>
      </xdr:nvCxnSpPr>
      <xdr:spPr>
        <a:xfrm>
          <a:off x="7598834" y="16863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1439" name="Straight Arrow Connector 1438">
          <a:extLst>
            <a:ext uri="{FF2B5EF4-FFF2-40B4-BE49-F238E27FC236}">
              <a16:creationId xmlns:a16="http://schemas.microsoft.com/office/drawing/2014/main" id="{00000000-0008-0000-1200-00009F050000}"/>
            </a:ext>
          </a:extLst>
        </xdr:cNvPr>
        <xdr:cNvCxnSpPr/>
      </xdr:nvCxnSpPr>
      <xdr:spPr>
        <a:xfrm flipV="1">
          <a:off x="8794750" y="166708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1440" name="Straight Arrow Connector 1439">
          <a:extLst>
            <a:ext uri="{FF2B5EF4-FFF2-40B4-BE49-F238E27FC236}">
              <a16:creationId xmlns:a16="http://schemas.microsoft.com/office/drawing/2014/main" id="{00000000-0008-0000-1200-0000A0050000}"/>
            </a:ext>
          </a:extLst>
        </xdr:cNvPr>
        <xdr:cNvCxnSpPr/>
      </xdr:nvCxnSpPr>
      <xdr:spPr>
        <a:xfrm>
          <a:off x="8784166" y="167661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1441" name="Straight Arrow Connector 1440">
          <a:extLst>
            <a:ext uri="{FF2B5EF4-FFF2-40B4-BE49-F238E27FC236}">
              <a16:creationId xmlns:a16="http://schemas.microsoft.com/office/drawing/2014/main" id="{00000000-0008-0000-1200-0000A1050000}"/>
            </a:ext>
          </a:extLst>
        </xdr:cNvPr>
        <xdr:cNvCxnSpPr/>
      </xdr:nvCxnSpPr>
      <xdr:spPr>
        <a:xfrm flipV="1">
          <a:off x="8794750" y="17070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1442" name="Straight Arrow Connector 1441">
          <a:extLst>
            <a:ext uri="{FF2B5EF4-FFF2-40B4-BE49-F238E27FC236}">
              <a16:creationId xmlns:a16="http://schemas.microsoft.com/office/drawing/2014/main" id="{00000000-0008-0000-1200-0000A2050000}"/>
            </a:ext>
          </a:extLst>
        </xdr:cNvPr>
        <xdr:cNvCxnSpPr/>
      </xdr:nvCxnSpPr>
      <xdr:spPr>
        <a:xfrm>
          <a:off x="8805333" y="171640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1443" name="Straight Arrow Connector 1442">
          <a:extLst>
            <a:ext uri="{FF2B5EF4-FFF2-40B4-BE49-F238E27FC236}">
              <a16:creationId xmlns:a16="http://schemas.microsoft.com/office/drawing/2014/main" id="{00000000-0008-0000-1200-0000A3050000}"/>
            </a:ext>
          </a:extLst>
        </xdr:cNvPr>
        <xdr:cNvCxnSpPr/>
      </xdr:nvCxnSpPr>
      <xdr:spPr>
        <a:xfrm>
          <a:off x="10593916" y="166020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1773</xdr:row>
      <xdr:rowOff>52916</xdr:rowOff>
    </xdr:from>
    <xdr:to>
      <xdr:col>16</xdr:col>
      <xdr:colOff>0</xdr:colOff>
      <xdr:row>1775</xdr:row>
      <xdr:rowOff>0</xdr:rowOff>
    </xdr:to>
    <xdr:cxnSp macro="">
      <xdr:nvCxnSpPr>
        <xdr:cNvPr id="1444" name="Straight Arrow Connector 1443">
          <a:extLst>
            <a:ext uri="{FF2B5EF4-FFF2-40B4-BE49-F238E27FC236}">
              <a16:creationId xmlns:a16="http://schemas.microsoft.com/office/drawing/2014/main" id="{00000000-0008-0000-1200-0000A4050000}"/>
            </a:ext>
          </a:extLst>
        </xdr:cNvPr>
        <xdr:cNvCxnSpPr/>
      </xdr:nvCxnSpPr>
      <xdr:spPr>
        <a:xfrm flipV="1">
          <a:off x="10541000" y="167692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1445" name="Straight Arrow Connector 1444">
          <a:extLst>
            <a:ext uri="{FF2B5EF4-FFF2-40B4-BE49-F238E27FC236}">
              <a16:creationId xmlns:a16="http://schemas.microsoft.com/office/drawing/2014/main" id="{00000000-0008-0000-1200-0000A5050000}"/>
            </a:ext>
          </a:extLst>
        </xdr:cNvPr>
        <xdr:cNvCxnSpPr/>
      </xdr:nvCxnSpPr>
      <xdr:spPr>
        <a:xfrm>
          <a:off x="10530417" y="168042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1446" name="Straight Arrow Connector 1445">
          <a:extLst>
            <a:ext uri="{FF2B5EF4-FFF2-40B4-BE49-F238E27FC236}">
              <a16:creationId xmlns:a16="http://schemas.microsoft.com/office/drawing/2014/main" id="{00000000-0008-0000-1200-0000A6050000}"/>
            </a:ext>
          </a:extLst>
        </xdr:cNvPr>
        <xdr:cNvCxnSpPr/>
      </xdr:nvCxnSpPr>
      <xdr:spPr>
        <a:xfrm>
          <a:off x="10530417" y="168021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1447" name="Straight Arrow Connector 1446">
          <a:extLst>
            <a:ext uri="{FF2B5EF4-FFF2-40B4-BE49-F238E27FC236}">
              <a16:creationId xmlns:a16="http://schemas.microsoft.com/office/drawing/2014/main" id="{00000000-0008-0000-1200-0000A7050000}"/>
            </a:ext>
          </a:extLst>
        </xdr:cNvPr>
        <xdr:cNvCxnSpPr/>
      </xdr:nvCxnSpPr>
      <xdr:spPr>
        <a:xfrm flipV="1">
          <a:off x="10530417" y="17030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1448" name="Straight Arrow Connector 1447">
          <a:extLst>
            <a:ext uri="{FF2B5EF4-FFF2-40B4-BE49-F238E27FC236}">
              <a16:creationId xmlns:a16="http://schemas.microsoft.com/office/drawing/2014/main" id="{00000000-0008-0000-1200-0000A8050000}"/>
            </a:ext>
          </a:extLst>
        </xdr:cNvPr>
        <xdr:cNvCxnSpPr/>
      </xdr:nvCxnSpPr>
      <xdr:spPr>
        <a:xfrm>
          <a:off x="10572750" y="17069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1449" name="Straight Arrow Connector 1448">
          <a:extLst>
            <a:ext uri="{FF2B5EF4-FFF2-40B4-BE49-F238E27FC236}">
              <a16:creationId xmlns:a16="http://schemas.microsoft.com/office/drawing/2014/main" id="{00000000-0008-0000-1200-0000A9050000}"/>
            </a:ext>
          </a:extLst>
        </xdr:cNvPr>
        <xdr:cNvCxnSpPr/>
      </xdr:nvCxnSpPr>
      <xdr:spPr>
        <a:xfrm>
          <a:off x="10551583" y="17069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1450" name="Straight Arrow Connector 1449">
          <a:extLst>
            <a:ext uri="{FF2B5EF4-FFF2-40B4-BE49-F238E27FC236}">
              <a16:creationId xmlns:a16="http://schemas.microsoft.com/office/drawing/2014/main" id="{00000000-0008-0000-1200-0000AA050000}"/>
            </a:ext>
          </a:extLst>
        </xdr:cNvPr>
        <xdr:cNvCxnSpPr/>
      </xdr:nvCxnSpPr>
      <xdr:spPr>
        <a:xfrm>
          <a:off x="10583333" y="170719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1451" name="Straight Arrow Connector 1450">
          <a:extLst>
            <a:ext uri="{FF2B5EF4-FFF2-40B4-BE49-F238E27FC236}">
              <a16:creationId xmlns:a16="http://schemas.microsoft.com/office/drawing/2014/main" id="{00000000-0008-0000-1200-0000AB050000}"/>
            </a:ext>
          </a:extLst>
        </xdr:cNvPr>
        <xdr:cNvCxnSpPr/>
      </xdr:nvCxnSpPr>
      <xdr:spPr>
        <a:xfrm>
          <a:off x="10562166" y="173355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1452" name="Straight Arrow Connector 1451">
          <a:extLst>
            <a:ext uri="{FF2B5EF4-FFF2-40B4-BE49-F238E27FC236}">
              <a16:creationId xmlns:a16="http://schemas.microsoft.com/office/drawing/2014/main" id="{00000000-0008-0000-1200-0000AC050000}"/>
            </a:ext>
          </a:extLst>
        </xdr:cNvPr>
        <xdr:cNvCxnSpPr/>
      </xdr:nvCxnSpPr>
      <xdr:spPr>
        <a:xfrm>
          <a:off x="10615083" y="17337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1453" name="Straight Arrow Connector 1452">
          <a:extLst>
            <a:ext uri="{FF2B5EF4-FFF2-40B4-BE49-F238E27FC236}">
              <a16:creationId xmlns:a16="http://schemas.microsoft.com/office/drawing/2014/main" id="{00000000-0008-0000-1200-0000AD050000}"/>
            </a:ext>
          </a:extLst>
        </xdr:cNvPr>
        <xdr:cNvCxnSpPr/>
      </xdr:nvCxnSpPr>
      <xdr:spPr>
        <a:xfrm>
          <a:off x="10572750" y="17340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1454" name="Straight Arrow Connector 1453">
          <a:extLst>
            <a:ext uri="{FF2B5EF4-FFF2-40B4-BE49-F238E27FC236}">
              <a16:creationId xmlns:a16="http://schemas.microsoft.com/office/drawing/2014/main" id="{00000000-0008-0000-1200-0000AE050000}"/>
            </a:ext>
          </a:extLst>
        </xdr:cNvPr>
        <xdr:cNvCxnSpPr/>
      </xdr:nvCxnSpPr>
      <xdr:spPr>
        <a:xfrm flipV="1">
          <a:off x="10583333" y="17283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1455" name="Straight Arrow Connector 1454">
          <a:extLst>
            <a:ext uri="{FF2B5EF4-FFF2-40B4-BE49-F238E27FC236}">
              <a16:creationId xmlns:a16="http://schemas.microsoft.com/office/drawing/2014/main" id="{00000000-0008-0000-1200-0000AF050000}"/>
            </a:ext>
          </a:extLst>
        </xdr:cNvPr>
        <xdr:cNvCxnSpPr/>
      </xdr:nvCxnSpPr>
      <xdr:spPr>
        <a:xfrm flipV="1">
          <a:off x="5207000" y="1555750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912</xdr:row>
      <xdr:rowOff>10584</xdr:rowOff>
    </xdr:from>
    <xdr:to>
      <xdr:col>1</xdr:col>
      <xdr:colOff>603250</xdr:colOff>
      <xdr:row>1005</xdr:row>
      <xdr:rowOff>158750</xdr:rowOff>
    </xdr:to>
    <xdr:cxnSp macro="">
      <xdr:nvCxnSpPr>
        <xdr:cNvPr id="1664" name="Straight Arrow Connector 1663">
          <a:extLst>
            <a:ext uri="{FF2B5EF4-FFF2-40B4-BE49-F238E27FC236}">
              <a16:creationId xmlns:a16="http://schemas.microsoft.com/office/drawing/2014/main" id="{00000000-0008-0000-1200-000080060000}"/>
            </a:ext>
          </a:extLst>
        </xdr:cNvPr>
        <xdr:cNvCxnSpPr/>
      </xdr:nvCxnSpPr>
      <xdr:spPr>
        <a:xfrm flipV="1">
          <a:off x="603250" y="884025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1008</xdr:row>
      <xdr:rowOff>169333</xdr:rowOff>
    </xdr:from>
    <xdr:to>
      <xdr:col>1</xdr:col>
      <xdr:colOff>603250</xdr:colOff>
      <xdr:row>1050</xdr:row>
      <xdr:rowOff>148167</xdr:rowOff>
    </xdr:to>
    <xdr:cxnSp macro="">
      <xdr:nvCxnSpPr>
        <xdr:cNvPr id="1665" name="Straight Arrow Connector 1664">
          <a:extLst>
            <a:ext uri="{FF2B5EF4-FFF2-40B4-BE49-F238E27FC236}">
              <a16:creationId xmlns:a16="http://schemas.microsoft.com/office/drawing/2014/main" id="{00000000-0008-0000-1200-000081060000}"/>
            </a:ext>
          </a:extLst>
        </xdr:cNvPr>
        <xdr:cNvCxnSpPr/>
      </xdr:nvCxnSpPr>
      <xdr:spPr>
        <a:xfrm>
          <a:off x="603250" y="1072303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984</xdr:row>
      <xdr:rowOff>158750</xdr:rowOff>
    </xdr:from>
    <xdr:to>
      <xdr:col>3</xdr:col>
      <xdr:colOff>603250</xdr:colOff>
      <xdr:row>1051</xdr:row>
      <xdr:rowOff>10583</xdr:rowOff>
    </xdr:to>
    <xdr:cxnSp macro="">
      <xdr:nvCxnSpPr>
        <xdr:cNvPr id="1666" name="Straight Arrow Connector 1665">
          <a:extLst>
            <a:ext uri="{FF2B5EF4-FFF2-40B4-BE49-F238E27FC236}">
              <a16:creationId xmlns:a16="http://schemas.microsoft.com/office/drawing/2014/main" id="{00000000-0008-0000-1200-000082060000}"/>
            </a:ext>
          </a:extLst>
        </xdr:cNvPr>
        <xdr:cNvCxnSpPr/>
      </xdr:nvCxnSpPr>
      <xdr:spPr>
        <a:xfrm flipV="1">
          <a:off x="2296584" y="1024572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1053</xdr:row>
      <xdr:rowOff>10583</xdr:rowOff>
    </xdr:from>
    <xdr:to>
      <xdr:col>4</xdr:col>
      <xdr:colOff>63500</xdr:colOff>
      <xdr:row>1204</xdr:row>
      <xdr:rowOff>158750</xdr:rowOff>
    </xdr:to>
    <xdr:cxnSp macro="">
      <xdr:nvCxnSpPr>
        <xdr:cNvPr id="1667" name="Straight Arrow Connector 1666">
          <a:extLst>
            <a:ext uri="{FF2B5EF4-FFF2-40B4-BE49-F238E27FC236}">
              <a16:creationId xmlns:a16="http://schemas.microsoft.com/office/drawing/2014/main" id="{00000000-0008-0000-1200-000083060000}"/>
            </a:ext>
          </a:extLst>
        </xdr:cNvPr>
        <xdr:cNvCxnSpPr/>
      </xdr:nvCxnSpPr>
      <xdr:spPr>
        <a:xfrm>
          <a:off x="2307167" y="1158345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947</xdr:row>
      <xdr:rowOff>1</xdr:rowOff>
    </xdr:from>
    <xdr:to>
      <xdr:col>6</xdr:col>
      <xdr:colOff>0</xdr:colOff>
      <xdr:row>981</xdr:row>
      <xdr:rowOff>116417</xdr:rowOff>
    </xdr:to>
    <xdr:cxnSp macro="">
      <xdr:nvCxnSpPr>
        <xdr:cNvPr id="1668" name="Straight Arrow Connector 1667">
          <a:extLst>
            <a:ext uri="{FF2B5EF4-FFF2-40B4-BE49-F238E27FC236}">
              <a16:creationId xmlns:a16="http://schemas.microsoft.com/office/drawing/2014/main" id="{00000000-0008-0000-1200-000084060000}"/>
            </a:ext>
          </a:extLst>
        </xdr:cNvPr>
        <xdr:cNvCxnSpPr/>
      </xdr:nvCxnSpPr>
      <xdr:spPr>
        <a:xfrm flipV="1">
          <a:off x="3714750" y="952500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984</xdr:row>
      <xdr:rowOff>169334</xdr:rowOff>
    </xdr:from>
    <xdr:to>
      <xdr:col>5</xdr:col>
      <xdr:colOff>571500</xdr:colOff>
      <xdr:row>1053</xdr:row>
      <xdr:rowOff>0</xdr:rowOff>
    </xdr:to>
    <xdr:cxnSp macro="">
      <xdr:nvCxnSpPr>
        <xdr:cNvPr id="1669" name="Straight Arrow Connector 1668">
          <a:extLst>
            <a:ext uri="{FF2B5EF4-FFF2-40B4-BE49-F238E27FC236}">
              <a16:creationId xmlns:a16="http://schemas.microsoft.com/office/drawing/2014/main" id="{00000000-0008-0000-1200-000085060000}"/>
            </a:ext>
          </a:extLst>
        </xdr:cNvPr>
        <xdr:cNvCxnSpPr/>
      </xdr:nvCxnSpPr>
      <xdr:spPr>
        <a:xfrm>
          <a:off x="3799417" y="102467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922</xdr:row>
      <xdr:rowOff>148167</xdr:rowOff>
    </xdr:from>
    <xdr:to>
      <xdr:col>7</xdr:col>
      <xdr:colOff>603250</xdr:colOff>
      <xdr:row>944</xdr:row>
      <xdr:rowOff>31750</xdr:rowOff>
    </xdr:to>
    <xdr:cxnSp macro="">
      <xdr:nvCxnSpPr>
        <xdr:cNvPr id="1670" name="Straight Arrow Connector 1669">
          <a:extLst>
            <a:ext uri="{FF2B5EF4-FFF2-40B4-BE49-F238E27FC236}">
              <a16:creationId xmlns:a16="http://schemas.microsoft.com/office/drawing/2014/main" id="{00000000-0008-0000-1200-000086060000}"/>
            </a:ext>
          </a:extLst>
        </xdr:cNvPr>
        <xdr:cNvCxnSpPr/>
      </xdr:nvCxnSpPr>
      <xdr:spPr>
        <a:xfrm flipV="1">
          <a:off x="5175250" y="90445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947</xdr:row>
      <xdr:rowOff>10584</xdr:rowOff>
    </xdr:from>
    <xdr:to>
      <xdr:col>8</xdr:col>
      <xdr:colOff>21167</xdr:colOff>
      <xdr:row>975</xdr:row>
      <xdr:rowOff>148166</xdr:rowOff>
    </xdr:to>
    <xdr:cxnSp macro="">
      <xdr:nvCxnSpPr>
        <xdr:cNvPr id="1671" name="Straight Arrow Connector 1670">
          <a:extLst>
            <a:ext uri="{FF2B5EF4-FFF2-40B4-BE49-F238E27FC236}">
              <a16:creationId xmlns:a16="http://schemas.microsoft.com/office/drawing/2014/main" id="{00000000-0008-0000-1200-000087060000}"/>
            </a:ext>
          </a:extLst>
        </xdr:cNvPr>
        <xdr:cNvCxnSpPr/>
      </xdr:nvCxnSpPr>
      <xdr:spPr>
        <a:xfrm>
          <a:off x="5175250" y="952605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914</xdr:row>
      <xdr:rowOff>137583</xdr:rowOff>
    </xdr:from>
    <xdr:to>
      <xdr:col>9</xdr:col>
      <xdr:colOff>603250</xdr:colOff>
      <xdr:row>920</xdr:row>
      <xdr:rowOff>21166</xdr:rowOff>
    </xdr:to>
    <xdr:cxnSp macro="">
      <xdr:nvCxnSpPr>
        <xdr:cNvPr id="1672" name="Straight Arrow Connector 1671">
          <a:extLst>
            <a:ext uri="{FF2B5EF4-FFF2-40B4-BE49-F238E27FC236}">
              <a16:creationId xmlns:a16="http://schemas.microsoft.com/office/drawing/2014/main" id="{00000000-0008-0000-1200-000088060000}"/>
            </a:ext>
          </a:extLst>
        </xdr:cNvPr>
        <xdr:cNvCxnSpPr/>
      </xdr:nvCxnSpPr>
      <xdr:spPr>
        <a:xfrm flipV="1">
          <a:off x="6381750" y="88910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923</xdr:row>
      <xdr:rowOff>0</xdr:rowOff>
    </xdr:from>
    <xdr:to>
      <xdr:col>9</xdr:col>
      <xdr:colOff>582083</xdr:colOff>
      <xdr:row>931</xdr:row>
      <xdr:rowOff>10583</xdr:rowOff>
    </xdr:to>
    <xdr:cxnSp macro="">
      <xdr:nvCxnSpPr>
        <xdr:cNvPr id="1673" name="Straight Arrow Connector 1672">
          <a:extLst>
            <a:ext uri="{FF2B5EF4-FFF2-40B4-BE49-F238E27FC236}">
              <a16:creationId xmlns:a16="http://schemas.microsoft.com/office/drawing/2014/main" id="{00000000-0008-0000-1200-000089060000}"/>
            </a:ext>
          </a:extLst>
        </xdr:cNvPr>
        <xdr:cNvCxnSpPr/>
      </xdr:nvCxnSpPr>
      <xdr:spPr>
        <a:xfrm>
          <a:off x="6413500" y="90487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928</xdr:row>
      <xdr:rowOff>169333</xdr:rowOff>
    </xdr:from>
    <xdr:to>
      <xdr:col>11</xdr:col>
      <xdr:colOff>603250</xdr:colOff>
      <xdr:row>931</xdr:row>
      <xdr:rowOff>21167</xdr:rowOff>
    </xdr:to>
    <xdr:cxnSp macro="">
      <xdr:nvCxnSpPr>
        <xdr:cNvPr id="1674" name="Straight Arrow Connector 1673">
          <a:extLst>
            <a:ext uri="{FF2B5EF4-FFF2-40B4-BE49-F238E27FC236}">
              <a16:creationId xmlns:a16="http://schemas.microsoft.com/office/drawing/2014/main" id="{00000000-0008-0000-1200-00008A060000}"/>
            </a:ext>
          </a:extLst>
        </xdr:cNvPr>
        <xdr:cNvCxnSpPr/>
      </xdr:nvCxnSpPr>
      <xdr:spPr>
        <a:xfrm flipV="1">
          <a:off x="7609417" y="91609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934</xdr:row>
      <xdr:rowOff>42333</xdr:rowOff>
    </xdr:from>
    <xdr:to>
      <xdr:col>11</xdr:col>
      <xdr:colOff>603250</xdr:colOff>
      <xdr:row>946</xdr:row>
      <xdr:rowOff>10583</xdr:rowOff>
    </xdr:to>
    <xdr:cxnSp macro="">
      <xdr:nvCxnSpPr>
        <xdr:cNvPr id="1675" name="Straight Arrow Connector 1674">
          <a:extLst>
            <a:ext uri="{FF2B5EF4-FFF2-40B4-BE49-F238E27FC236}">
              <a16:creationId xmlns:a16="http://schemas.microsoft.com/office/drawing/2014/main" id="{00000000-0008-0000-1200-00008B060000}"/>
            </a:ext>
          </a:extLst>
        </xdr:cNvPr>
        <xdr:cNvCxnSpPr/>
      </xdr:nvCxnSpPr>
      <xdr:spPr>
        <a:xfrm>
          <a:off x="7598834" y="9262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924</xdr:row>
      <xdr:rowOff>21167</xdr:rowOff>
    </xdr:from>
    <xdr:to>
      <xdr:col>13</xdr:col>
      <xdr:colOff>592667</xdr:colOff>
      <xdr:row>926</xdr:row>
      <xdr:rowOff>0</xdr:rowOff>
    </xdr:to>
    <xdr:cxnSp macro="">
      <xdr:nvCxnSpPr>
        <xdr:cNvPr id="1676" name="Straight Arrow Connector 1675">
          <a:extLst>
            <a:ext uri="{FF2B5EF4-FFF2-40B4-BE49-F238E27FC236}">
              <a16:creationId xmlns:a16="http://schemas.microsoft.com/office/drawing/2014/main" id="{00000000-0008-0000-1200-00008C060000}"/>
            </a:ext>
          </a:extLst>
        </xdr:cNvPr>
        <xdr:cNvCxnSpPr/>
      </xdr:nvCxnSpPr>
      <xdr:spPr>
        <a:xfrm flipV="1">
          <a:off x="8794750" y="90699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929</xdr:row>
      <xdr:rowOff>21166</xdr:rowOff>
    </xdr:from>
    <xdr:to>
      <xdr:col>13</xdr:col>
      <xdr:colOff>592667</xdr:colOff>
      <xdr:row>930</xdr:row>
      <xdr:rowOff>169334</xdr:rowOff>
    </xdr:to>
    <xdr:cxnSp macro="">
      <xdr:nvCxnSpPr>
        <xdr:cNvPr id="1677" name="Straight Arrow Connector 1676">
          <a:extLst>
            <a:ext uri="{FF2B5EF4-FFF2-40B4-BE49-F238E27FC236}">
              <a16:creationId xmlns:a16="http://schemas.microsoft.com/office/drawing/2014/main" id="{00000000-0008-0000-1200-00008D060000}"/>
            </a:ext>
          </a:extLst>
        </xdr:cNvPr>
        <xdr:cNvCxnSpPr/>
      </xdr:nvCxnSpPr>
      <xdr:spPr>
        <a:xfrm>
          <a:off x="8784166" y="91651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944</xdr:row>
      <xdr:rowOff>21167</xdr:rowOff>
    </xdr:from>
    <xdr:to>
      <xdr:col>13</xdr:col>
      <xdr:colOff>592667</xdr:colOff>
      <xdr:row>946</xdr:row>
      <xdr:rowOff>63500</xdr:rowOff>
    </xdr:to>
    <xdr:cxnSp macro="">
      <xdr:nvCxnSpPr>
        <xdr:cNvPr id="1678" name="Straight Arrow Connector 1677">
          <a:extLst>
            <a:ext uri="{FF2B5EF4-FFF2-40B4-BE49-F238E27FC236}">
              <a16:creationId xmlns:a16="http://schemas.microsoft.com/office/drawing/2014/main" id="{00000000-0008-0000-1200-00008E060000}"/>
            </a:ext>
          </a:extLst>
        </xdr:cNvPr>
        <xdr:cNvCxnSpPr/>
      </xdr:nvCxnSpPr>
      <xdr:spPr>
        <a:xfrm flipV="1">
          <a:off x="8794750" y="9469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949</xdr:row>
      <xdr:rowOff>0</xdr:rowOff>
    </xdr:from>
    <xdr:to>
      <xdr:col>14</xdr:col>
      <xdr:colOff>10584</xdr:colOff>
      <xdr:row>957</xdr:row>
      <xdr:rowOff>148167</xdr:rowOff>
    </xdr:to>
    <xdr:cxnSp macro="">
      <xdr:nvCxnSpPr>
        <xdr:cNvPr id="1679" name="Straight Arrow Connector 1678">
          <a:extLst>
            <a:ext uri="{FF2B5EF4-FFF2-40B4-BE49-F238E27FC236}">
              <a16:creationId xmlns:a16="http://schemas.microsoft.com/office/drawing/2014/main" id="{00000000-0008-0000-1200-00008F060000}"/>
            </a:ext>
          </a:extLst>
        </xdr:cNvPr>
        <xdr:cNvCxnSpPr/>
      </xdr:nvCxnSpPr>
      <xdr:spPr>
        <a:xfrm>
          <a:off x="8805333" y="95631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916</xdr:row>
      <xdr:rowOff>0</xdr:rowOff>
    </xdr:from>
    <xdr:to>
      <xdr:col>15</xdr:col>
      <xdr:colOff>603250</xdr:colOff>
      <xdr:row>921</xdr:row>
      <xdr:rowOff>31750</xdr:rowOff>
    </xdr:to>
    <xdr:cxnSp macro="">
      <xdr:nvCxnSpPr>
        <xdr:cNvPr id="1680" name="Straight Arrow Connector 1679">
          <a:extLst>
            <a:ext uri="{FF2B5EF4-FFF2-40B4-BE49-F238E27FC236}">
              <a16:creationId xmlns:a16="http://schemas.microsoft.com/office/drawing/2014/main" id="{00000000-0008-0000-1200-000090060000}"/>
            </a:ext>
          </a:extLst>
        </xdr:cNvPr>
        <xdr:cNvCxnSpPr/>
      </xdr:nvCxnSpPr>
      <xdr:spPr>
        <a:xfrm flipV="1">
          <a:off x="10541000" y="89154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919</xdr:row>
      <xdr:rowOff>52917</xdr:rowOff>
    </xdr:from>
    <xdr:to>
      <xdr:col>15</xdr:col>
      <xdr:colOff>603250</xdr:colOff>
      <xdr:row>921</xdr:row>
      <xdr:rowOff>95250</xdr:rowOff>
    </xdr:to>
    <xdr:cxnSp macro="">
      <xdr:nvCxnSpPr>
        <xdr:cNvPr id="1681" name="Straight Arrow Connector 1680">
          <a:extLst>
            <a:ext uri="{FF2B5EF4-FFF2-40B4-BE49-F238E27FC236}">
              <a16:creationId xmlns:a16="http://schemas.microsoft.com/office/drawing/2014/main" id="{00000000-0008-0000-1200-000091060000}"/>
            </a:ext>
          </a:extLst>
        </xdr:cNvPr>
        <xdr:cNvCxnSpPr/>
      </xdr:nvCxnSpPr>
      <xdr:spPr>
        <a:xfrm flipV="1">
          <a:off x="10583333" y="89778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921</xdr:row>
      <xdr:rowOff>158750</xdr:rowOff>
    </xdr:from>
    <xdr:to>
      <xdr:col>15</xdr:col>
      <xdr:colOff>582083</xdr:colOff>
      <xdr:row>922</xdr:row>
      <xdr:rowOff>137583</xdr:rowOff>
    </xdr:to>
    <xdr:cxnSp macro="">
      <xdr:nvCxnSpPr>
        <xdr:cNvPr id="1682" name="Straight Arrow Connector 1681">
          <a:extLst>
            <a:ext uri="{FF2B5EF4-FFF2-40B4-BE49-F238E27FC236}">
              <a16:creationId xmlns:a16="http://schemas.microsoft.com/office/drawing/2014/main" id="{00000000-0008-0000-1200-000092060000}"/>
            </a:ext>
          </a:extLst>
        </xdr:cNvPr>
        <xdr:cNvCxnSpPr/>
      </xdr:nvCxnSpPr>
      <xdr:spPr>
        <a:xfrm>
          <a:off x="10604500" y="90265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921</xdr:row>
      <xdr:rowOff>105834</xdr:rowOff>
    </xdr:from>
    <xdr:to>
      <xdr:col>16</xdr:col>
      <xdr:colOff>0</xdr:colOff>
      <xdr:row>925</xdr:row>
      <xdr:rowOff>84667</xdr:rowOff>
    </xdr:to>
    <xdr:cxnSp macro="">
      <xdr:nvCxnSpPr>
        <xdr:cNvPr id="1683" name="Straight Arrow Connector 1682">
          <a:extLst>
            <a:ext uri="{FF2B5EF4-FFF2-40B4-BE49-F238E27FC236}">
              <a16:creationId xmlns:a16="http://schemas.microsoft.com/office/drawing/2014/main" id="{00000000-0008-0000-1200-000093060000}"/>
            </a:ext>
          </a:extLst>
        </xdr:cNvPr>
        <xdr:cNvCxnSpPr/>
      </xdr:nvCxnSpPr>
      <xdr:spPr>
        <a:xfrm>
          <a:off x="10519834" y="90212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929</xdr:row>
      <xdr:rowOff>52916</xdr:rowOff>
    </xdr:from>
    <xdr:to>
      <xdr:col>16</xdr:col>
      <xdr:colOff>0</xdr:colOff>
      <xdr:row>931</xdr:row>
      <xdr:rowOff>0</xdr:rowOff>
    </xdr:to>
    <xdr:cxnSp macro="">
      <xdr:nvCxnSpPr>
        <xdr:cNvPr id="1684" name="Straight Arrow Connector 1683">
          <a:extLst>
            <a:ext uri="{FF2B5EF4-FFF2-40B4-BE49-F238E27FC236}">
              <a16:creationId xmlns:a16="http://schemas.microsoft.com/office/drawing/2014/main" id="{00000000-0008-0000-1200-000094060000}"/>
            </a:ext>
          </a:extLst>
        </xdr:cNvPr>
        <xdr:cNvCxnSpPr/>
      </xdr:nvCxnSpPr>
      <xdr:spPr>
        <a:xfrm flipV="1">
          <a:off x="10541000" y="91683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931</xdr:row>
      <xdr:rowOff>21167</xdr:rowOff>
    </xdr:from>
    <xdr:to>
      <xdr:col>15</xdr:col>
      <xdr:colOff>582083</xdr:colOff>
      <xdr:row>932</xdr:row>
      <xdr:rowOff>42333</xdr:rowOff>
    </xdr:to>
    <xdr:cxnSp macro="">
      <xdr:nvCxnSpPr>
        <xdr:cNvPr id="1685" name="Straight Arrow Connector 1684">
          <a:extLst>
            <a:ext uri="{FF2B5EF4-FFF2-40B4-BE49-F238E27FC236}">
              <a16:creationId xmlns:a16="http://schemas.microsoft.com/office/drawing/2014/main" id="{00000000-0008-0000-1200-000095060000}"/>
            </a:ext>
          </a:extLst>
        </xdr:cNvPr>
        <xdr:cNvCxnSpPr/>
      </xdr:nvCxnSpPr>
      <xdr:spPr>
        <a:xfrm>
          <a:off x="10551583" y="92032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931</xdr:row>
      <xdr:rowOff>21167</xdr:rowOff>
    </xdr:from>
    <xdr:to>
      <xdr:col>16</xdr:col>
      <xdr:colOff>42333</xdr:colOff>
      <xdr:row>936</xdr:row>
      <xdr:rowOff>21168</xdr:rowOff>
    </xdr:to>
    <xdr:cxnSp macro="">
      <xdr:nvCxnSpPr>
        <xdr:cNvPr id="1686" name="Straight Arrow Connector 1685">
          <a:extLst>
            <a:ext uri="{FF2B5EF4-FFF2-40B4-BE49-F238E27FC236}">
              <a16:creationId xmlns:a16="http://schemas.microsoft.com/office/drawing/2014/main" id="{00000000-0008-0000-1200-000096060000}"/>
            </a:ext>
          </a:extLst>
        </xdr:cNvPr>
        <xdr:cNvCxnSpPr/>
      </xdr:nvCxnSpPr>
      <xdr:spPr>
        <a:xfrm>
          <a:off x="10530417" y="92032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931</xdr:row>
      <xdr:rowOff>31750</xdr:rowOff>
    </xdr:from>
    <xdr:to>
      <xdr:col>16</xdr:col>
      <xdr:colOff>42334</xdr:colOff>
      <xdr:row>938</xdr:row>
      <xdr:rowOff>63501</xdr:rowOff>
    </xdr:to>
    <xdr:cxnSp macro="">
      <xdr:nvCxnSpPr>
        <xdr:cNvPr id="1687" name="Straight Arrow Connector 1686">
          <a:extLst>
            <a:ext uri="{FF2B5EF4-FFF2-40B4-BE49-F238E27FC236}">
              <a16:creationId xmlns:a16="http://schemas.microsoft.com/office/drawing/2014/main" id="{00000000-0008-0000-1200-000097060000}"/>
            </a:ext>
          </a:extLst>
        </xdr:cNvPr>
        <xdr:cNvCxnSpPr/>
      </xdr:nvCxnSpPr>
      <xdr:spPr>
        <a:xfrm>
          <a:off x="10541000" y="92043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968</xdr:row>
      <xdr:rowOff>42333</xdr:rowOff>
    </xdr:from>
    <xdr:to>
      <xdr:col>9</xdr:col>
      <xdr:colOff>592666</xdr:colOff>
      <xdr:row>976</xdr:row>
      <xdr:rowOff>42333</xdr:rowOff>
    </xdr:to>
    <xdr:cxnSp macro="">
      <xdr:nvCxnSpPr>
        <xdr:cNvPr id="1688" name="Straight Arrow Connector 1687">
          <a:extLst>
            <a:ext uri="{FF2B5EF4-FFF2-40B4-BE49-F238E27FC236}">
              <a16:creationId xmlns:a16="http://schemas.microsoft.com/office/drawing/2014/main" id="{00000000-0008-0000-1200-000098060000}"/>
            </a:ext>
          </a:extLst>
        </xdr:cNvPr>
        <xdr:cNvCxnSpPr/>
      </xdr:nvCxnSpPr>
      <xdr:spPr>
        <a:xfrm flipV="1">
          <a:off x="6392333" y="99292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978</xdr:row>
      <xdr:rowOff>169334</xdr:rowOff>
    </xdr:from>
    <xdr:to>
      <xdr:col>9</xdr:col>
      <xdr:colOff>603250</xdr:colOff>
      <xdr:row>987</xdr:row>
      <xdr:rowOff>31750</xdr:rowOff>
    </xdr:to>
    <xdr:cxnSp macro="">
      <xdr:nvCxnSpPr>
        <xdr:cNvPr id="1689" name="Straight Arrow Connector 1688">
          <a:extLst>
            <a:ext uri="{FF2B5EF4-FFF2-40B4-BE49-F238E27FC236}">
              <a16:creationId xmlns:a16="http://schemas.microsoft.com/office/drawing/2014/main" id="{00000000-0008-0000-1200-000099060000}"/>
            </a:ext>
          </a:extLst>
        </xdr:cNvPr>
        <xdr:cNvCxnSpPr/>
      </xdr:nvCxnSpPr>
      <xdr:spPr>
        <a:xfrm>
          <a:off x="6413500" y="101324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984</xdr:row>
      <xdr:rowOff>158750</xdr:rowOff>
    </xdr:from>
    <xdr:to>
      <xdr:col>11</xdr:col>
      <xdr:colOff>571500</xdr:colOff>
      <xdr:row>987</xdr:row>
      <xdr:rowOff>0</xdr:rowOff>
    </xdr:to>
    <xdr:cxnSp macro="">
      <xdr:nvCxnSpPr>
        <xdr:cNvPr id="1690" name="Straight Arrow Connector 1689">
          <a:extLst>
            <a:ext uri="{FF2B5EF4-FFF2-40B4-BE49-F238E27FC236}">
              <a16:creationId xmlns:a16="http://schemas.microsoft.com/office/drawing/2014/main" id="{00000000-0008-0000-1200-00009A060000}"/>
            </a:ext>
          </a:extLst>
        </xdr:cNvPr>
        <xdr:cNvCxnSpPr/>
      </xdr:nvCxnSpPr>
      <xdr:spPr>
        <a:xfrm flipV="1">
          <a:off x="7556500" y="102457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942</xdr:row>
      <xdr:rowOff>0</xdr:rowOff>
    </xdr:from>
    <xdr:to>
      <xdr:col>15</xdr:col>
      <xdr:colOff>603250</xdr:colOff>
      <xdr:row>944</xdr:row>
      <xdr:rowOff>1</xdr:rowOff>
    </xdr:to>
    <xdr:cxnSp macro="">
      <xdr:nvCxnSpPr>
        <xdr:cNvPr id="1691" name="Straight Arrow Connector 1690">
          <a:extLst>
            <a:ext uri="{FF2B5EF4-FFF2-40B4-BE49-F238E27FC236}">
              <a16:creationId xmlns:a16="http://schemas.microsoft.com/office/drawing/2014/main" id="{00000000-0008-0000-1200-00009B060000}"/>
            </a:ext>
          </a:extLst>
        </xdr:cNvPr>
        <xdr:cNvCxnSpPr/>
      </xdr:nvCxnSpPr>
      <xdr:spPr>
        <a:xfrm flipV="1">
          <a:off x="10530417" y="9429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944</xdr:row>
      <xdr:rowOff>10584</xdr:rowOff>
    </xdr:from>
    <xdr:to>
      <xdr:col>15</xdr:col>
      <xdr:colOff>592666</xdr:colOff>
      <xdr:row>945</xdr:row>
      <xdr:rowOff>95250</xdr:rowOff>
    </xdr:to>
    <xdr:cxnSp macro="">
      <xdr:nvCxnSpPr>
        <xdr:cNvPr id="1692" name="Straight Arrow Connector 1691">
          <a:extLst>
            <a:ext uri="{FF2B5EF4-FFF2-40B4-BE49-F238E27FC236}">
              <a16:creationId xmlns:a16="http://schemas.microsoft.com/office/drawing/2014/main" id="{00000000-0008-0000-1200-00009C060000}"/>
            </a:ext>
          </a:extLst>
        </xdr:cNvPr>
        <xdr:cNvCxnSpPr/>
      </xdr:nvCxnSpPr>
      <xdr:spPr>
        <a:xfrm>
          <a:off x="10572750" y="9468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944</xdr:row>
      <xdr:rowOff>10584</xdr:rowOff>
    </xdr:from>
    <xdr:to>
      <xdr:col>15</xdr:col>
      <xdr:colOff>560916</xdr:colOff>
      <xdr:row>948</xdr:row>
      <xdr:rowOff>52917</xdr:rowOff>
    </xdr:to>
    <xdr:cxnSp macro="">
      <xdr:nvCxnSpPr>
        <xdr:cNvPr id="1693" name="Straight Arrow Connector 1692">
          <a:extLst>
            <a:ext uri="{FF2B5EF4-FFF2-40B4-BE49-F238E27FC236}">
              <a16:creationId xmlns:a16="http://schemas.microsoft.com/office/drawing/2014/main" id="{00000000-0008-0000-1200-00009D060000}"/>
            </a:ext>
          </a:extLst>
        </xdr:cNvPr>
        <xdr:cNvCxnSpPr/>
      </xdr:nvCxnSpPr>
      <xdr:spPr>
        <a:xfrm>
          <a:off x="10551583" y="9468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944</xdr:row>
      <xdr:rowOff>31750</xdr:rowOff>
    </xdr:from>
    <xdr:to>
      <xdr:col>16</xdr:col>
      <xdr:colOff>21167</xdr:colOff>
      <xdr:row>951</xdr:row>
      <xdr:rowOff>95250</xdr:rowOff>
    </xdr:to>
    <xdr:cxnSp macro="">
      <xdr:nvCxnSpPr>
        <xdr:cNvPr id="1694" name="Straight Arrow Connector 1693">
          <a:extLst>
            <a:ext uri="{FF2B5EF4-FFF2-40B4-BE49-F238E27FC236}">
              <a16:creationId xmlns:a16="http://schemas.microsoft.com/office/drawing/2014/main" id="{00000000-0008-0000-1200-00009E060000}"/>
            </a:ext>
          </a:extLst>
        </xdr:cNvPr>
        <xdr:cNvCxnSpPr/>
      </xdr:nvCxnSpPr>
      <xdr:spPr>
        <a:xfrm>
          <a:off x="10583333" y="94710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958</xdr:row>
      <xdr:rowOff>0</xdr:rowOff>
    </xdr:from>
    <xdr:to>
      <xdr:col>16</xdr:col>
      <xdr:colOff>0</xdr:colOff>
      <xdr:row>958</xdr:row>
      <xdr:rowOff>42334</xdr:rowOff>
    </xdr:to>
    <xdr:cxnSp macro="">
      <xdr:nvCxnSpPr>
        <xdr:cNvPr id="1695" name="Straight Arrow Connector 1694">
          <a:extLst>
            <a:ext uri="{FF2B5EF4-FFF2-40B4-BE49-F238E27FC236}">
              <a16:creationId xmlns:a16="http://schemas.microsoft.com/office/drawing/2014/main" id="{00000000-0008-0000-1200-00009F060000}"/>
            </a:ext>
          </a:extLst>
        </xdr:cNvPr>
        <xdr:cNvCxnSpPr/>
      </xdr:nvCxnSpPr>
      <xdr:spPr>
        <a:xfrm>
          <a:off x="10562166" y="97345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958</xdr:row>
      <xdr:rowOff>21166</xdr:rowOff>
    </xdr:from>
    <xdr:to>
      <xdr:col>15</xdr:col>
      <xdr:colOff>560916</xdr:colOff>
      <xdr:row>961</xdr:row>
      <xdr:rowOff>84667</xdr:rowOff>
    </xdr:to>
    <xdr:cxnSp macro="">
      <xdr:nvCxnSpPr>
        <xdr:cNvPr id="1696" name="Straight Arrow Connector 1695">
          <a:extLst>
            <a:ext uri="{FF2B5EF4-FFF2-40B4-BE49-F238E27FC236}">
              <a16:creationId xmlns:a16="http://schemas.microsoft.com/office/drawing/2014/main" id="{00000000-0008-0000-1200-0000A0060000}"/>
            </a:ext>
          </a:extLst>
        </xdr:cNvPr>
        <xdr:cNvCxnSpPr/>
      </xdr:nvCxnSpPr>
      <xdr:spPr>
        <a:xfrm>
          <a:off x="10615083" y="9736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958</xdr:row>
      <xdr:rowOff>52916</xdr:rowOff>
    </xdr:from>
    <xdr:to>
      <xdr:col>15</xdr:col>
      <xdr:colOff>592666</xdr:colOff>
      <xdr:row>964</xdr:row>
      <xdr:rowOff>63501</xdr:rowOff>
    </xdr:to>
    <xdr:cxnSp macro="">
      <xdr:nvCxnSpPr>
        <xdr:cNvPr id="1697" name="Straight Arrow Connector 1696">
          <a:extLst>
            <a:ext uri="{FF2B5EF4-FFF2-40B4-BE49-F238E27FC236}">
              <a16:creationId xmlns:a16="http://schemas.microsoft.com/office/drawing/2014/main" id="{00000000-0008-0000-1200-0000A1060000}"/>
            </a:ext>
          </a:extLst>
        </xdr:cNvPr>
        <xdr:cNvCxnSpPr/>
      </xdr:nvCxnSpPr>
      <xdr:spPr>
        <a:xfrm>
          <a:off x="10572750" y="9739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972</xdr:row>
      <xdr:rowOff>116416</xdr:rowOff>
    </xdr:from>
    <xdr:to>
      <xdr:col>15</xdr:col>
      <xdr:colOff>592666</xdr:colOff>
      <xdr:row>975</xdr:row>
      <xdr:rowOff>158750</xdr:rowOff>
    </xdr:to>
    <xdr:cxnSp macro="">
      <xdr:nvCxnSpPr>
        <xdr:cNvPr id="1698" name="Straight Arrow Connector 1697">
          <a:extLst>
            <a:ext uri="{FF2B5EF4-FFF2-40B4-BE49-F238E27FC236}">
              <a16:creationId xmlns:a16="http://schemas.microsoft.com/office/drawing/2014/main" id="{00000000-0008-0000-1200-0000A2060000}"/>
            </a:ext>
          </a:extLst>
        </xdr:cNvPr>
        <xdr:cNvCxnSpPr/>
      </xdr:nvCxnSpPr>
      <xdr:spPr>
        <a:xfrm flipV="1">
          <a:off x="10562166" y="100128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974</xdr:row>
      <xdr:rowOff>95250</xdr:rowOff>
    </xdr:from>
    <xdr:to>
      <xdr:col>15</xdr:col>
      <xdr:colOff>582083</xdr:colOff>
      <xdr:row>976</xdr:row>
      <xdr:rowOff>52917</xdr:rowOff>
    </xdr:to>
    <xdr:cxnSp macro="">
      <xdr:nvCxnSpPr>
        <xdr:cNvPr id="1699" name="Straight Arrow Connector 1698">
          <a:extLst>
            <a:ext uri="{FF2B5EF4-FFF2-40B4-BE49-F238E27FC236}">
              <a16:creationId xmlns:a16="http://schemas.microsoft.com/office/drawing/2014/main" id="{00000000-0008-0000-1200-0000A3060000}"/>
            </a:ext>
          </a:extLst>
        </xdr:cNvPr>
        <xdr:cNvCxnSpPr/>
      </xdr:nvCxnSpPr>
      <xdr:spPr>
        <a:xfrm flipV="1">
          <a:off x="10604500" y="100488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116417</xdr:rowOff>
    </xdr:from>
    <xdr:to>
      <xdr:col>15</xdr:col>
      <xdr:colOff>592666</xdr:colOff>
      <xdr:row>980</xdr:row>
      <xdr:rowOff>95250</xdr:rowOff>
    </xdr:to>
    <xdr:cxnSp macro="">
      <xdr:nvCxnSpPr>
        <xdr:cNvPr id="1700" name="Straight Arrow Connector 1699">
          <a:extLst>
            <a:ext uri="{FF2B5EF4-FFF2-40B4-BE49-F238E27FC236}">
              <a16:creationId xmlns:a16="http://schemas.microsoft.com/office/drawing/2014/main" id="{00000000-0008-0000-1200-0000A4060000}"/>
            </a:ext>
          </a:extLst>
        </xdr:cNvPr>
        <xdr:cNvCxnSpPr/>
      </xdr:nvCxnSpPr>
      <xdr:spPr>
        <a:xfrm>
          <a:off x="10593916" y="100890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987</xdr:row>
      <xdr:rowOff>116416</xdr:rowOff>
    </xdr:from>
    <xdr:to>
      <xdr:col>16</xdr:col>
      <xdr:colOff>0</xdr:colOff>
      <xdr:row>994</xdr:row>
      <xdr:rowOff>74084</xdr:rowOff>
    </xdr:to>
    <xdr:cxnSp macro="">
      <xdr:nvCxnSpPr>
        <xdr:cNvPr id="1701" name="Straight Arrow Connector 1700">
          <a:extLst>
            <a:ext uri="{FF2B5EF4-FFF2-40B4-BE49-F238E27FC236}">
              <a16:creationId xmlns:a16="http://schemas.microsoft.com/office/drawing/2014/main" id="{00000000-0008-0000-1200-0000A5060000}"/>
            </a:ext>
          </a:extLst>
        </xdr:cNvPr>
        <xdr:cNvCxnSpPr/>
      </xdr:nvCxnSpPr>
      <xdr:spPr>
        <a:xfrm>
          <a:off x="10572750" y="102986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955</xdr:row>
      <xdr:rowOff>52917</xdr:rowOff>
    </xdr:from>
    <xdr:to>
      <xdr:col>15</xdr:col>
      <xdr:colOff>603250</xdr:colOff>
      <xdr:row>957</xdr:row>
      <xdr:rowOff>148167</xdr:rowOff>
    </xdr:to>
    <xdr:cxnSp macro="">
      <xdr:nvCxnSpPr>
        <xdr:cNvPr id="1702" name="Straight Arrow Connector 1701">
          <a:extLst>
            <a:ext uri="{FF2B5EF4-FFF2-40B4-BE49-F238E27FC236}">
              <a16:creationId xmlns:a16="http://schemas.microsoft.com/office/drawing/2014/main" id="{00000000-0008-0000-1200-0000A6060000}"/>
            </a:ext>
          </a:extLst>
        </xdr:cNvPr>
        <xdr:cNvCxnSpPr/>
      </xdr:nvCxnSpPr>
      <xdr:spPr>
        <a:xfrm flipV="1">
          <a:off x="10583333" y="9682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990</xdr:row>
      <xdr:rowOff>42333</xdr:rowOff>
    </xdr:from>
    <xdr:to>
      <xdr:col>11</xdr:col>
      <xdr:colOff>603250</xdr:colOff>
      <xdr:row>1002</xdr:row>
      <xdr:rowOff>10583</xdr:rowOff>
    </xdr:to>
    <xdr:cxnSp macro="">
      <xdr:nvCxnSpPr>
        <xdr:cNvPr id="1703" name="Straight Arrow Connector 1702">
          <a:extLst>
            <a:ext uri="{FF2B5EF4-FFF2-40B4-BE49-F238E27FC236}">
              <a16:creationId xmlns:a16="http://schemas.microsoft.com/office/drawing/2014/main" id="{00000000-0008-0000-1200-0000A7060000}"/>
            </a:ext>
          </a:extLst>
        </xdr:cNvPr>
        <xdr:cNvCxnSpPr/>
      </xdr:nvCxnSpPr>
      <xdr:spPr>
        <a:xfrm>
          <a:off x="7598834" y="103483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980</xdr:row>
      <xdr:rowOff>21167</xdr:rowOff>
    </xdr:from>
    <xdr:to>
      <xdr:col>13</xdr:col>
      <xdr:colOff>592667</xdr:colOff>
      <xdr:row>982</xdr:row>
      <xdr:rowOff>0</xdr:rowOff>
    </xdr:to>
    <xdr:cxnSp macro="">
      <xdr:nvCxnSpPr>
        <xdr:cNvPr id="1704" name="Straight Arrow Connector 1703">
          <a:extLst>
            <a:ext uri="{FF2B5EF4-FFF2-40B4-BE49-F238E27FC236}">
              <a16:creationId xmlns:a16="http://schemas.microsoft.com/office/drawing/2014/main" id="{00000000-0008-0000-1200-0000A8060000}"/>
            </a:ext>
          </a:extLst>
        </xdr:cNvPr>
        <xdr:cNvCxnSpPr/>
      </xdr:nvCxnSpPr>
      <xdr:spPr>
        <a:xfrm flipV="1">
          <a:off x="8794750" y="101557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985</xdr:row>
      <xdr:rowOff>21166</xdr:rowOff>
    </xdr:from>
    <xdr:to>
      <xdr:col>13</xdr:col>
      <xdr:colOff>592667</xdr:colOff>
      <xdr:row>986</xdr:row>
      <xdr:rowOff>169334</xdr:rowOff>
    </xdr:to>
    <xdr:cxnSp macro="">
      <xdr:nvCxnSpPr>
        <xdr:cNvPr id="1705" name="Straight Arrow Connector 1704">
          <a:extLst>
            <a:ext uri="{FF2B5EF4-FFF2-40B4-BE49-F238E27FC236}">
              <a16:creationId xmlns:a16="http://schemas.microsoft.com/office/drawing/2014/main" id="{00000000-0008-0000-1200-0000A9060000}"/>
            </a:ext>
          </a:extLst>
        </xdr:cNvPr>
        <xdr:cNvCxnSpPr/>
      </xdr:nvCxnSpPr>
      <xdr:spPr>
        <a:xfrm>
          <a:off x="8784166" y="102510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1000</xdr:row>
      <xdr:rowOff>21167</xdr:rowOff>
    </xdr:from>
    <xdr:to>
      <xdr:col>13</xdr:col>
      <xdr:colOff>592667</xdr:colOff>
      <xdr:row>1002</xdr:row>
      <xdr:rowOff>63500</xdr:rowOff>
    </xdr:to>
    <xdr:cxnSp macro="">
      <xdr:nvCxnSpPr>
        <xdr:cNvPr id="1706" name="Straight Arrow Connector 1705">
          <a:extLst>
            <a:ext uri="{FF2B5EF4-FFF2-40B4-BE49-F238E27FC236}">
              <a16:creationId xmlns:a16="http://schemas.microsoft.com/office/drawing/2014/main" id="{00000000-0008-0000-1200-0000AA060000}"/>
            </a:ext>
          </a:extLst>
        </xdr:cNvPr>
        <xdr:cNvCxnSpPr/>
      </xdr:nvCxnSpPr>
      <xdr:spPr>
        <a:xfrm flipV="1">
          <a:off x="8794750" y="105558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1005</xdr:row>
      <xdr:rowOff>0</xdr:rowOff>
    </xdr:from>
    <xdr:to>
      <xdr:col>14</xdr:col>
      <xdr:colOff>10584</xdr:colOff>
      <xdr:row>1013</xdr:row>
      <xdr:rowOff>148167</xdr:rowOff>
    </xdr:to>
    <xdr:cxnSp macro="">
      <xdr:nvCxnSpPr>
        <xdr:cNvPr id="1707" name="Straight Arrow Connector 1706">
          <a:extLst>
            <a:ext uri="{FF2B5EF4-FFF2-40B4-BE49-F238E27FC236}">
              <a16:creationId xmlns:a16="http://schemas.microsoft.com/office/drawing/2014/main" id="{00000000-0008-0000-1200-0000AB060000}"/>
            </a:ext>
          </a:extLst>
        </xdr:cNvPr>
        <xdr:cNvCxnSpPr/>
      </xdr:nvCxnSpPr>
      <xdr:spPr>
        <a:xfrm>
          <a:off x="8805333" y="106489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95250</xdr:rowOff>
    </xdr:from>
    <xdr:to>
      <xdr:col>15</xdr:col>
      <xdr:colOff>582083</xdr:colOff>
      <xdr:row>978</xdr:row>
      <xdr:rowOff>137583</xdr:rowOff>
    </xdr:to>
    <xdr:cxnSp macro="">
      <xdr:nvCxnSpPr>
        <xdr:cNvPr id="1708" name="Straight Arrow Connector 1707">
          <a:extLst>
            <a:ext uri="{FF2B5EF4-FFF2-40B4-BE49-F238E27FC236}">
              <a16:creationId xmlns:a16="http://schemas.microsoft.com/office/drawing/2014/main" id="{00000000-0008-0000-1200-0000AC060000}"/>
            </a:ext>
          </a:extLst>
        </xdr:cNvPr>
        <xdr:cNvCxnSpPr/>
      </xdr:nvCxnSpPr>
      <xdr:spPr>
        <a:xfrm>
          <a:off x="10593916" y="100869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985</xdr:row>
      <xdr:rowOff>52916</xdr:rowOff>
    </xdr:from>
    <xdr:to>
      <xdr:col>16</xdr:col>
      <xdr:colOff>0</xdr:colOff>
      <xdr:row>987</xdr:row>
      <xdr:rowOff>0</xdr:rowOff>
    </xdr:to>
    <xdr:cxnSp macro="">
      <xdr:nvCxnSpPr>
        <xdr:cNvPr id="1709" name="Straight Arrow Connector 1708">
          <a:extLst>
            <a:ext uri="{FF2B5EF4-FFF2-40B4-BE49-F238E27FC236}">
              <a16:creationId xmlns:a16="http://schemas.microsoft.com/office/drawing/2014/main" id="{00000000-0008-0000-1200-0000AD060000}"/>
            </a:ext>
          </a:extLst>
        </xdr:cNvPr>
        <xdr:cNvCxnSpPr/>
      </xdr:nvCxnSpPr>
      <xdr:spPr>
        <a:xfrm flipV="1">
          <a:off x="10541000" y="102541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21167</xdr:rowOff>
    </xdr:from>
    <xdr:to>
      <xdr:col>15</xdr:col>
      <xdr:colOff>592666</xdr:colOff>
      <xdr:row>988</xdr:row>
      <xdr:rowOff>84667</xdr:rowOff>
    </xdr:to>
    <xdr:cxnSp macro="">
      <xdr:nvCxnSpPr>
        <xdr:cNvPr id="1710" name="Straight Arrow Connector 1709">
          <a:extLst>
            <a:ext uri="{FF2B5EF4-FFF2-40B4-BE49-F238E27FC236}">
              <a16:creationId xmlns:a16="http://schemas.microsoft.com/office/drawing/2014/main" id="{00000000-0008-0000-1200-0000AE060000}"/>
            </a:ext>
          </a:extLst>
        </xdr:cNvPr>
        <xdr:cNvCxnSpPr/>
      </xdr:nvCxnSpPr>
      <xdr:spPr>
        <a:xfrm>
          <a:off x="10530417" y="102891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0</xdr:rowOff>
    </xdr:from>
    <xdr:to>
      <xdr:col>16</xdr:col>
      <xdr:colOff>0</xdr:colOff>
      <xdr:row>991</xdr:row>
      <xdr:rowOff>42334</xdr:rowOff>
    </xdr:to>
    <xdr:cxnSp macro="">
      <xdr:nvCxnSpPr>
        <xdr:cNvPr id="1711" name="Straight Arrow Connector 1710">
          <a:extLst>
            <a:ext uri="{FF2B5EF4-FFF2-40B4-BE49-F238E27FC236}">
              <a16:creationId xmlns:a16="http://schemas.microsoft.com/office/drawing/2014/main" id="{00000000-0008-0000-1200-0000AF060000}"/>
            </a:ext>
          </a:extLst>
        </xdr:cNvPr>
        <xdr:cNvCxnSpPr/>
      </xdr:nvCxnSpPr>
      <xdr:spPr>
        <a:xfrm>
          <a:off x="10530417" y="102870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1000</xdr:row>
      <xdr:rowOff>10584</xdr:rowOff>
    </xdr:from>
    <xdr:to>
      <xdr:col>15</xdr:col>
      <xdr:colOff>592666</xdr:colOff>
      <xdr:row>1001</xdr:row>
      <xdr:rowOff>95250</xdr:rowOff>
    </xdr:to>
    <xdr:cxnSp macro="">
      <xdr:nvCxnSpPr>
        <xdr:cNvPr id="1713" name="Straight Arrow Connector 1712">
          <a:extLst>
            <a:ext uri="{FF2B5EF4-FFF2-40B4-BE49-F238E27FC236}">
              <a16:creationId xmlns:a16="http://schemas.microsoft.com/office/drawing/2014/main" id="{00000000-0008-0000-1200-0000B1060000}"/>
            </a:ext>
          </a:extLst>
        </xdr:cNvPr>
        <xdr:cNvCxnSpPr/>
      </xdr:nvCxnSpPr>
      <xdr:spPr>
        <a:xfrm>
          <a:off x="10572750" y="105547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1000</xdr:row>
      <xdr:rowOff>10584</xdr:rowOff>
    </xdr:from>
    <xdr:to>
      <xdr:col>15</xdr:col>
      <xdr:colOff>560916</xdr:colOff>
      <xdr:row>1004</xdr:row>
      <xdr:rowOff>52917</xdr:rowOff>
    </xdr:to>
    <xdr:cxnSp macro="">
      <xdr:nvCxnSpPr>
        <xdr:cNvPr id="1714" name="Straight Arrow Connector 1713">
          <a:extLst>
            <a:ext uri="{FF2B5EF4-FFF2-40B4-BE49-F238E27FC236}">
              <a16:creationId xmlns:a16="http://schemas.microsoft.com/office/drawing/2014/main" id="{00000000-0008-0000-1200-0000B2060000}"/>
            </a:ext>
          </a:extLst>
        </xdr:cNvPr>
        <xdr:cNvCxnSpPr/>
      </xdr:nvCxnSpPr>
      <xdr:spPr>
        <a:xfrm>
          <a:off x="10551583" y="105547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1715" name="Straight Arrow Connector 1714">
          <a:extLst>
            <a:ext uri="{FF2B5EF4-FFF2-40B4-BE49-F238E27FC236}">
              <a16:creationId xmlns:a16="http://schemas.microsoft.com/office/drawing/2014/main" id="{00000000-0008-0000-1200-0000B3060000}"/>
            </a:ext>
          </a:extLst>
        </xdr:cNvPr>
        <xdr:cNvCxnSpPr/>
      </xdr:nvCxnSpPr>
      <xdr:spPr>
        <a:xfrm>
          <a:off x="10583333" y="105568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1014</xdr:row>
      <xdr:rowOff>0</xdr:rowOff>
    </xdr:from>
    <xdr:to>
      <xdr:col>16</xdr:col>
      <xdr:colOff>0</xdr:colOff>
      <xdr:row>1014</xdr:row>
      <xdr:rowOff>42334</xdr:rowOff>
    </xdr:to>
    <xdr:cxnSp macro="">
      <xdr:nvCxnSpPr>
        <xdr:cNvPr id="1716" name="Straight Arrow Connector 1715">
          <a:extLst>
            <a:ext uri="{FF2B5EF4-FFF2-40B4-BE49-F238E27FC236}">
              <a16:creationId xmlns:a16="http://schemas.microsoft.com/office/drawing/2014/main" id="{00000000-0008-0000-1200-0000B4060000}"/>
            </a:ext>
          </a:extLst>
        </xdr:cNvPr>
        <xdr:cNvCxnSpPr/>
      </xdr:nvCxnSpPr>
      <xdr:spPr>
        <a:xfrm>
          <a:off x="10562166" y="108204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1014</xdr:row>
      <xdr:rowOff>21166</xdr:rowOff>
    </xdr:from>
    <xdr:to>
      <xdr:col>15</xdr:col>
      <xdr:colOff>560916</xdr:colOff>
      <xdr:row>1017</xdr:row>
      <xdr:rowOff>84667</xdr:rowOff>
    </xdr:to>
    <xdr:cxnSp macro="">
      <xdr:nvCxnSpPr>
        <xdr:cNvPr id="1717" name="Straight Arrow Connector 1716">
          <a:extLst>
            <a:ext uri="{FF2B5EF4-FFF2-40B4-BE49-F238E27FC236}">
              <a16:creationId xmlns:a16="http://schemas.microsoft.com/office/drawing/2014/main" id="{00000000-0008-0000-1200-0000B5060000}"/>
            </a:ext>
          </a:extLst>
        </xdr:cNvPr>
        <xdr:cNvCxnSpPr/>
      </xdr:nvCxnSpPr>
      <xdr:spPr>
        <a:xfrm>
          <a:off x="10615083" y="108225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1014</xdr:row>
      <xdr:rowOff>52916</xdr:rowOff>
    </xdr:from>
    <xdr:to>
      <xdr:col>15</xdr:col>
      <xdr:colOff>592666</xdr:colOff>
      <xdr:row>1020</xdr:row>
      <xdr:rowOff>63501</xdr:rowOff>
    </xdr:to>
    <xdr:cxnSp macro="">
      <xdr:nvCxnSpPr>
        <xdr:cNvPr id="1718" name="Straight Arrow Connector 1717">
          <a:extLst>
            <a:ext uri="{FF2B5EF4-FFF2-40B4-BE49-F238E27FC236}">
              <a16:creationId xmlns:a16="http://schemas.microsoft.com/office/drawing/2014/main" id="{00000000-0008-0000-1200-0000B6060000}"/>
            </a:ext>
          </a:extLst>
        </xdr:cNvPr>
        <xdr:cNvCxnSpPr/>
      </xdr:nvCxnSpPr>
      <xdr:spPr>
        <a:xfrm>
          <a:off x="10572750" y="108256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1011</xdr:row>
      <xdr:rowOff>52917</xdr:rowOff>
    </xdr:from>
    <xdr:to>
      <xdr:col>15</xdr:col>
      <xdr:colOff>603250</xdr:colOff>
      <xdr:row>1013</xdr:row>
      <xdr:rowOff>148167</xdr:rowOff>
    </xdr:to>
    <xdr:cxnSp macro="">
      <xdr:nvCxnSpPr>
        <xdr:cNvPr id="1719" name="Straight Arrow Connector 1718">
          <a:extLst>
            <a:ext uri="{FF2B5EF4-FFF2-40B4-BE49-F238E27FC236}">
              <a16:creationId xmlns:a16="http://schemas.microsoft.com/office/drawing/2014/main" id="{00000000-0008-0000-1200-0000B7060000}"/>
            </a:ext>
          </a:extLst>
        </xdr:cNvPr>
        <xdr:cNvCxnSpPr/>
      </xdr:nvCxnSpPr>
      <xdr:spPr>
        <a:xfrm flipV="1">
          <a:off x="10583333" y="107685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1055</xdr:row>
      <xdr:rowOff>95250</xdr:rowOff>
    </xdr:from>
    <xdr:to>
      <xdr:col>8</xdr:col>
      <xdr:colOff>21167</xdr:colOff>
      <xdr:row>1087</xdr:row>
      <xdr:rowOff>148166</xdr:rowOff>
    </xdr:to>
    <xdr:cxnSp macro="">
      <xdr:nvCxnSpPr>
        <xdr:cNvPr id="1720" name="Straight Arrow Connector 1719">
          <a:extLst>
            <a:ext uri="{FF2B5EF4-FFF2-40B4-BE49-F238E27FC236}">
              <a16:creationId xmlns:a16="http://schemas.microsoft.com/office/drawing/2014/main" id="{00000000-0008-0000-1200-0000B8060000}"/>
            </a:ext>
          </a:extLst>
        </xdr:cNvPr>
        <xdr:cNvCxnSpPr/>
      </xdr:nvCxnSpPr>
      <xdr:spPr>
        <a:xfrm>
          <a:off x="5080000" y="1163002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1026</xdr:row>
      <xdr:rowOff>137583</xdr:rowOff>
    </xdr:from>
    <xdr:to>
      <xdr:col>9</xdr:col>
      <xdr:colOff>603250</xdr:colOff>
      <xdr:row>1032</xdr:row>
      <xdr:rowOff>21166</xdr:rowOff>
    </xdr:to>
    <xdr:cxnSp macro="">
      <xdr:nvCxnSpPr>
        <xdr:cNvPr id="1721" name="Straight Arrow Connector 1720">
          <a:extLst>
            <a:ext uri="{FF2B5EF4-FFF2-40B4-BE49-F238E27FC236}">
              <a16:creationId xmlns:a16="http://schemas.microsoft.com/office/drawing/2014/main" id="{00000000-0008-0000-1200-0000B9060000}"/>
            </a:ext>
          </a:extLst>
        </xdr:cNvPr>
        <xdr:cNvCxnSpPr/>
      </xdr:nvCxnSpPr>
      <xdr:spPr>
        <a:xfrm flipV="1">
          <a:off x="6381750" y="110627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1035</xdr:row>
      <xdr:rowOff>0</xdr:rowOff>
    </xdr:from>
    <xdr:to>
      <xdr:col>9</xdr:col>
      <xdr:colOff>582083</xdr:colOff>
      <xdr:row>1043</xdr:row>
      <xdr:rowOff>10583</xdr:rowOff>
    </xdr:to>
    <xdr:cxnSp macro="">
      <xdr:nvCxnSpPr>
        <xdr:cNvPr id="1722" name="Straight Arrow Connector 1721">
          <a:extLst>
            <a:ext uri="{FF2B5EF4-FFF2-40B4-BE49-F238E27FC236}">
              <a16:creationId xmlns:a16="http://schemas.microsoft.com/office/drawing/2014/main" id="{00000000-0008-0000-1200-0000BA060000}"/>
            </a:ext>
          </a:extLst>
        </xdr:cNvPr>
        <xdr:cNvCxnSpPr/>
      </xdr:nvCxnSpPr>
      <xdr:spPr>
        <a:xfrm>
          <a:off x="6413500" y="112204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1040</xdr:row>
      <xdr:rowOff>169333</xdr:rowOff>
    </xdr:from>
    <xdr:to>
      <xdr:col>11</xdr:col>
      <xdr:colOff>603250</xdr:colOff>
      <xdr:row>1043</xdr:row>
      <xdr:rowOff>21167</xdr:rowOff>
    </xdr:to>
    <xdr:cxnSp macro="">
      <xdr:nvCxnSpPr>
        <xdr:cNvPr id="1723" name="Straight Arrow Connector 1722">
          <a:extLst>
            <a:ext uri="{FF2B5EF4-FFF2-40B4-BE49-F238E27FC236}">
              <a16:creationId xmlns:a16="http://schemas.microsoft.com/office/drawing/2014/main" id="{00000000-0008-0000-1200-0000BB060000}"/>
            </a:ext>
          </a:extLst>
        </xdr:cNvPr>
        <xdr:cNvCxnSpPr/>
      </xdr:nvCxnSpPr>
      <xdr:spPr>
        <a:xfrm flipV="1">
          <a:off x="7609417" y="113326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1046</xdr:row>
      <xdr:rowOff>42333</xdr:rowOff>
    </xdr:from>
    <xdr:to>
      <xdr:col>11</xdr:col>
      <xdr:colOff>603250</xdr:colOff>
      <xdr:row>1058</xdr:row>
      <xdr:rowOff>10583</xdr:rowOff>
    </xdr:to>
    <xdr:cxnSp macro="">
      <xdr:nvCxnSpPr>
        <xdr:cNvPr id="1724" name="Straight Arrow Connector 1723">
          <a:extLst>
            <a:ext uri="{FF2B5EF4-FFF2-40B4-BE49-F238E27FC236}">
              <a16:creationId xmlns:a16="http://schemas.microsoft.com/office/drawing/2014/main" id="{00000000-0008-0000-1200-0000BC060000}"/>
            </a:ext>
          </a:extLst>
        </xdr:cNvPr>
        <xdr:cNvCxnSpPr/>
      </xdr:nvCxnSpPr>
      <xdr:spPr>
        <a:xfrm>
          <a:off x="7598834" y="114342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1036</xdr:row>
      <xdr:rowOff>21167</xdr:rowOff>
    </xdr:from>
    <xdr:to>
      <xdr:col>13</xdr:col>
      <xdr:colOff>592667</xdr:colOff>
      <xdr:row>1038</xdr:row>
      <xdr:rowOff>0</xdr:rowOff>
    </xdr:to>
    <xdr:cxnSp macro="">
      <xdr:nvCxnSpPr>
        <xdr:cNvPr id="1725" name="Straight Arrow Connector 1724">
          <a:extLst>
            <a:ext uri="{FF2B5EF4-FFF2-40B4-BE49-F238E27FC236}">
              <a16:creationId xmlns:a16="http://schemas.microsoft.com/office/drawing/2014/main" id="{00000000-0008-0000-1200-0000BD060000}"/>
            </a:ext>
          </a:extLst>
        </xdr:cNvPr>
        <xdr:cNvCxnSpPr/>
      </xdr:nvCxnSpPr>
      <xdr:spPr>
        <a:xfrm flipV="1">
          <a:off x="8794750" y="112416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1041</xdr:row>
      <xdr:rowOff>21166</xdr:rowOff>
    </xdr:from>
    <xdr:to>
      <xdr:col>13</xdr:col>
      <xdr:colOff>592667</xdr:colOff>
      <xdr:row>1042</xdr:row>
      <xdr:rowOff>169334</xdr:rowOff>
    </xdr:to>
    <xdr:cxnSp macro="">
      <xdr:nvCxnSpPr>
        <xdr:cNvPr id="1726" name="Straight Arrow Connector 1725">
          <a:extLst>
            <a:ext uri="{FF2B5EF4-FFF2-40B4-BE49-F238E27FC236}">
              <a16:creationId xmlns:a16="http://schemas.microsoft.com/office/drawing/2014/main" id="{00000000-0008-0000-1200-0000BE060000}"/>
            </a:ext>
          </a:extLst>
        </xdr:cNvPr>
        <xdr:cNvCxnSpPr/>
      </xdr:nvCxnSpPr>
      <xdr:spPr>
        <a:xfrm>
          <a:off x="8784166" y="113368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1056</xdr:row>
      <xdr:rowOff>21167</xdr:rowOff>
    </xdr:from>
    <xdr:to>
      <xdr:col>13</xdr:col>
      <xdr:colOff>592667</xdr:colOff>
      <xdr:row>1058</xdr:row>
      <xdr:rowOff>63500</xdr:rowOff>
    </xdr:to>
    <xdr:cxnSp macro="">
      <xdr:nvCxnSpPr>
        <xdr:cNvPr id="1727" name="Straight Arrow Connector 1726">
          <a:extLst>
            <a:ext uri="{FF2B5EF4-FFF2-40B4-BE49-F238E27FC236}">
              <a16:creationId xmlns:a16="http://schemas.microsoft.com/office/drawing/2014/main" id="{00000000-0008-0000-1200-0000BF060000}"/>
            </a:ext>
          </a:extLst>
        </xdr:cNvPr>
        <xdr:cNvCxnSpPr/>
      </xdr:nvCxnSpPr>
      <xdr:spPr>
        <a:xfrm flipV="1">
          <a:off x="8794750" y="116416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1061</xdr:row>
      <xdr:rowOff>0</xdr:rowOff>
    </xdr:from>
    <xdr:to>
      <xdr:col>14</xdr:col>
      <xdr:colOff>10584</xdr:colOff>
      <xdr:row>1069</xdr:row>
      <xdr:rowOff>148167</xdr:rowOff>
    </xdr:to>
    <xdr:cxnSp macro="">
      <xdr:nvCxnSpPr>
        <xdr:cNvPr id="1728" name="Straight Arrow Connector 1727">
          <a:extLst>
            <a:ext uri="{FF2B5EF4-FFF2-40B4-BE49-F238E27FC236}">
              <a16:creationId xmlns:a16="http://schemas.microsoft.com/office/drawing/2014/main" id="{00000000-0008-0000-1200-0000C0060000}"/>
            </a:ext>
          </a:extLst>
        </xdr:cNvPr>
        <xdr:cNvCxnSpPr/>
      </xdr:nvCxnSpPr>
      <xdr:spPr>
        <a:xfrm>
          <a:off x="8805333" y="117348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1028</xdr:row>
      <xdr:rowOff>0</xdr:rowOff>
    </xdr:from>
    <xdr:to>
      <xdr:col>15</xdr:col>
      <xdr:colOff>603250</xdr:colOff>
      <xdr:row>1033</xdr:row>
      <xdr:rowOff>31750</xdr:rowOff>
    </xdr:to>
    <xdr:cxnSp macro="">
      <xdr:nvCxnSpPr>
        <xdr:cNvPr id="1729" name="Straight Arrow Connector 1728">
          <a:extLst>
            <a:ext uri="{FF2B5EF4-FFF2-40B4-BE49-F238E27FC236}">
              <a16:creationId xmlns:a16="http://schemas.microsoft.com/office/drawing/2014/main" id="{00000000-0008-0000-1200-0000C1060000}"/>
            </a:ext>
          </a:extLst>
        </xdr:cNvPr>
        <xdr:cNvCxnSpPr/>
      </xdr:nvCxnSpPr>
      <xdr:spPr>
        <a:xfrm flipV="1">
          <a:off x="10541000" y="110871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1031</xdr:row>
      <xdr:rowOff>52917</xdr:rowOff>
    </xdr:from>
    <xdr:to>
      <xdr:col>15</xdr:col>
      <xdr:colOff>603250</xdr:colOff>
      <xdr:row>1033</xdr:row>
      <xdr:rowOff>95250</xdr:rowOff>
    </xdr:to>
    <xdr:cxnSp macro="">
      <xdr:nvCxnSpPr>
        <xdr:cNvPr id="1730" name="Straight Arrow Connector 1729">
          <a:extLst>
            <a:ext uri="{FF2B5EF4-FFF2-40B4-BE49-F238E27FC236}">
              <a16:creationId xmlns:a16="http://schemas.microsoft.com/office/drawing/2014/main" id="{00000000-0008-0000-1200-0000C2060000}"/>
            </a:ext>
          </a:extLst>
        </xdr:cNvPr>
        <xdr:cNvCxnSpPr/>
      </xdr:nvCxnSpPr>
      <xdr:spPr>
        <a:xfrm flipV="1">
          <a:off x="10583333" y="111495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1033</xdr:row>
      <xdr:rowOff>158750</xdr:rowOff>
    </xdr:from>
    <xdr:to>
      <xdr:col>15</xdr:col>
      <xdr:colOff>582083</xdr:colOff>
      <xdr:row>1034</xdr:row>
      <xdr:rowOff>137583</xdr:rowOff>
    </xdr:to>
    <xdr:cxnSp macro="">
      <xdr:nvCxnSpPr>
        <xdr:cNvPr id="1731" name="Straight Arrow Connector 1730">
          <a:extLst>
            <a:ext uri="{FF2B5EF4-FFF2-40B4-BE49-F238E27FC236}">
              <a16:creationId xmlns:a16="http://schemas.microsoft.com/office/drawing/2014/main" id="{00000000-0008-0000-1200-0000C3060000}"/>
            </a:ext>
          </a:extLst>
        </xdr:cNvPr>
        <xdr:cNvCxnSpPr/>
      </xdr:nvCxnSpPr>
      <xdr:spPr>
        <a:xfrm>
          <a:off x="10604500" y="111982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1033</xdr:row>
      <xdr:rowOff>105834</xdr:rowOff>
    </xdr:from>
    <xdr:to>
      <xdr:col>16</xdr:col>
      <xdr:colOff>0</xdr:colOff>
      <xdr:row>1037</xdr:row>
      <xdr:rowOff>84667</xdr:rowOff>
    </xdr:to>
    <xdr:cxnSp macro="">
      <xdr:nvCxnSpPr>
        <xdr:cNvPr id="1732" name="Straight Arrow Connector 1731">
          <a:extLst>
            <a:ext uri="{FF2B5EF4-FFF2-40B4-BE49-F238E27FC236}">
              <a16:creationId xmlns:a16="http://schemas.microsoft.com/office/drawing/2014/main" id="{00000000-0008-0000-1200-0000C4060000}"/>
            </a:ext>
          </a:extLst>
        </xdr:cNvPr>
        <xdr:cNvCxnSpPr/>
      </xdr:nvCxnSpPr>
      <xdr:spPr>
        <a:xfrm>
          <a:off x="10519834" y="111929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1041</xdr:row>
      <xdr:rowOff>52916</xdr:rowOff>
    </xdr:from>
    <xdr:to>
      <xdr:col>16</xdr:col>
      <xdr:colOff>0</xdr:colOff>
      <xdr:row>1043</xdr:row>
      <xdr:rowOff>0</xdr:rowOff>
    </xdr:to>
    <xdr:cxnSp macro="">
      <xdr:nvCxnSpPr>
        <xdr:cNvPr id="1733" name="Straight Arrow Connector 1732">
          <a:extLst>
            <a:ext uri="{FF2B5EF4-FFF2-40B4-BE49-F238E27FC236}">
              <a16:creationId xmlns:a16="http://schemas.microsoft.com/office/drawing/2014/main" id="{00000000-0008-0000-1200-0000C5060000}"/>
            </a:ext>
          </a:extLst>
        </xdr:cNvPr>
        <xdr:cNvCxnSpPr/>
      </xdr:nvCxnSpPr>
      <xdr:spPr>
        <a:xfrm flipV="1">
          <a:off x="10541000" y="113400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1043</xdr:row>
      <xdr:rowOff>21167</xdr:rowOff>
    </xdr:from>
    <xdr:to>
      <xdr:col>15</xdr:col>
      <xdr:colOff>582083</xdr:colOff>
      <xdr:row>1044</xdr:row>
      <xdr:rowOff>42333</xdr:rowOff>
    </xdr:to>
    <xdr:cxnSp macro="">
      <xdr:nvCxnSpPr>
        <xdr:cNvPr id="1734" name="Straight Arrow Connector 1733">
          <a:extLst>
            <a:ext uri="{FF2B5EF4-FFF2-40B4-BE49-F238E27FC236}">
              <a16:creationId xmlns:a16="http://schemas.microsoft.com/office/drawing/2014/main" id="{00000000-0008-0000-1200-0000C6060000}"/>
            </a:ext>
          </a:extLst>
        </xdr:cNvPr>
        <xdr:cNvCxnSpPr/>
      </xdr:nvCxnSpPr>
      <xdr:spPr>
        <a:xfrm>
          <a:off x="10551583" y="113749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1043</xdr:row>
      <xdr:rowOff>21167</xdr:rowOff>
    </xdr:from>
    <xdr:to>
      <xdr:col>16</xdr:col>
      <xdr:colOff>42333</xdr:colOff>
      <xdr:row>1048</xdr:row>
      <xdr:rowOff>21168</xdr:rowOff>
    </xdr:to>
    <xdr:cxnSp macro="">
      <xdr:nvCxnSpPr>
        <xdr:cNvPr id="1735" name="Straight Arrow Connector 1734">
          <a:extLst>
            <a:ext uri="{FF2B5EF4-FFF2-40B4-BE49-F238E27FC236}">
              <a16:creationId xmlns:a16="http://schemas.microsoft.com/office/drawing/2014/main" id="{00000000-0008-0000-1200-0000C7060000}"/>
            </a:ext>
          </a:extLst>
        </xdr:cNvPr>
        <xdr:cNvCxnSpPr/>
      </xdr:nvCxnSpPr>
      <xdr:spPr>
        <a:xfrm>
          <a:off x="10530417" y="113749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1736" name="Straight Arrow Connector 1735">
          <a:extLst>
            <a:ext uri="{FF2B5EF4-FFF2-40B4-BE49-F238E27FC236}">
              <a16:creationId xmlns:a16="http://schemas.microsoft.com/office/drawing/2014/main" id="{00000000-0008-0000-1200-0000C8060000}"/>
            </a:ext>
          </a:extLst>
        </xdr:cNvPr>
        <xdr:cNvCxnSpPr/>
      </xdr:nvCxnSpPr>
      <xdr:spPr>
        <a:xfrm>
          <a:off x="10541000" y="113760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1080</xdr:row>
      <xdr:rowOff>42333</xdr:rowOff>
    </xdr:from>
    <xdr:to>
      <xdr:col>9</xdr:col>
      <xdr:colOff>592666</xdr:colOff>
      <xdr:row>1088</xdr:row>
      <xdr:rowOff>42333</xdr:rowOff>
    </xdr:to>
    <xdr:cxnSp macro="">
      <xdr:nvCxnSpPr>
        <xdr:cNvPr id="1737" name="Straight Arrow Connector 1736">
          <a:extLst>
            <a:ext uri="{FF2B5EF4-FFF2-40B4-BE49-F238E27FC236}">
              <a16:creationId xmlns:a16="http://schemas.microsoft.com/office/drawing/2014/main" id="{00000000-0008-0000-1200-0000C9060000}"/>
            </a:ext>
          </a:extLst>
        </xdr:cNvPr>
        <xdr:cNvCxnSpPr/>
      </xdr:nvCxnSpPr>
      <xdr:spPr>
        <a:xfrm flipV="1">
          <a:off x="6392333" y="121009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1090</xdr:row>
      <xdr:rowOff>169334</xdr:rowOff>
    </xdr:from>
    <xdr:to>
      <xdr:col>9</xdr:col>
      <xdr:colOff>603250</xdr:colOff>
      <xdr:row>1099</xdr:row>
      <xdr:rowOff>31750</xdr:rowOff>
    </xdr:to>
    <xdr:cxnSp macro="">
      <xdr:nvCxnSpPr>
        <xdr:cNvPr id="1738" name="Straight Arrow Connector 1737">
          <a:extLst>
            <a:ext uri="{FF2B5EF4-FFF2-40B4-BE49-F238E27FC236}">
              <a16:creationId xmlns:a16="http://schemas.microsoft.com/office/drawing/2014/main" id="{00000000-0008-0000-1200-0000CA060000}"/>
            </a:ext>
          </a:extLst>
        </xdr:cNvPr>
        <xdr:cNvCxnSpPr/>
      </xdr:nvCxnSpPr>
      <xdr:spPr>
        <a:xfrm>
          <a:off x="6413500" y="123041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1096</xdr:row>
      <xdr:rowOff>158750</xdr:rowOff>
    </xdr:from>
    <xdr:to>
      <xdr:col>11</xdr:col>
      <xdr:colOff>571500</xdr:colOff>
      <xdr:row>1099</xdr:row>
      <xdr:rowOff>0</xdr:rowOff>
    </xdr:to>
    <xdr:cxnSp macro="">
      <xdr:nvCxnSpPr>
        <xdr:cNvPr id="1739" name="Straight Arrow Connector 1738">
          <a:extLst>
            <a:ext uri="{FF2B5EF4-FFF2-40B4-BE49-F238E27FC236}">
              <a16:creationId xmlns:a16="http://schemas.microsoft.com/office/drawing/2014/main" id="{00000000-0008-0000-1200-0000CB060000}"/>
            </a:ext>
          </a:extLst>
        </xdr:cNvPr>
        <xdr:cNvCxnSpPr/>
      </xdr:nvCxnSpPr>
      <xdr:spPr>
        <a:xfrm flipV="1">
          <a:off x="7556500" y="124174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1054</xdr:row>
      <xdr:rowOff>0</xdr:rowOff>
    </xdr:from>
    <xdr:to>
      <xdr:col>15</xdr:col>
      <xdr:colOff>603250</xdr:colOff>
      <xdr:row>1056</xdr:row>
      <xdr:rowOff>1</xdr:rowOff>
    </xdr:to>
    <xdr:cxnSp macro="">
      <xdr:nvCxnSpPr>
        <xdr:cNvPr id="1740" name="Straight Arrow Connector 1739">
          <a:extLst>
            <a:ext uri="{FF2B5EF4-FFF2-40B4-BE49-F238E27FC236}">
              <a16:creationId xmlns:a16="http://schemas.microsoft.com/office/drawing/2014/main" id="{00000000-0008-0000-1200-0000CC060000}"/>
            </a:ext>
          </a:extLst>
        </xdr:cNvPr>
        <xdr:cNvCxnSpPr/>
      </xdr:nvCxnSpPr>
      <xdr:spPr>
        <a:xfrm flipV="1">
          <a:off x="10530417" y="116014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1056</xdr:row>
      <xdr:rowOff>10584</xdr:rowOff>
    </xdr:from>
    <xdr:to>
      <xdr:col>15</xdr:col>
      <xdr:colOff>592666</xdr:colOff>
      <xdr:row>1057</xdr:row>
      <xdr:rowOff>95250</xdr:rowOff>
    </xdr:to>
    <xdr:cxnSp macro="">
      <xdr:nvCxnSpPr>
        <xdr:cNvPr id="1741" name="Straight Arrow Connector 1740">
          <a:extLst>
            <a:ext uri="{FF2B5EF4-FFF2-40B4-BE49-F238E27FC236}">
              <a16:creationId xmlns:a16="http://schemas.microsoft.com/office/drawing/2014/main" id="{00000000-0008-0000-1200-0000CD060000}"/>
            </a:ext>
          </a:extLst>
        </xdr:cNvPr>
        <xdr:cNvCxnSpPr/>
      </xdr:nvCxnSpPr>
      <xdr:spPr>
        <a:xfrm>
          <a:off x="10572750" y="116406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1056</xdr:row>
      <xdr:rowOff>10584</xdr:rowOff>
    </xdr:from>
    <xdr:to>
      <xdr:col>15</xdr:col>
      <xdr:colOff>560916</xdr:colOff>
      <xdr:row>1060</xdr:row>
      <xdr:rowOff>52917</xdr:rowOff>
    </xdr:to>
    <xdr:cxnSp macro="">
      <xdr:nvCxnSpPr>
        <xdr:cNvPr id="1742" name="Straight Arrow Connector 1741">
          <a:extLst>
            <a:ext uri="{FF2B5EF4-FFF2-40B4-BE49-F238E27FC236}">
              <a16:creationId xmlns:a16="http://schemas.microsoft.com/office/drawing/2014/main" id="{00000000-0008-0000-1200-0000CE060000}"/>
            </a:ext>
          </a:extLst>
        </xdr:cNvPr>
        <xdr:cNvCxnSpPr/>
      </xdr:nvCxnSpPr>
      <xdr:spPr>
        <a:xfrm>
          <a:off x="10551583" y="116406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1743" name="Straight Arrow Connector 1742">
          <a:extLst>
            <a:ext uri="{FF2B5EF4-FFF2-40B4-BE49-F238E27FC236}">
              <a16:creationId xmlns:a16="http://schemas.microsoft.com/office/drawing/2014/main" id="{00000000-0008-0000-1200-0000CF060000}"/>
            </a:ext>
          </a:extLst>
        </xdr:cNvPr>
        <xdr:cNvCxnSpPr/>
      </xdr:nvCxnSpPr>
      <xdr:spPr>
        <a:xfrm>
          <a:off x="10583333" y="116427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1070</xdr:row>
      <xdr:rowOff>0</xdr:rowOff>
    </xdr:from>
    <xdr:to>
      <xdr:col>16</xdr:col>
      <xdr:colOff>0</xdr:colOff>
      <xdr:row>1070</xdr:row>
      <xdr:rowOff>42334</xdr:rowOff>
    </xdr:to>
    <xdr:cxnSp macro="">
      <xdr:nvCxnSpPr>
        <xdr:cNvPr id="1744" name="Straight Arrow Connector 1743">
          <a:extLst>
            <a:ext uri="{FF2B5EF4-FFF2-40B4-BE49-F238E27FC236}">
              <a16:creationId xmlns:a16="http://schemas.microsoft.com/office/drawing/2014/main" id="{00000000-0008-0000-1200-0000D0060000}"/>
            </a:ext>
          </a:extLst>
        </xdr:cNvPr>
        <xdr:cNvCxnSpPr/>
      </xdr:nvCxnSpPr>
      <xdr:spPr>
        <a:xfrm>
          <a:off x="10562166" y="119062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1070</xdr:row>
      <xdr:rowOff>21166</xdr:rowOff>
    </xdr:from>
    <xdr:to>
      <xdr:col>15</xdr:col>
      <xdr:colOff>560916</xdr:colOff>
      <xdr:row>1073</xdr:row>
      <xdr:rowOff>84667</xdr:rowOff>
    </xdr:to>
    <xdr:cxnSp macro="">
      <xdr:nvCxnSpPr>
        <xdr:cNvPr id="1745" name="Straight Arrow Connector 1744">
          <a:extLst>
            <a:ext uri="{FF2B5EF4-FFF2-40B4-BE49-F238E27FC236}">
              <a16:creationId xmlns:a16="http://schemas.microsoft.com/office/drawing/2014/main" id="{00000000-0008-0000-1200-0000D1060000}"/>
            </a:ext>
          </a:extLst>
        </xdr:cNvPr>
        <xdr:cNvCxnSpPr/>
      </xdr:nvCxnSpPr>
      <xdr:spPr>
        <a:xfrm>
          <a:off x="10615083" y="119083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1070</xdr:row>
      <xdr:rowOff>52916</xdr:rowOff>
    </xdr:from>
    <xdr:to>
      <xdr:col>15</xdr:col>
      <xdr:colOff>592666</xdr:colOff>
      <xdr:row>1076</xdr:row>
      <xdr:rowOff>63501</xdr:rowOff>
    </xdr:to>
    <xdr:cxnSp macro="">
      <xdr:nvCxnSpPr>
        <xdr:cNvPr id="1746" name="Straight Arrow Connector 1745">
          <a:extLst>
            <a:ext uri="{FF2B5EF4-FFF2-40B4-BE49-F238E27FC236}">
              <a16:creationId xmlns:a16="http://schemas.microsoft.com/office/drawing/2014/main" id="{00000000-0008-0000-1200-0000D2060000}"/>
            </a:ext>
          </a:extLst>
        </xdr:cNvPr>
        <xdr:cNvCxnSpPr/>
      </xdr:nvCxnSpPr>
      <xdr:spPr>
        <a:xfrm>
          <a:off x="10572750" y="119115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1084</xdr:row>
      <xdr:rowOff>116416</xdr:rowOff>
    </xdr:from>
    <xdr:to>
      <xdr:col>15</xdr:col>
      <xdr:colOff>592666</xdr:colOff>
      <xdr:row>1087</xdr:row>
      <xdr:rowOff>158750</xdr:rowOff>
    </xdr:to>
    <xdr:cxnSp macro="">
      <xdr:nvCxnSpPr>
        <xdr:cNvPr id="1747" name="Straight Arrow Connector 1746">
          <a:extLst>
            <a:ext uri="{FF2B5EF4-FFF2-40B4-BE49-F238E27FC236}">
              <a16:creationId xmlns:a16="http://schemas.microsoft.com/office/drawing/2014/main" id="{00000000-0008-0000-1200-0000D3060000}"/>
            </a:ext>
          </a:extLst>
        </xdr:cNvPr>
        <xdr:cNvCxnSpPr/>
      </xdr:nvCxnSpPr>
      <xdr:spPr>
        <a:xfrm flipV="1">
          <a:off x="10562166" y="121845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1086</xdr:row>
      <xdr:rowOff>95250</xdr:rowOff>
    </xdr:from>
    <xdr:to>
      <xdr:col>15</xdr:col>
      <xdr:colOff>582083</xdr:colOff>
      <xdr:row>1088</xdr:row>
      <xdr:rowOff>52917</xdr:rowOff>
    </xdr:to>
    <xdr:cxnSp macro="">
      <xdr:nvCxnSpPr>
        <xdr:cNvPr id="1748" name="Straight Arrow Connector 1747">
          <a:extLst>
            <a:ext uri="{FF2B5EF4-FFF2-40B4-BE49-F238E27FC236}">
              <a16:creationId xmlns:a16="http://schemas.microsoft.com/office/drawing/2014/main" id="{00000000-0008-0000-1200-0000D4060000}"/>
            </a:ext>
          </a:extLst>
        </xdr:cNvPr>
        <xdr:cNvCxnSpPr/>
      </xdr:nvCxnSpPr>
      <xdr:spPr>
        <a:xfrm flipV="1">
          <a:off x="10604500" y="122205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116417</xdr:rowOff>
    </xdr:from>
    <xdr:to>
      <xdr:col>15</xdr:col>
      <xdr:colOff>592666</xdr:colOff>
      <xdr:row>1092</xdr:row>
      <xdr:rowOff>95250</xdr:rowOff>
    </xdr:to>
    <xdr:cxnSp macro="">
      <xdr:nvCxnSpPr>
        <xdr:cNvPr id="1749" name="Straight Arrow Connector 1748">
          <a:extLst>
            <a:ext uri="{FF2B5EF4-FFF2-40B4-BE49-F238E27FC236}">
              <a16:creationId xmlns:a16="http://schemas.microsoft.com/office/drawing/2014/main" id="{00000000-0008-0000-1200-0000D5060000}"/>
            </a:ext>
          </a:extLst>
        </xdr:cNvPr>
        <xdr:cNvCxnSpPr/>
      </xdr:nvCxnSpPr>
      <xdr:spPr>
        <a:xfrm>
          <a:off x="10593916" y="122607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1099</xdr:row>
      <xdr:rowOff>116416</xdr:rowOff>
    </xdr:from>
    <xdr:to>
      <xdr:col>16</xdr:col>
      <xdr:colOff>0</xdr:colOff>
      <xdr:row>1106</xdr:row>
      <xdr:rowOff>74084</xdr:rowOff>
    </xdr:to>
    <xdr:cxnSp macro="">
      <xdr:nvCxnSpPr>
        <xdr:cNvPr id="1750" name="Straight Arrow Connector 1749">
          <a:extLst>
            <a:ext uri="{FF2B5EF4-FFF2-40B4-BE49-F238E27FC236}">
              <a16:creationId xmlns:a16="http://schemas.microsoft.com/office/drawing/2014/main" id="{00000000-0008-0000-1200-0000D6060000}"/>
            </a:ext>
          </a:extLst>
        </xdr:cNvPr>
        <xdr:cNvCxnSpPr/>
      </xdr:nvCxnSpPr>
      <xdr:spPr>
        <a:xfrm>
          <a:off x="10572750" y="124703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1067</xdr:row>
      <xdr:rowOff>52917</xdr:rowOff>
    </xdr:from>
    <xdr:to>
      <xdr:col>15</xdr:col>
      <xdr:colOff>603250</xdr:colOff>
      <xdr:row>1069</xdr:row>
      <xdr:rowOff>148167</xdr:rowOff>
    </xdr:to>
    <xdr:cxnSp macro="">
      <xdr:nvCxnSpPr>
        <xdr:cNvPr id="1751" name="Straight Arrow Connector 1750">
          <a:extLst>
            <a:ext uri="{FF2B5EF4-FFF2-40B4-BE49-F238E27FC236}">
              <a16:creationId xmlns:a16="http://schemas.microsoft.com/office/drawing/2014/main" id="{00000000-0008-0000-1200-0000D7060000}"/>
            </a:ext>
          </a:extLst>
        </xdr:cNvPr>
        <xdr:cNvCxnSpPr/>
      </xdr:nvCxnSpPr>
      <xdr:spPr>
        <a:xfrm flipV="1">
          <a:off x="10583333" y="118543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1102</xdr:row>
      <xdr:rowOff>42333</xdr:rowOff>
    </xdr:from>
    <xdr:to>
      <xdr:col>11</xdr:col>
      <xdr:colOff>603250</xdr:colOff>
      <xdr:row>1114</xdr:row>
      <xdr:rowOff>10583</xdr:rowOff>
    </xdr:to>
    <xdr:cxnSp macro="">
      <xdr:nvCxnSpPr>
        <xdr:cNvPr id="1752" name="Straight Arrow Connector 1751">
          <a:extLst>
            <a:ext uri="{FF2B5EF4-FFF2-40B4-BE49-F238E27FC236}">
              <a16:creationId xmlns:a16="http://schemas.microsoft.com/office/drawing/2014/main" id="{00000000-0008-0000-1200-0000D8060000}"/>
            </a:ext>
          </a:extLst>
        </xdr:cNvPr>
        <xdr:cNvCxnSpPr/>
      </xdr:nvCxnSpPr>
      <xdr:spPr>
        <a:xfrm>
          <a:off x="7598834" y="125200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1092</xdr:row>
      <xdr:rowOff>21167</xdr:rowOff>
    </xdr:from>
    <xdr:to>
      <xdr:col>13</xdr:col>
      <xdr:colOff>592667</xdr:colOff>
      <xdr:row>1094</xdr:row>
      <xdr:rowOff>0</xdr:rowOff>
    </xdr:to>
    <xdr:cxnSp macro="">
      <xdr:nvCxnSpPr>
        <xdr:cNvPr id="1753" name="Straight Arrow Connector 1752">
          <a:extLst>
            <a:ext uri="{FF2B5EF4-FFF2-40B4-BE49-F238E27FC236}">
              <a16:creationId xmlns:a16="http://schemas.microsoft.com/office/drawing/2014/main" id="{00000000-0008-0000-1200-0000D9060000}"/>
            </a:ext>
          </a:extLst>
        </xdr:cNvPr>
        <xdr:cNvCxnSpPr/>
      </xdr:nvCxnSpPr>
      <xdr:spPr>
        <a:xfrm flipV="1">
          <a:off x="8794750" y="123274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1097</xdr:row>
      <xdr:rowOff>21166</xdr:rowOff>
    </xdr:from>
    <xdr:to>
      <xdr:col>13</xdr:col>
      <xdr:colOff>592667</xdr:colOff>
      <xdr:row>1098</xdr:row>
      <xdr:rowOff>169334</xdr:rowOff>
    </xdr:to>
    <xdr:cxnSp macro="">
      <xdr:nvCxnSpPr>
        <xdr:cNvPr id="1754" name="Straight Arrow Connector 1753">
          <a:extLst>
            <a:ext uri="{FF2B5EF4-FFF2-40B4-BE49-F238E27FC236}">
              <a16:creationId xmlns:a16="http://schemas.microsoft.com/office/drawing/2014/main" id="{00000000-0008-0000-1200-0000DA060000}"/>
            </a:ext>
          </a:extLst>
        </xdr:cNvPr>
        <xdr:cNvCxnSpPr/>
      </xdr:nvCxnSpPr>
      <xdr:spPr>
        <a:xfrm>
          <a:off x="8784166" y="124227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1112</xdr:row>
      <xdr:rowOff>21167</xdr:rowOff>
    </xdr:from>
    <xdr:to>
      <xdr:col>13</xdr:col>
      <xdr:colOff>592667</xdr:colOff>
      <xdr:row>1114</xdr:row>
      <xdr:rowOff>63500</xdr:rowOff>
    </xdr:to>
    <xdr:cxnSp macro="">
      <xdr:nvCxnSpPr>
        <xdr:cNvPr id="1755" name="Straight Arrow Connector 1754">
          <a:extLst>
            <a:ext uri="{FF2B5EF4-FFF2-40B4-BE49-F238E27FC236}">
              <a16:creationId xmlns:a16="http://schemas.microsoft.com/office/drawing/2014/main" id="{00000000-0008-0000-1200-0000DB060000}"/>
            </a:ext>
          </a:extLst>
        </xdr:cNvPr>
        <xdr:cNvCxnSpPr/>
      </xdr:nvCxnSpPr>
      <xdr:spPr>
        <a:xfrm flipV="1">
          <a:off x="8794750" y="127275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1117</xdr:row>
      <xdr:rowOff>0</xdr:rowOff>
    </xdr:from>
    <xdr:to>
      <xdr:col>14</xdr:col>
      <xdr:colOff>10584</xdr:colOff>
      <xdr:row>1125</xdr:row>
      <xdr:rowOff>148167</xdr:rowOff>
    </xdr:to>
    <xdr:cxnSp macro="">
      <xdr:nvCxnSpPr>
        <xdr:cNvPr id="1756" name="Straight Arrow Connector 1755">
          <a:extLst>
            <a:ext uri="{FF2B5EF4-FFF2-40B4-BE49-F238E27FC236}">
              <a16:creationId xmlns:a16="http://schemas.microsoft.com/office/drawing/2014/main" id="{00000000-0008-0000-1200-0000DC060000}"/>
            </a:ext>
          </a:extLst>
        </xdr:cNvPr>
        <xdr:cNvCxnSpPr/>
      </xdr:nvCxnSpPr>
      <xdr:spPr>
        <a:xfrm>
          <a:off x="8805333" y="128206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95250</xdr:rowOff>
    </xdr:from>
    <xdr:to>
      <xdr:col>15</xdr:col>
      <xdr:colOff>582083</xdr:colOff>
      <xdr:row>1090</xdr:row>
      <xdr:rowOff>137583</xdr:rowOff>
    </xdr:to>
    <xdr:cxnSp macro="">
      <xdr:nvCxnSpPr>
        <xdr:cNvPr id="1757" name="Straight Arrow Connector 1756">
          <a:extLst>
            <a:ext uri="{FF2B5EF4-FFF2-40B4-BE49-F238E27FC236}">
              <a16:creationId xmlns:a16="http://schemas.microsoft.com/office/drawing/2014/main" id="{00000000-0008-0000-1200-0000DD060000}"/>
            </a:ext>
          </a:extLst>
        </xdr:cNvPr>
        <xdr:cNvCxnSpPr/>
      </xdr:nvCxnSpPr>
      <xdr:spPr>
        <a:xfrm>
          <a:off x="10593916" y="122586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1097</xdr:row>
      <xdr:rowOff>52916</xdr:rowOff>
    </xdr:from>
    <xdr:to>
      <xdr:col>16</xdr:col>
      <xdr:colOff>0</xdr:colOff>
      <xdr:row>1099</xdr:row>
      <xdr:rowOff>0</xdr:rowOff>
    </xdr:to>
    <xdr:cxnSp macro="">
      <xdr:nvCxnSpPr>
        <xdr:cNvPr id="1758" name="Straight Arrow Connector 1757">
          <a:extLst>
            <a:ext uri="{FF2B5EF4-FFF2-40B4-BE49-F238E27FC236}">
              <a16:creationId xmlns:a16="http://schemas.microsoft.com/office/drawing/2014/main" id="{00000000-0008-0000-1200-0000DE060000}"/>
            </a:ext>
          </a:extLst>
        </xdr:cNvPr>
        <xdr:cNvCxnSpPr/>
      </xdr:nvCxnSpPr>
      <xdr:spPr>
        <a:xfrm flipV="1">
          <a:off x="10541000" y="124258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21167</xdr:rowOff>
    </xdr:from>
    <xdr:to>
      <xdr:col>15</xdr:col>
      <xdr:colOff>592666</xdr:colOff>
      <xdr:row>1100</xdr:row>
      <xdr:rowOff>84667</xdr:rowOff>
    </xdr:to>
    <xdr:cxnSp macro="">
      <xdr:nvCxnSpPr>
        <xdr:cNvPr id="1759" name="Straight Arrow Connector 1758">
          <a:extLst>
            <a:ext uri="{FF2B5EF4-FFF2-40B4-BE49-F238E27FC236}">
              <a16:creationId xmlns:a16="http://schemas.microsoft.com/office/drawing/2014/main" id="{00000000-0008-0000-1200-0000DF060000}"/>
            </a:ext>
          </a:extLst>
        </xdr:cNvPr>
        <xdr:cNvCxnSpPr/>
      </xdr:nvCxnSpPr>
      <xdr:spPr>
        <a:xfrm>
          <a:off x="10530417" y="124608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0</xdr:rowOff>
    </xdr:from>
    <xdr:to>
      <xdr:col>16</xdr:col>
      <xdr:colOff>0</xdr:colOff>
      <xdr:row>1103</xdr:row>
      <xdr:rowOff>42334</xdr:rowOff>
    </xdr:to>
    <xdr:cxnSp macro="">
      <xdr:nvCxnSpPr>
        <xdr:cNvPr id="1760" name="Straight Arrow Connector 1759">
          <a:extLst>
            <a:ext uri="{FF2B5EF4-FFF2-40B4-BE49-F238E27FC236}">
              <a16:creationId xmlns:a16="http://schemas.microsoft.com/office/drawing/2014/main" id="{00000000-0008-0000-1200-0000E0060000}"/>
            </a:ext>
          </a:extLst>
        </xdr:cNvPr>
        <xdr:cNvCxnSpPr/>
      </xdr:nvCxnSpPr>
      <xdr:spPr>
        <a:xfrm>
          <a:off x="10530417" y="124587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1110</xdr:row>
      <xdr:rowOff>0</xdr:rowOff>
    </xdr:from>
    <xdr:to>
      <xdr:col>15</xdr:col>
      <xdr:colOff>603250</xdr:colOff>
      <xdr:row>1112</xdr:row>
      <xdr:rowOff>1</xdr:rowOff>
    </xdr:to>
    <xdr:cxnSp macro="">
      <xdr:nvCxnSpPr>
        <xdr:cNvPr id="1761" name="Straight Arrow Connector 1760">
          <a:extLst>
            <a:ext uri="{FF2B5EF4-FFF2-40B4-BE49-F238E27FC236}">
              <a16:creationId xmlns:a16="http://schemas.microsoft.com/office/drawing/2014/main" id="{00000000-0008-0000-1200-0000E1060000}"/>
            </a:ext>
          </a:extLst>
        </xdr:cNvPr>
        <xdr:cNvCxnSpPr/>
      </xdr:nvCxnSpPr>
      <xdr:spPr>
        <a:xfrm flipV="1">
          <a:off x="10530417" y="126873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1112</xdr:row>
      <xdr:rowOff>10584</xdr:rowOff>
    </xdr:from>
    <xdr:to>
      <xdr:col>15</xdr:col>
      <xdr:colOff>592666</xdr:colOff>
      <xdr:row>1113</xdr:row>
      <xdr:rowOff>95250</xdr:rowOff>
    </xdr:to>
    <xdr:cxnSp macro="">
      <xdr:nvCxnSpPr>
        <xdr:cNvPr id="1762" name="Straight Arrow Connector 1761">
          <a:extLst>
            <a:ext uri="{FF2B5EF4-FFF2-40B4-BE49-F238E27FC236}">
              <a16:creationId xmlns:a16="http://schemas.microsoft.com/office/drawing/2014/main" id="{00000000-0008-0000-1200-0000E2060000}"/>
            </a:ext>
          </a:extLst>
        </xdr:cNvPr>
        <xdr:cNvCxnSpPr/>
      </xdr:nvCxnSpPr>
      <xdr:spPr>
        <a:xfrm>
          <a:off x="10572750" y="127264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1112</xdr:row>
      <xdr:rowOff>10584</xdr:rowOff>
    </xdr:from>
    <xdr:to>
      <xdr:col>15</xdr:col>
      <xdr:colOff>560916</xdr:colOff>
      <xdr:row>1116</xdr:row>
      <xdr:rowOff>52917</xdr:rowOff>
    </xdr:to>
    <xdr:cxnSp macro="">
      <xdr:nvCxnSpPr>
        <xdr:cNvPr id="1763" name="Straight Arrow Connector 1762">
          <a:extLst>
            <a:ext uri="{FF2B5EF4-FFF2-40B4-BE49-F238E27FC236}">
              <a16:creationId xmlns:a16="http://schemas.microsoft.com/office/drawing/2014/main" id="{00000000-0008-0000-1200-0000E3060000}"/>
            </a:ext>
          </a:extLst>
        </xdr:cNvPr>
        <xdr:cNvCxnSpPr/>
      </xdr:nvCxnSpPr>
      <xdr:spPr>
        <a:xfrm>
          <a:off x="10551583" y="127264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1764" name="Straight Arrow Connector 1763">
          <a:extLst>
            <a:ext uri="{FF2B5EF4-FFF2-40B4-BE49-F238E27FC236}">
              <a16:creationId xmlns:a16="http://schemas.microsoft.com/office/drawing/2014/main" id="{00000000-0008-0000-1200-0000E4060000}"/>
            </a:ext>
          </a:extLst>
        </xdr:cNvPr>
        <xdr:cNvCxnSpPr/>
      </xdr:nvCxnSpPr>
      <xdr:spPr>
        <a:xfrm>
          <a:off x="10583333" y="127285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1126</xdr:row>
      <xdr:rowOff>0</xdr:rowOff>
    </xdr:from>
    <xdr:to>
      <xdr:col>16</xdr:col>
      <xdr:colOff>0</xdr:colOff>
      <xdr:row>1126</xdr:row>
      <xdr:rowOff>42334</xdr:rowOff>
    </xdr:to>
    <xdr:cxnSp macro="">
      <xdr:nvCxnSpPr>
        <xdr:cNvPr id="1765" name="Straight Arrow Connector 1764">
          <a:extLst>
            <a:ext uri="{FF2B5EF4-FFF2-40B4-BE49-F238E27FC236}">
              <a16:creationId xmlns:a16="http://schemas.microsoft.com/office/drawing/2014/main" id="{00000000-0008-0000-1200-0000E5060000}"/>
            </a:ext>
          </a:extLst>
        </xdr:cNvPr>
        <xdr:cNvCxnSpPr/>
      </xdr:nvCxnSpPr>
      <xdr:spPr>
        <a:xfrm>
          <a:off x="10562166" y="129921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1126</xdr:row>
      <xdr:rowOff>21166</xdr:rowOff>
    </xdr:from>
    <xdr:to>
      <xdr:col>15</xdr:col>
      <xdr:colOff>560916</xdr:colOff>
      <xdr:row>1129</xdr:row>
      <xdr:rowOff>84667</xdr:rowOff>
    </xdr:to>
    <xdr:cxnSp macro="">
      <xdr:nvCxnSpPr>
        <xdr:cNvPr id="1766" name="Straight Arrow Connector 1765">
          <a:extLst>
            <a:ext uri="{FF2B5EF4-FFF2-40B4-BE49-F238E27FC236}">
              <a16:creationId xmlns:a16="http://schemas.microsoft.com/office/drawing/2014/main" id="{00000000-0008-0000-1200-0000E6060000}"/>
            </a:ext>
          </a:extLst>
        </xdr:cNvPr>
        <xdr:cNvCxnSpPr/>
      </xdr:nvCxnSpPr>
      <xdr:spPr>
        <a:xfrm>
          <a:off x="10615083" y="129942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1126</xdr:row>
      <xdr:rowOff>52916</xdr:rowOff>
    </xdr:from>
    <xdr:to>
      <xdr:col>15</xdr:col>
      <xdr:colOff>592666</xdr:colOff>
      <xdr:row>1132</xdr:row>
      <xdr:rowOff>63501</xdr:rowOff>
    </xdr:to>
    <xdr:cxnSp macro="">
      <xdr:nvCxnSpPr>
        <xdr:cNvPr id="1767" name="Straight Arrow Connector 1766">
          <a:extLst>
            <a:ext uri="{FF2B5EF4-FFF2-40B4-BE49-F238E27FC236}">
              <a16:creationId xmlns:a16="http://schemas.microsoft.com/office/drawing/2014/main" id="{00000000-0008-0000-1200-0000E7060000}"/>
            </a:ext>
          </a:extLst>
        </xdr:cNvPr>
        <xdr:cNvCxnSpPr/>
      </xdr:nvCxnSpPr>
      <xdr:spPr>
        <a:xfrm>
          <a:off x="10572750" y="129973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1123</xdr:row>
      <xdr:rowOff>52917</xdr:rowOff>
    </xdr:from>
    <xdr:to>
      <xdr:col>15</xdr:col>
      <xdr:colOff>603250</xdr:colOff>
      <xdr:row>1125</xdr:row>
      <xdr:rowOff>148167</xdr:rowOff>
    </xdr:to>
    <xdr:cxnSp macro="">
      <xdr:nvCxnSpPr>
        <xdr:cNvPr id="1768" name="Straight Arrow Connector 1767">
          <a:extLst>
            <a:ext uri="{FF2B5EF4-FFF2-40B4-BE49-F238E27FC236}">
              <a16:creationId xmlns:a16="http://schemas.microsoft.com/office/drawing/2014/main" id="{00000000-0008-0000-1200-0000E8060000}"/>
            </a:ext>
          </a:extLst>
        </xdr:cNvPr>
        <xdr:cNvCxnSpPr/>
      </xdr:nvCxnSpPr>
      <xdr:spPr>
        <a:xfrm flipV="1">
          <a:off x="10583333" y="129402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1034</xdr:row>
      <xdr:rowOff>127000</xdr:rowOff>
    </xdr:from>
    <xdr:to>
      <xdr:col>8</xdr:col>
      <xdr:colOff>63500</xdr:colOff>
      <xdr:row>1053</xdr:row>
      <xdr:rowOff>0</xdr:rowOff>
    </xdr:to>
    <xdr:cxnSp macro="">
      <xdr:nvCxnSpPr>
        <xdr:cNvPr id="1769" name="Straight Arrow Connector 1768">
          <a:extLst>
            <a:ext uri="{FF2B5EF4-FFF2-40B4-BE49-F238E27FC236}">
              <a16:creationId xmlns:a16="http://schemas.microsoft.com/office/drawing/2014/main" id="{00000000-0008-0000-1200-0000E9060000}"/>
            </a:ext>
          </a:extLst>
        </xdr:cNvPr>
        <xdr:cNvCxnSpPr/>
      </xdr:nvCxnSpPr>
      <xdr:spPr>
        <a:xfrm flipV="1">
          <a:off x="5207000" y="1121410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1171</xdr:row>
      <xdr:rowOff>1</xdr:rowOff>
    </xdr:from>
    <xdr:to>
      <xdr:col>6</xdr:col>
      <xdr:colOff>0</xdr:colOff>
      <xdr:row>1205</xdr:row>
      <xdr:rowOff>116417</xdr:rowOff>
    </xdr:to>
    <xdr:cxnSp macro="">
      <xdr:nvCxnSpPr>
        <xdr:cNvPr id="1770" name="Straight Arrow Connector 1769">
          <a:extLst>
            <a:ext uri="{FF2B5EF4-FFF2-40B4-BE49-F238E27FC236}">
              <a16:creationId xmlns:a16="http://schemas.microsoft.com/office/drawing/2014/main" id="{00000000-0008-0000-1200-0000EA060000}"/>
            </a:ext>
          </a:extLst>
        </xdr:cNvPr>
        <xdr:cNvCxnSpPr/>
      </xdr:nvCxnSpPr>
      <xdr:spPr>
        <a:xfrm flipV="1">
          <a:off x="3714750" y="1386840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1208</xdr:row>
      <xdr:rowOff>169334</xdr:rowOff>
    </xdr:from>
    <xdr:to>
      <xdr:col>5</xdr:col>
      <xdr:colOff>571500</xdr:colOff>
      <xdr:row>1277</xdr:row>
      <xdr:rowOff>0</xdr:rowOff>
    </xdr:to>
    <xdr:cxnSp macro="">
      <xdr:nvCxnSpPr>
        <xdr:cNvPr id="1771" name="Straight Arrow Connector 1770">
          <a:extLst>
            <a:ext uri="{FF2B5EF4-FFF2-40B4-BE49-F238E27FC236}">
              <a16:creationId xmlns:a16="http://schemas.microsoft.com/office/drawing/2014/main" id="{00000000-0008-0000-1200-0000EB060000}"/>
            </a:ext>
          </a:extLst>
        </xdr:cNvPr>
        <xdr:cNvCxnSpPr/>
      </xdr:nvCxnSpPr>
      <xdr:spPr>
        <a:xfrm>
          <a:off x="3799417" y="145901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1146</xdr:row>
      <xdr:rowOff>148167</xdr:rowOff>
    </xdr:from>
    <xdr:to>
      <xdr:col>7</xdr:col>
      <xdr:colOff>603250</xdr:colOff>
      <xdr:row>1168</xdr:row>
      <xdr:rowOff>31750</xdr:rowOff>
    </xdr:to>
    <xdr:cxnSp macro="">
      <xdr:nvCxnSpPr>
        <xdr:cNvPr id="1772" name="Straight Arrow Connector 1771">
          <a:extLst>
            <a:ext uri="{FF2B5EF4-FFF2-40B4-BE49-F238E27FC236}">
              <a16:creationId xmlns:a16="http://schemas.microsoft.com/office/drawing/2014/main" id="{00000000-0008-0000-1200-0000EC060000}"/>
            </a:ext>
          </a:extLst>
        </xdr:cNvPr>
        <xdr:cNvCxnSpPr/>
      </xdr:nvCxnSpPr>
      <xdr:spPr>
        <a:xfrm flipV="1">
          <a:off x="5175250" y="133879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1171</xdr:row>
      <xdr:rowOff>10584</xdr:rowOff>
    </xdr:from>
    <xdr:to>
      <xdr:col>8</xdr:col>
      <xdr:colOff>21167</xdr:colOff>
      <xdr:row>1199</xdr:row>
      <xdr:rowOff>148166</xdr:rowOff>
    </xdr:to>
    <xdr:cxnSp macro="">
      <xdr:nvCxnSpPr>
        <xdr:cNvPr id="1773" name="Straight Arrow Connector 1772">
          <a:extLst>
            <a:ext uri="{FF2B5EF4-FFF2-40B4-BE49-F238E27FC236}">
              <a16:creationId xmlns:a16="http://schemas.microsoft.com/office/drawing/2014/main" id="{00000000-0008-0000-1200-0000ED060000}"/>
            </a:ext>
          </a:extLst>
        </xdr:cNvPr>
        <xdr:cNvCxnSpPr/>
      </xdr:nvCxnSpPr>
      <xdr:spPr>
        <a:xfrm>
          <a:off x="5175250" y="1386945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1138</xdr:row>
      <xdr:rowOff>137583</xdr:rowOff>
    </xdr:from>
    <xdr:to>
      <xdr:col>9</xdr:col>
      <xdr:colOff>603250</xdr:colOff>
      <xdr:row>1144</xdr:row>
      <xdr:rowOff>21166</xdr:rowOff>
    </xdr:to>
    <xdr:cxnSp macro="">
      <xdr:nvCxnSpPr>
        <xdr:cNvPr id="1774" name="Straight Arrow Connector 1773">
          <a:extLst>
            <a:ext uri="{FF2B5EF4-FFF2-40B4-BE49-F238E27FC236}">
              <a16:creationId xmlns:a16="http://schemas.microsoft.com/office/drawing/2014/main" id="{00000000-0008-0000-1200-0000EE060000}"/>
            </a:ext>
          </a:extLst>
        </xdr:cNvPr>
        <xdr:cNvCxnSpPr/>
      </xdr:nvCxnSpPr>
      <xdr:spPr>
        <a:xfrm flipV="1">
          <a:off x="6381750" y="132344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1147</xdr:row>
      <xdr:rowOff>0</xdr:rowOff>
    </xdr:from>
    <xdr:to>
      <xdr:col>9</xdr:col>
      <xdr:colOff>582083</xdr:colOff>
      <xdr:row>1155</xdr:row>
      <xdr:rowOff>10583</xdr:rowOff>
    </xdr:to>
    <xdr:cxnSp macro="">
      <xdr:nvCxnSpPr>
        <xdr:cNvPr id="1775" name="Straight Arrow Connector 1774">
          <a:extLst>
            <a:ext uri="{FF2B5EF4-FFF2-40B4-BE49-F238E27FC236}">
              <a16:creationId xmlns:a16="http://schemas.microsoft.com/office/drawing/2014/main" id="{00000000-0008-0000-1200-0000EF060000}"/>
            </a:ext>
          </a:extLst>
        </xdr:cNvPr>
        <xdr:cNvCxnSpPr/>
      </xdr:nvCxnSpPr>
      <xdr:spPr>
        <a:xfrm>
          <a:off x="6413500" y="133921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1152</xdr:row>
      <xdr:rowOff>169333</xdr:rowOff>
    </xdr:from>
    <xdr:to>
      <xdr:col>11</xdr:col>
      <xdr:colOff>603250</xdr:colOff>
      <xdr:row>1155</xdr:row>
      <xdr:rowOff>21167</xdr:rowOff>
    </xdr:to>
    <xdr:cxnSp macro="">
      <xdr:nvCxnSpPr>
        <xdr:cNvPr id="1776" name="Straight Arrow Connector 1775">
          <a:extLst>
            <a:ext uri="{FF2B5EF4-FFF2-40B4-BE49-F238E27FC236}">
              <a16:creationId xmlns:a16="http://schemas.microsoft.com/office/drawing/2014/main" id="{00000000-0008-0000-1200-0000F0060000}"/>
            </a:ext>
          </a:extLst>
        </xdr:cNvPr>
        <xdr:cNvCxnSpPr/>
      </xdr:nvCxnSpPr>
      <xdr:spPr>
        <a:xfrm flipV="1">
          <a:off x="7609417" y="135043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1158</xdr:row>
      <xdr:rowOff>42333</xdr:rowOff>
    </xdr:from>
    <xdr:to>
      <xdr:col>11</xdr:col>
      <xdr:colOff>603250</xdr:colOff>
      <xdr:row>1170</xdr:row>
      <xdr:rowOff>10583</xdr:rowOff>
    </xdr:to>
    <xdr:cxnSp macro="">
      <xdr:nvCxnSpPr>
        <xdr:cNvPr id="1777" name="Straight Arrow Connector 1776">
          <a:extLst>
            <a:ext uri="{FF2B5EF4-FFF2-40B4-BE49-F238E27FC236}">
              <a16:creationId xmlns:a16="http://schemas.microsoft.com/office/drawing/2014/main" id="{00000000-0008-0000-1200-0000F1060000}"/>
            </a:ext>
          </a:extLst>
        </xdr:cNvPr>
        <xdr:cNvCxnSpPr/>
      </xdr:nvCxnSpPr>
      <xdr:spPr>
        <a:xfrm>
          <a:off x="7598834" y="136059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1148</xdr:row>
      <xdr:rowOff>21167</xdr:rowOff>
    </xdr:from>
    <xdr:to>
      <xdr:col>13</xdr:col>
      <xdr:colOff>592667</xdr:colOff>
      <xdr:row>1150</xdr:row>
      <xdr:rowOff>0</xdr:rowOff>
    </xdr:to>
    <xdr:cxnSp macro="">
      <xdr:nvCxnSpPr>
        <xdr:cNvPr id="1778" name="Straight Arrow Connector 1777">
          <a:extLst>
            <a:ext uri="{FF2B5EF4-FFF2-40B4-BE49-F238E27FC236}">
              <a16:creationId xmlns:a16="http://schemas.microsoft.com/office/drawing/2014/main" id="{00000000-0008-0000-1200-0000F2060000}"/>
            </a:ext>
          </a:extLst>
        </xdr:cNvPr>
        <xdr:cNvCxnSpPr/>
      </xdr:nvCxnSpPr>
      <xdr:spPr>
        <a:xfrm flipV="1">
          <a:off x="8794750" y="134133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1153</xdr:row>
      <xdr:rowOff>21166</xdr:rowOff>
    </xdr:from>
    <xdr:to>
      <xdr:col>13</xdr:col>
      <xdr:colOff>592667</xdr:colOff>
      <xdr:row>1154</xdr:row>
      <xdr:rowOff>169334</xdr:rowOff>
    </xdr:to>
    <xdr:cxnSp macro="">
      <xdr:nvCxnSpPr>
        <xdr:cNvPr id="1779" name="Straight Arrow Connector 1778">
          <a:extLst>
            <a:ext uri="{FF2B5EF4-FFF2-40B4-BE49-F238E27FC236}">
              <a16:creationId xmlns:a16="http://schemas.microsoft.com/office/drawing/2014/main" id="{00000000-0008-0000-1200-0000F3060000}"/>
            </a:ext>
          </a:extLst>
        </xdr:cNvPr>
        <xdr:cNvCxnSpPr/>
      </xdr:nvCxnSpPr>
      <xdr:spPr>
        <a:xfrm>
          <a:off x="8784166" y="135085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1168</xdr:row>
      <xdr:rowOff>21167</xdr:rowOff>
    </xdr:from>
    <xdr:to>
      <xdr:col>13</xdr:col>
      <xdr:colOff>592667</xdr:colOff>
      <xdr:row>1170</xdr:row>
      <xdr:rowOff>63500</xdr:rowOff>
    </xdr:to>
    <xdr:cxnSp macro="">
      <xdr:nvCxnSpPr>
        <xdr:cNvPr id="1780" name="Straight Arrow Connector 1779">
          <a:extLst>
            <a:ext uri="{FF2B5EF4-FFF2-40B4-BE49-F238E27FC236}">
              <a16:creationId xmlns:a16="http://schemas.microsoft.com/office/drawing/2014/main" id="{00000000-0008-0000-1200-0000F4060000}"/>
            </a:ext>
          </a:extLst>
        </xdr:cNvPr>
        <xdr:cNvCxnSpPr/>
      </xdr:nvCxnSpPr>
      <xdr:spPr>
        <a:xfrm flipV="1">
          <a:off x="8794750" y="138133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1173</xdr:row>
      <xdr:rowOff>0</xdr:rowOff>
    </xdr:from>
    <xdr:to>
      <xdr:col>14</xdr:col>
      <xdr:colOff>10584</xdr:colOff>
      <xdr:row>1181</xdr:row>
      <xdr:rowOff>148167</xdr:rowOff>
    </xdr:to>
    <xdr:cxnSp macro="">
      <xdr:nvCxnSpPr>
        <xdr:cNvPr id="1781" name="Straight Arrow Connector 1780">
          <a:extLst>
            <a:ext uri="{FF2B5EF4-FFF2-40B4-BE49-F238E27FC236}">
              <a16:creationId xmlns:a16="http://schemas.microsoft.com/office/drawing/2014/main" id="{00000000-0008-0000-1200-0000F5060000}"/>
            </a:ext>
          </a:extLst>
        </xdr:cNvPr>
        <xdr:cNvCxnSpPr/>
      </xdr:nvCxnSpPr>
      <xdr:spPr>
        <a:xfrm>
          <a:off x="8805333" y="139065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1140</xdr:row>
      <xdr:rowOff>0</xdr:rowOff>
    </xdr:from>
    <xdr:to>
      <xdr:col>15</xdr:col>
      <xdr:colOff>603250</xdr:colOff>
      <xdr:row>1145</xdr:row>
      <xdr:rowOff>31750</xdr:rowOff>
    </xdr:to>
    <xdr:cxnSp macro="">
      <xdr:nvCxnSpPr>
        <xdr:cNvPr id="1782" name="Straight Arrow Connector 1781">
          <a:extLst>
            <a:ext uri="{FF2B5EF4-FFF2-40B4-BE49-F238E27FC236}">
              <a16:creationId xmlns:a16="http://schemas.microsoft.com/office/drawing/2014/main" id="{00000000-0008-0000-1200-0000F6060000}"/>
            </a:ext>
          </a:extLst>
        </xdr:cNvPr>
        <xdr:cNvCxnSpPr/>
      </xdr:nvCxnSpPr>
      <xdr:spPr>
        <a:xfrm flipV="1">
          <a:off x="10541000" y="132588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1143</xdr:row>
      <xdr:rowOff>52917</xdr:rowOff>
    </xdr:from>
    <xdr:to>
      <xdr:col>15</xdr:col>
      <xdr:colOff>603250</xdr:colOff>
      <xdr:row>1145</xdr:row>
      <xdr:rowOff>95250</xdr:rowOff>
    </xdr:to>
    <xdr:cxnSp macro="">
      <xdr:nvCxnSpPr>
        <xdr:cNvPr id="1783" name="Straight Arrow Connector 1782">
          <a:extLst>
            <a:ext uri="{FF2B5EF4-FFF2-40B4-BE49-F238E27FC236}">
              <a16:creationId xmlns:a16="http://schemas.microsoft.com/office/drawing/2014/main" id="{00000000-0008-0000-1200-0000F7060000}"/>
            </a:ext>
          </a:extLst>
        </xdr:cNvPr>
        <xdr:cNvCxnSpPr/>
      </xdr:nvCxnSpPr>
      <xdr:spPr>
        <a:xfrm flipV="1">
          <a:off x="10583333" y="133212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1145</xdr:row>
      <xdr:rowOff>158750</xdr:rowOff>
    </xdr:from>
    <xdr:to>
      <xdr:col>15</xdr:col>
      <xdr:colOff>582083</xdr:colOff>
      <xdr:row>1146</xdr:row>
      <xdr:rowOff>137583</xdr:rowOff>
    </xdr:to>
    <xdr:cxnSp macro="">
      <xdr:nvCxnSpPr>
        <xdr:cNvPr id="1784" name="Straight Arrow Connector 1783">
          <a:extLst>
            <a:ext uri="{FF2B5EF4-FFF2-40B4-BE49-F238E27FC236}">
              <a16:creationId xmlns:a16="http://schemas.microsoft.com/office/drawing/2014/main" id="{00000000-0008-0000-1200-0000F8060000}"/>
            </a:ext>
          </a:extLst>
        </xdr:cNvPr>
        <xdr:cNvCxnSpPr/>
      </xdr:nvCxnSpPr>
      <xdr:spPr>
        <a:xfrm>
          <a:off x="10604500" y="133699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1145</xdr:row>
      <xdr:rowOff>105834</xdr:rowOff>
    </xdr:from>
    <xdr:to>
      <xdr:col>16</xdr:col>
      <xdr:colOff>0</xdr:colOff>
      <xdr:row>1149</xdr:row>
      <xdr:rowOff>84667</xdr:rowOff>
    </xdr:to>
    <xdr:cxnSp macro="">
      <xdr:nvCxnSpPr>
        <xdr:cNvPr id="1785" name="Straight Arrow Connector 1784">
          <a:extLst>
            <a:ext uri="{FF2B5EF4-FFF2-40B4-BE49-F238E27FC236}">
              <a16:creationId xmlns:a16="http://schemas.microsoft.com/office/drawing/2014/main" id="{00000000-0008-0000-1200-0000F9060000}"/>
            </a:ext>
          </a:extLst>
        </xdr:cNvPr>
        <xdr:cNvCxnSpPr/>
      </xdr:nvCxnSpPr>
      <xdr:spPr>
        <a:xfrm>
          <a:off x="10519834" y="133646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1153</xdr:row>
      <xdr:rowOff>52916</xdr:rowOff>
    </xdr:from>
    <xdr:to>
      <xdr:col>16</xdr:col>
      <xdr:colOff>0</xdr:colOff>
      <xdr:row>1155</xdr:row>
      <xdr:rowOff>0</xdr:rowOff>
    </xdr:to>
    <xdr:cxnSp macro="">
      <xdr:nvCxnSpPr>
        <xdr:cNvPr id="1786" name="Straight Arrow Connector 1785">
          <a:extLst>
            <a:ext uri="{FF2B5EF4-FFF2-40B4-BE49-F238E27FC236}">
              <a16:creationId xmlns:a16="http://schemas.microsoft.com/office/drawing/2014/main" id="{00000000-0008-0000-1200-0000FA060000}"/>
            </a:ext>
          </a:extLst>
        </xdr:cNvPr>
        <xdr:cNvCxnSpPr/>
      </xdr:nvCxnSpPr>
      <xdr:spPr>
        <a:xfrm flipV="1">
          <a:off x="10541000" y="135117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1155</xdr:row>
      <xdr:rowOff>21167</xdr:rowOff>
    </xdr:from>
    <xdr:to>
      <xdr:col>15</xdr:col>
      <xdr:colOff>582083</xdr:colOff>
      <xdr:row>1156</xdr:row>
      <xdr:rowOff>42333</xdr:rowOff>
    </xdr:to>
    <xdr:cxnSp macro="">
      <xdr:nvCxnSpPr>
        <xdr:cNvPr id="1787" name="Straight Arrow Connector 1786">
          <a:extLst>
            <a:ext uri="{FF2B5EF4-FFF2-40B4-BE49-F238E27FC236}">
              <a16:creationId xmlns:a16="http://schemas.microsoft.com/office/drawing/2014/main" id="{00000000-0008-0000-1200-0000FB060000}"/>
            </a:ext>
          </a:extLst>
        </xdr:cNvPr>
        <xdr:cNvCxnSpPr/>
      </xdr:nvCxnSpPr>
      <xdr:spPr>
        <a:xfrm>
          <a:off x="10551583" y="135466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1155</xdr:row>
      <xdr:rowOff>21167</xdr:rowOff>
    </xdr:from>
    <xdr:to>
      <xdr:col>16</xdr:col>
      <xdr:colOff>42333</xdr:colOff>
      <xdr:row>1160</xdr:row>
      <xdr:rowOff>21168</xdr:rowOff>
    </xdr:to>
    <xdr:cxnSp macro="">
      <xdr:nvCxnSpPr>
        <xdr:cNvPr id="1788" name="Straight Arrow Connector 1787">
          <a:extLst>
            <a:ext uri="{FF2B5EF4-FFF2-40B4-BE49-F238E27FC236}">
              <a16:creationId xmlns:a16="http://schemas.microsoft.com/office/drawing/2014/main" id="{00000000-0008-0000-1200-0000FC060000}"/>
            </a:ext>
          </a:extLst>
        </xdr:cNvPr>
        <xdr:cNvCxnSpPr/>
      </xdr:nvCxnSpPr>
      <xdr:spPr>
        <a:xfrm>
          <a:off x="10530417" y="135466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1789" name="Straight Arrow Connector 1788">
          <a:extLst>
            <a:ext uri="{FF2B5EF4-FFF2-40B4-BE49-F238E27FC236}">
              <a16:creationId xmlns:a16="http://schemas.microsoft.com/office/drawing/2014/main" id="{00000000-0008-0000-1200-0000FD060000}"/>
            </a:ext>
          </a:extLst>
        </xdr:cNvPr>
        <xdr:cNvCxnSpPr/>
      </xdr:nvCxnSpPr>
      <xdr:spPr>
        <a:xfrm>
          <a:off x="10541000" y="135477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1192</xdr:row>
      <xdr:rowOff>42333</xdr:rowOff>
    </xdr:from>
    <xdr:to>
      <xdr:col>9</xdr:col>
      <xdr:colOff>592666</xdr:colOff>
      <xdr:row>1200</xdr:row>
      <xdr:rowOff>42333</xdr:rowOff>
    </xdr:to>
    <xdr:cxnSp macro="">
      <xdr:nvCxnSpPr>
        <xdr:cNvPr id="1790" name="Straight Arrow Connector 1789">
          <a:extLst>
            <a:ext uri="{FF2B5EF4-FFF2-40B4-BE49-F238E27FC236}">
              <a16:creationId xmlns:a16="http://schemas.microsoft.com/office/drawing/2014/main" id="{00000000-0008-0000-1200-0000FE060000}"/>
            </a:ext>
          </a:extLst>
        </xdr:cNvPr>
        <xdr:cNvCxnSpPr/>
      </xdr:nvCxnSpPr>
      <xdr:spPr>
        <a:xfrm flipV="1">
          <a:off x="6392333" y="142726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1202</xdr:row>
      <xdr:rowOff>169334</xdr:rowOff>
    </xdr:from>
    <xdr:to>
      <xdr:col>9</xdr:col>
      <xdr:colOff>603250</xdr:colOff>
      <xdr:row>1211</xdr:row>
      <xdr:rowOff>31750</xdr:rowOff>
    </xdr:to>
    <xdr:cxnSp macro="">
      <xdr:nvCxnSpPr>
        <xdr:cNvPr id="1791" name="Straight Arrow Connector 1790">
          <a:extLst>
            <a:ext uri="{FF2B5EF4-FFF2-40B4-BE49-F238E27FC236}">
              <a16:creationId xmlns:a16="http://schemas.microsoft.com/office/drawing/2014/main" id="{00000000-0008-0000-1200-0000FF060000}"/>
            </a:ext>
          </a:extLst>
        </xdr:cNvPr>
        <xdr:cNvCxnSpPr/>
      </xdr:nvCxnSpPr>
      <xdr:spPr>
        <a:xfrm>
          <a:off x="6413500" y="144758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1208</xdr:row>
      <xdr:rowOff>158750</xdr:rowOff>
    </xdr:from>
    <xdr:to>
      <xdr:col>11</xdr:col>
      <xdr:colOff>571500</xdr:colOff>
      <xdr:row>1211</xdr:row>
      <xdr:rowOff>0</xdr:rowOff>
    </xdr:to>
    <xdr:cxnSp macro="">
      <xdr:nvCxnSpPr>
        <xdr:cNvPr id="1792" name="Straight Arrow Connector 1791">
          <a:extLst>
            <a:ext uri="{FF2B5EF4-FFF2-40B4-BE49-F238E27FC236}">
              <a16:creationId xmlns:a16="http://schemas.microsoft.com/office/drawing/2014/main" id="{00000000-0008-0000-1200-000000070000}"/>
            </a:ext>
          </a:extLst>
        </xdr:cNvPr>
        <xdr:cNvCxnSpPr/>
      </xdr:nvCxnSpPr>
      <xdr:spPr>
        <a:xfrm flipV="1">
          <a:off x="7556500" y="145891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1166</xdr:row>
      <xdr:rowOff>0</xdr:rowOff>
    </xdr:from>
    <xdr:to>
      <xdr:col>15</xdr:col>
      <xdr:colOff>603250</xdr:colOff>
      <xdr:row>1168</xdr:row>
      <xdr:rowOff>1</xdr:rowOff>
    </xdr:to>
    <xdr:cxnSp macro="">
      <xdr:nvCxnSpPr>
        <xdr:cNvPr id="1793" name="Straight Arrow Connector 1792">
          <a:extLst>
            <a:ext uri="{FF2B5EF4-FFF2-40B4-BE49-F238E27FC236}">
              <a16:creationId xmlns:a16="http://schemas.microsoft.com/office/drawing/2014/main" id="{00000000-0008-0000-1200-000001070000}"/>
            </a:ext>
          </a:extLst>
        </xdr:cNvPr>
        <xdr:cNvCxnSpPr/>
      </xdr:nvCxnSpPr>
      <xdr:spPr>
        <a:xfrm flipV="1">
          <a:off x="10530417" y="137731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1168</xdr:row>
      <xdr:rowOff>10584</xdr:rowOff>
    </xdr:from>
    <xdr:to>
      <xdr:col>15</xdr:col>
      <xdr:colOff>592666</xdr:colOff>
      <xdr:row>1169</xdr:row>
      <xdr:rowOff>95250</xdr:rowOff>
    </xdr:to>
    <xdr:cxnSp macro="">
      <xdr:nvCxnSpPr>
        <xdr:cNvPr id="1794" name="Straight Arrow Connector 1793">
          <a:extLst>
            <a:ext uri="{FF2B5EF4-FFF2-40B4-BE49-F238E27FC236}">
              <a16:creationId xmlns:a16="http://schemas.microsoft.com/office/drawing/2014/main" id="{00000000-0008-0000-1200-000002070000}"/>
            </a:ext>
          </a:extLst>
        </xdr:cNvPr>
        <xdr:cNvCxnSpPr/>
      </xdr:nvCxnSpPr>
      <xdr:spPr>
        <a:xfrm>
          <a:off x="10572750" y="138123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1168</xdr:row>
      <xdr:rowOff>10584</xdr:rowOff>
    </xdr:from>
    <xdr:to>
      <xdr:col>15</xdr:col>
      <xdr:colOff>560916</xdr:colOff>
      <xdr:row>1172</xdr:row>
      <xdr:rowOff>52917</xdr:rowOff>
    </xdr:to>
    <xdr:cxnSp macro="">
      <xdr:nvCxnSpPr>
        <xdr:cNvPr id="1795" name="Straight Arrow Connector 1794">
          <a:extLst>
            <a:ext uri="{FF2B5EF4-FFF2-40B4-BE49-F238E27FC236}">
              <a16:creationId xmlns:a16="http://schemas.microsoft.com/office/drawing/2014/main" id="{00000000-0008-0000-1200-000003070000}"/>
            </a:ext>
          </a:extLst>
        </xdr:cNvPr>
        <xdr:cNvCxnSpPr/>
      </xdr:nvCxnSpPr>
      <xdr:spPr>
        <a:xfrm>
          <a:off x="10551583" y="138123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1796" name="Straight Arrow Connector 1795">
          <a:extLst>
            <a:ext uri="{FF2B5EF4-FFF2-40B4-BE49-F238E27FC236}">
              <a16:creationId xmlns:a16="http://schemas.microsoft.com/office/drawing/2014/main" id="{00000000-0008-0000-1200-000004070000}"/>
            </a:ext>
          </a:extLst>
        </xdr:cNvPr>
        <xdr:cNvCxnSpPr/>
      </xdr:nvCxnSpPr>
      <xdr:spPr>
        <a:xfrm>
          <a:off x="10583333" y="138144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1182</xdr:row>
      <xdr:rowOff>0</xdr:rowOff>
    </xdr:from>
    <xdr:to>
      <xdr:col>16</xdr:col>
      <xdr:colOff>0</xdr:colOff>
      <xdr:row>1182</xdr:row>
      <xdr:rowOff>42334</xdr:rowOff>
    </xdr:to>
    <xdr:cxnSp macro="">
      <xdr:nvCxnSpPr>
        <xdr:cNvPr id="1797" name="Straight Arrow Connector 1796">
          <a:extLst>
            <a:ext uri="{FF2B5EF4-FFF2-40B4-BE49-F238E27FC236}">
              <a16:creationId xmlns:a16="http://schemas.microsoft.com/office/drawing/2014/main" id="{00000000-0008-0000-1200-000005070000}"/>
            </a:ext>
          </a:extLst>
        </xdr:cNvPr>
        <xdr:cNvCxnSpPr/>
      </xdr:nvCxnSpPr>
      <xdr:spPr>
        <a:xfrm>
          <a:off x="10562166" y="140779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1182</xdr:row>
      <xdr:rowOff>21166</xdr:rowOff>
    </xdr:from>
    <xdr:to>
      <xdr:col>15</xdr:col>
      <xdr:colOff>560916</xdr:colOff>
      <xdr:row>1185</xdr:row>
      <xdr:rowOff>84667</xdr:rowOff>
    </xdr:to>
    <xdr:cxnSp macro="">
      <xdr:nvCxnSpPr>
        <xdr:cNvPr id="1798" name="Straight Arrow Connector 1797">
          <a:extLst>
            <a:ext uri="{FF2B5EF4-FFF2-40B4-BE49-F238E27FC236}">
              <a16:creationId xmlns:a16="http://schemas.microsoft.com/office/drawing/2014/main" id="{00000000-0008-0000-1200-000006070000}"/>
            </a:ext>
          </a:extLst>
        </xdr:cNvPr>
        <xdr:cNvCxnSpPr/>
      </xdr:nvCxnSpPr>
      <xdr:spPr>
        <a:xfrm>
          <a:off x="10615083" y="140800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1182</xdr:row>
      <xdr:rowOff>52916</xdr:rowOff>
    </xdr:from>
    <xdr:to>
      <xdr:col>15</xdr:col>
      <xdr:colOff>592666</xdr:colOff>
      <xdr:row>1188</xdr:row>
      <xdr:rowOff>63501</xdr:rowOff>
    </xdr:to>
    <xdr:cxnSp macro="">
      <xdr:nvCxnSpPr>
        <xdr:cNvPr id="1799" name="Straight Arrow Connector 1798">
          <a:extLst>
            <a:ext uri="{FF2B5EF4-FFF2-40B4-BE49-F238E27FC236}">
              <a16:creationId xmlns:a16="http://schemas.microsoft.com/office/drawing/2014/main" id="{00000000-0008-0000-1200-000007070000}"/>
            </a:ext>
          </a:extLst>
        </xdr:cNvPr>
        <xdr:cNvCxnSpPr/>
      </xdr:nvCxnSpPr>
      <xdr:spPr>
        <a:xfrm>
          <a:off x="10572750" y="140832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1196</xdr:row>
      <xdr:rowOff>116416</xdr:rowOff>
    </xdr:from>
    <xdr:to>
      <xdr:col>15</xdr:col>
      <xdr:colOff>592666</xdr:colOff>
      <xdr:row>1199</xdr:row>
      <xdr:rowOff>158750</xdr:rowOff>
    </xdr:to>
    <xdr:cxnSp macro="">
      <xdr:nvCxnSpPr>
        <xdr:cNvPr id="1800" name="Straight Arrow Connector 1799">
          <a:extLst>
            <a:ext uri="{FF2B5EF4-FFF2-40B4-BE49-F238E27FC236}">
              <a16:creationId xmlns:a16="http://schemas.microsoft.com/office/drawing/2014/main" id="{00000000-0008-0000-1200-000008070000}"/>
            </a:ext>
          </a:extLst>
        </xdr:cNvPr>
        <xdr:cNvCxnSpPr/>
      </xdr:nvCxnSpPr>
      <xdr:spPr>
        <a:xfrm flipV="1">
          <a:off x="10562166" y="143562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1198</xdr:row>
      <xdr:rowOff>95250</xdr:rowOff>
    </xdr:from>
    <xdr:to>
      <xdr:col>15</xdr:col>
      <xdr:colOff>582083</xdr:colOff>
      <xdr:row>1200</xdr:row>
      <xdr:rowOff>52917</xdr:rowOff>
    </xdr:to>
    <xdr:cxnSp macro="">
      <xdr:nvCxnSpPr>
        <xdr:cNvPr id="1801" name="Straight Arrow Connector 1800">
          <a:extLst>
            <a:ext uri="{FF2B5EF4-FFF2-40B4-BE49-F238E27FC236}">
              <a16:creationId xmlns:a16="http://schemas.microsoft.com/office/drawing/2014/main" id="{00000000-0008-0000-1200-000009070000}"/>
            </a:ext>
          </a:extLst>
        </xdr:cNvPr>
        <xdr:cNvCxnSpPr/>
      </xdr:nvCxnSpPr>
      <xdr:spPr>
        <a:xfrm flipV="1">
          <a:off x="10604500" y="143922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116417</xdr:rowOff>
    </xdr:from>
    <xdr:to>
      <xdr:col>15</xdr:col>
      <xdr:colOff>592666</xdr:colOff>
      <xdr:row>1204</xdr:row>
      <xdr:rowOff>95250</xdr:rowOff>
    </xdr:to>
    <xdr:cxnSp macro="">
      <xdr:nvCxnSpPr>
        <xdr:cNvPr id="1802" name="Straight Arrow Connector 1801">
          <a:extLst>
            <a:ext uri="{FF2B5EF4-FFF2-40B4-BE49-F238E27FC236}">
              <a16:creationId xmlns:a16="http://schemas.microsoft.com/office/drawing/2014/main" id="{00000000-0008-0000-1200-00000A070000}"/>
            </a:ext>
          </a:extLst>
        </xdr:cNvPr>
        <xdr:cNvCxnSpPr/>
      </xdr:nvCxnSpPr>
      <xdr:spPr>
        <a:xfrm>
          <a:off x="10593916" y="144324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1211</xdr:row>
      <xdr:rowOff>116416</xdr:rowOff>
    </xdr:from>
    <xdr:to>
      <xdr:col>16</xdr:col>
      <xdr:colOff>0</xdr:colOff>
      <xdr:row>1218</xdr:row>
      <xdr:rowOff>74084</xdr:rowOff>
    </xdr:to>
    <xdr:cxnSp macro="">
      <xdr:nvCxnSpPr>
        <xdr:cNvPr id="1803" name="Straight Arrow Connector 1802">
          <a:extLst>
            <a:ext uri="{FF2B5EF4-FFF2-40B4-BE49-F238E27FC236}">
              <a16:creationId xmlns:a16="http://schemas.microsoft.com/office/drawing/2014/main" id="{00000000-0008-0000-1200-00000B070000}"/>
            </a:ext>
          </a:extLst>
        </xdr:cNvPr>
        <xdr:cNvCxnSpPr/>
      </xdr:nvCxnSpPr>
      <xdr:spPr>
        <a:xfrm>
          <a:off x="10572750" y="146420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1179</xdr:row>
      <xdr:rowOff>52917</xdr:rowOff>
    </xdr:from>
    <xdr:to>
      <xdr:col>15</xdr:col>
      <xdr:colOff>603250</xdr:colOff>
      <xdr:row>1181</xdr:row>
      <xdr:rowOff>148167</xdr:rowOff>
    </xdr:to>
    <xdr:cxnSp macro="">
      <xdr:nvCxnSpPr>
        <xdr:cNvPr id="1804" name="Straight Arrow Connector 1803">
          <a:extLst>
            <a:ext uri="{FF2B5EF4-FFF2-40B4-BE49-F238E27FC236}">
              <a16:creationId xmlns:a16="http://schemas.microsoft.com/office/drawing/2014/main" id="{00000000-0008-0000-1200-00000C070000}"/>
            </a:ext>
          </a:extLst>
        </xdr:cNvPr>
        <xdr:cNvCxnSpPr/>
      </xdr:nvCxnSpPr>
      <xdr:spPr>
        <a:xfrm flipV="1">
          <a:off x="10583333" y="140260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1214</xdr:row>
      <xdr:rowOff>42333</xdr:rowOff>
    </xdr:from>
    <xdr:to>
      <xdr:col>11</xdr:col>
      <xdr:colOff>603250</xdr:colOff>
      <xdr:row>1226</xdr:row>
      <xdr:rowOff>10583</xdr:rowOff>
    </xdr:to>
    <xdr:cxnSp macro="">
      <xdr:nvCxnSpPr>
        <xdr:cNvPr id="1805" name="Straight Arrow Connector 1804">
          <a:extLst>
            <a:ext uri="{FF2B5EF4-FFF2-40B4-BE49-F238E27FC236}">
              <a16:creationId xmlns:a16="http://schemas.microsoft.com/office/drawing/2014/main" id="{00000000-0008-0000-1200-00000D070000}"/>
            </a:ext>
          </a:extLst>
        </xdr:cNvPr>
        <xdr:cNvCxnSpPr/>
      </xdr:nvCxnSpPr>
      <xdr:spPr>
        <a:xfrm>
          <a:off x="7598834" y="146917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1204</xdr:row>
      <xdr:rowOff>21167</xdr:rowOff>
    </xdr:from>
    <xdr:to>
      <xdr:col>13</xdr:col>
      <xdr:colOff>592667</xdr:colOff>
      <xdr:row>1206</xdr:row>
      <xdr:rowOff>0</xdr:rowOff>
    </xdr:to>
    <xdr:cxnSp macro="">
      <xdr:nvCxnSpPr>
        <xdr:cNvPr id="1806" name="Straight Arrow Connector 1805">
          <a:extLst>
            <a:ext uri="{FF2B5EF4-FFF2-40B4-BE49-F238E27FC236}">
              <a16:creationId xmlns:a16="http://schemas.microsoft.com/office/drawing/2014/main" id="{00000000-0008-0000-1200-00000E070000}"/>
            </a:ext>
          </a:extLst>
        </xdr:cNvPr>
        <xdr:cNvCxnSpPr/>
      </xdr:nvCxnSpPr>
      <xdr:spPr>
        <a:xfrm flipV="1">
          <a:off x="8794750" y="144991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1209</xdr:row>
      <xdr:rowOff>21166</xdr:rowOff>
    </xdr:from>
    <xdr:to>
      <xdr:col>13</xdr:col>
      <xdr:colOff>592667</xdr:colOff>
      <xdr:row>1210</xdr:row>
      <xdr:rowOff>169334</xdr:rowOff>
    </xdr:to>
    <xdr:cxnSp macro="">
      <xdr:nvCxnSpPr>
        <xdr:cNvPr id="1807" name="Straight Arrow Connector 1806">
          <a:extLst>
            <a:ext uri="{FF2B5EF4-FFF2-40B4-BE49-F238E27FC236}">
              <a16:creationId xmlns:a16="http://schemas.microsoft.com/office/drawing/2014/main" id="{00000000-0008-0000-1200-00000F070000}"/>
            </a:ext>
          </a:extLst>
        </xdr:cNvPr>
        <xdr:cNvCxnSpPr/>
      </xdr:nvCxnSpPr>
      <xdr:spPr>
        <a:xfrm>
          <a:off x="8784166" y="145944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1224</xdr:row>
      <xdr:rowOff>21167</xdr:rowOff>
    </xdr:from>
    <xdr:to>
      <xdr:col>13</xdr:col>
      <xdr:colOff>592667</xdr:colOff>
      <xdr:row>1226</xdr:row>
      <xdr:rowOff>63500</xdr:rowOff>
    </xdr:to>
    <xdr:cxnSp macro="">
      <xdr:nvCxnSpPr>
        <xdr:cNvPr id="1808" name="Straight Arrow Connector 1807">
          <a:extLst>
            <a:ext uri="{FF2B5EF4-FFF2-40B4-BE49-F238E27FC236}">
              <a16:creationId xmlns:a16="http://schemas.microsoft.com/office/drawing/2014/main" id="{00000000-0008-0000-1200-000010070000}"/>
            </a:ext>
          </a:extLst>
        </xdr:cNvPr>
        <xdr:cNvCxnSpPr/>
      </xdr:nvCxnSpPr>
      <xdr:spPr>
        <a:xfrm flipV="1">
          <a:off x="8794750" y="148992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1229</xdr:row>
      <xdr:rowOff>0</xdr:rowOff>
    </xdr:from>
    <xdr:to>
      <xdr:col>14</xdr:col>
      <xdr:colOff>10584</xdr:colOff>
      <xdr:row>1237</xdr:row>
      <xdr:rowOff>148167</xdr:rowOff>
    </xdr:to>
    <xdr:cxnSp macro="">
      <xdr:nvCxnSpPr>
        <xdr:cNvPr id="1809" name="Straight Arrow Connector 1808">
          <a:extLst>
            <a:ext uri="{FF2B5EF4-FFF2-40B4-BE49-F238E27FC236}">
              <a16:creationId xmlns:a16="http://schemas.microsoft.com/office/drawing/2014/main" id="{00000000-0008-0000-1200-000011070000}"/>
            </a:ext>
          </a:extLst>
        </xdr:cNvPr>
        <xdr:cNvCxnSpPr/>
      </xdr:nvCxnSpPr>
      <xdr:spPr>
        <a:xfrm>
          <a:off x="8805333" y="149923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95250</xdr:rowOff>
    </xdr:from>
    <xdr:to>
      <xdr:col>15</xdr:col>
      <xdr:colOff>582083</xdr:colOff>
      <xdr:row>1202</xdr:row>
      <xdr:rowOff>137583</xdr:rowOff>
    </xdr:to>
    <xdr:cxnSp macro="">
      <xdr:nvCxnSpPr>
        <xdr:cNvPr id="1810" name="Straight Arrow Connector 1809">
          <a:extLst>
            <a:ext uri="{FF2B5EF4-FFF2-40B4-BE49-F238E27FC236}">
              <a16:creationId xmlns:a16="http://schemas.microsoft.com/office/drawing/2014/main" id="{00000000-0008-0000-1200-000012070000}"/>
            </a:ext>
          </a:extLst>
        </xdr:cNvPr>
        <xdr:cNvCxnSpPr/>
      </xdr:nvCxnSpPr>
      <xdr:spPr>
        <a:xfrm>
          <a:off x="10593916" y="144303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1209</xdr:row>
      <xdr:rowOff>52916</xdr:rowOff>
    </xdr:from>
    <xdr:to>
      <xdr:col>16</xdr:col>
      <xdr:colOff>0</xdr:colOff>
      <xdr:row>1211</xdr:row>
      <xdr:rowOff>0</xdr:rowOff>
    </xdr:to>
    <xdr:cxnSp macro="">
      <xdr:nvCxnSpPr>
        <xdr:cNvPr id="1811" name="Straight Arrow Connector 1810">
          <a:extLst>
            <a:ext uri="{FF2B5EF4-FFF2-40B4-BE49-F238E27FC236}">
              <a16:creationId xmlns:a16="http://schemas.microsoft.com/office/drawing/2014/main" id="{00000000-0008-0000-1200-000013070000}"/>
            </a:ext>
          </a:extLst>
        </xdr:cNvPr>
        <xdr:cNvCxnSpPr/>
      </xdr:nvCxnSpPr>
      <xdr:spPr>
        <a:xfrm flipV="1">
          <a:off x="10541000" y="145975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21167</xdr:rowOff>
    </xdr:from>
    <xdr:to>
      <xdr:col>15</xdr:col>
      <xdr:colOff>592666</xdr:colOff>
      <xdr:row>1212</xdr:row>
      <xdr:rowOff>84667</xdr:rowOff>
    </xdr:to>
    <xdr:cxnSp macro="">
      <xdr:nvCxnSpPr>
        <xdr:cNvPr id="1812" name="Straight Arrow Connector 1811">
          <a:extLst>
            <a:ext uri="{FF2B5EF4-FFF2-40B4-BE49-F238E27FC236}">
              <a16:creationId xmlns:a16="http://schemas.microsoft.com/office/drawing/2014/main" id="{00000000-0008-0000-1200-000014070000}"/>
            </a:ext>
          </a:extLst>
        </xdr:cNvPr>
        <xdr:cNvCxnSpPr/>
      </xdr:nvCxnSpPr>
      <xdr:spPr>
        <a:xfrm>
          <a:off x="10530417" y="146325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0</xdr:rowOff>
    </xdr:from>
    <xdr:to>
      <xdr:col>16</xdr:col>
      <xdr:colOff>0</xdr:colOff>
      <xdr:row>1215</xdr:row>
      <xdr:rowOff>42334</xdr:rowOff>
    </xdr:to>
    <xdr:cxnSp macro="">
      <xdr:nvCxnSpPr>
        <xdr:cNvPr id="1813" name="Straight Arrow Connector 1812">
          <a:extLst>
            <a:ext uri="{FF2B5EF4-FFF2-40B4-BE49-F238E27FC236}">
              <a16:creationId xmlns:a16="http://schemas.microsoft.com/office/drawing/2014/main" id="{00000000-0008-0000-1200-000015070000}"/>
            </a:ext>
          </a:extLst>
        </xdr:cNvPr>
        <xdr:cNvCxnSpPr/>
      </xdr:nvCxnSpPr>
      <xdr:spPr>
        <a:xfrm>
          <a:off x="10530417" y="146304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1222</xdr:row>
      <xdr:rowOff>0</xdr:rowOff>
    </xdr:from>
    <xdr:to>
      <xdr:col>15</xdr:col>
      <xdr:colOff>603250</xdr:colOff>
      <xdr:row>1224</xdr:row>
      <xdr:rowOff>1</xdr:rowOff>
    </xdr:to>
    <xdr:cxnSp macro="">
      <xdr:nvCxnSpPr>
        <xdr:cNvPr id="1814" name="Straight Arrow Connector 1813">
          <a:extLst>
            <a:ext uri="{FF2B5EF4-FFF2-40B4-BE49-F238E27FC236}">
              <a16:creationId xmlns:a16="http://schemas.microsoft.com/office/drawing/2014/main" id="{00000000-0008-0000-1200-000016070000}"/>
            </a:ext>
          </a:extLst>
        </xdr:cNvPr>
        <xdr:cNvCxnSpPr/>
      </xdr:nvCxnSpPr>
      <xdr:spPr>
        <a:xfrm flipV="1">
          <a:off x="10530417" y="148590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1224</xdr:row>
      <xdr:rowOff>10584</xdr:rowOff>
    </xdr:from>
    <xdr:to>
      <xdr:col>15</xdr:col>
      <xdr:colOff>592666</xdr:colOff>
      <xdr:row>1225</xdr:row>
      <xdr:rowOff>95250</xdr:rowOff>
    </xdr:to>
    <xdr:cxnSp macro="">
      <xdr:nvCxnSpPr>
        <xdr:cNvPr id="1815" name="Straight Arrow Connector 1814">
          <a:extLst>
            <a:ext uri="{FF2B5EF4-FFF2-40B4-BE49-F238E27FC236}">
              <a16:creationId xmlns:a16="http://schemas.microsoft.com/office/drawing/2014/main" id="{00000000-0008-0000-1200-000017070000}"/>
            </a:ext>
          </a:extLst>
        </xdr:cNvPr>
        <xdr:cNvCxnSpPr/>
      </xdr:nvCxnSpPr>
      <xdr:spPr>
        <a:xfrm>
          <a:off x="10572750" y="148981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1224</xdr:row>
      <xdr:rowOff>10584</xdr:rowOff>
    </xdr:from>
    <xdr:to>
      <xdr:col>15</xdr:col>
      <xdr:colOff>560916</xdr:colOff>
      <xdr:row>1228</xdr:row>
      <xdr:rowOff>52917</xdr:rowOff>
    </xdr:to>
    <xdr:cxnSp macro="">
      <xdr:nvCxnSpPr>
        <xdr:cNvPr id="1816" name="Straight Arrow Connector 1815">
          <a:extLst>
            <a:ext uri="{FF2B5EF4-FFF2-40B4-BE49-F238E27FC236}">
              <a16:creationId xmlns:a16="http://schemas.microsoft.com/office/drawing/2014/main" id="{00000000-0008-0000-1200-000018070000}"/>
            </a:ext>
          </a:extLst>
        </xdr:cNvPr>
        <xdr:cNvCxnSpPr/>
      </xdr:nvCxnSpPr>
      <xdr:spPr>
        <a:xfrm>
          <a:off x="10551583" y="148981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1817" name="Straight Arrow Connector 1816">
          <a:extLst>
            <a:ext uri="{FF2B5EF4-FFF2-40B4-BE49-F238E27FC236}">
              <a16:creationId xmlns:a16="http://schemas.microsoft.com/office/drawing/2014/main" id="{00000000-0008-0000-1200-000019070000}"/>
            </a:ext>
          </a:extLst>
        </xdr:cNvPr>
        <xdr:cNvCxnSpPr/>
      </xdr:nvCxnSpPr>
      <xdr:spPr>
        <a:xfrm>
          <a:off x="10583333" y="149002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1238</xdr:row>
      <xdr:rowOff>0</xdr:rowOff>
    </xdr:from>
    <xdr:to>
      <xdr:col>16</xdr:col>
      <xdr:colOff>0</xdr:colOff>
      <xdr:row>1238</xdr:row>
      <xdr:rowOff>42334</xdr:rowOff>
    </xdr:to>
    <xdr:cxnSp macro="">
      <xdr:nvCxnSpPr>
        <xdr:cNvPr id="1818" name="Straight Arrow Connector 1817">
          <a:extLst>
            <a:ext uri="{FF2B5EF4-FFF2-40B4-BE49-F238E27FC236}">
              <a16:creationId xmlns:a16="http://schemas.microsoft.com/office/drawing/2014/main" id="{00000000-0008-0000-1200-00001A070000}"/>
            </a:ext>
          </a:extLst>
        </xdr:cNvPr>
        <xdr:cNvCxnSpPr/>
      </xdr:nvCxnSpPr>
      <xdr:spPr>
        <a:xfrm>
          <a:off x="10562166" y="151638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1238</xdr:row>
      <xdr:rowOff>21166</xdr:rowOff>
    </xdr:from>
    <xdr:to>
      <xdr:col>15</xdr:col>
      <xdr:colOff>560916</xdr:colOff>
      <xdr:row>1241</xdr:row>
      <xdr:rowOff>84667</xdr:rowOff>
    </xdr:to>
    <xdr:cxnSp macro="">
      <xdr:nvCxnSpPr>
        <xdr:cNvPr id="1819" name="Straight Arrow Connector 1818">
          <a:extLst>
            <a:ext uri="{FF2B5EF4-FFF2-40B4-BE49-F238E27FC236}">
              <a16:creationId xmlns:a16="http://schemas.microsoft.com/office/drawing/2014/main" id="{00000000-0008-0000-1200-00001B070000}"/>
            </a:ext>
          </a:extLst>
        </xdr:cNvPr>
        <xdr:cNvCxnSpPr/>
      </xdr:nvCxnSpPr>
      <xdr:spPr>
        <a:xfrm>
          <a:off x="10615083" y="151659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1238</xdr:row>
      <xdr:rowOff>52916</xdr:rowOff>
    </xdr:from>
    <xdr:to>
      <xdr:col>15</xdr:col>
      <xdr:colOff>592666</xdr:colOff>
      <xdr:row>1244</xdr:row>
      <xdr:rowOff>63501</xdr:rowOff>
    </xdr:to>
    <xdr:cxnSp macro="">
      <xdr:nvCxnSpPr>
        <xdr:cNvPr id="1820" name="Straight Arrow Connector 1819">
          <a:extLst>
            <a:ext uri="{FF2B5EF4-FFF2-40B4-BE49-F238E27FC236}">
              <a16:creationId xmlns:a16="http://schemas.microsoft.com/office/drawing/2014/main" id="{00000000-0008-0000-1200-00001C070000}"/>
            </a:ext>
          </a:extLst>
        </xdr:cNvPr>
        <xdr:cNvCxnSpPr/>
      </xdr:nvCxnSpPr>
      <xdr:spPr>
        <a:xfrm>
          <a:off x="10572750" y="151690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1235</xdr:row>
      <xdr:rowOff>52917</xdr:rowOff>
    </xdr:from>
    <xdr:to>
      <xdr:col>15</xdr:col>
      <xdr:colOff>603250</xdr:colOff>
      <xdr:row>1237</xdr:row>
      <xdr:rowOff>148167</xdr:rowOff>
    </xdr:to>
    <xdr:cxnSp macro="">
      <xdr:nvCxnSpPr>
        <xdr:cNvPr id="1821" name="Straight Arrow Connector 1820">
          <a:extLst>
            <a:ext uri="{FF2B5EF4-FFF2-40B4-BE49-F238E27FC236}">
              <a16:creationId xmlns:a16="http://schemas.microsoft.com/office/drawing/2014/main" id="{00000000-0008-0000-1200-00001D070000}"/>
            </a:ext>
          </a:extLst>
        </xdr:cNvPr>
        <xdr:cNvCxnSpPr/>
      </xdr:nvCxnSpPr>
      <xdr:spPr>
        <a:xfrm flipV="1">
          <a:off x="10583333" y="151119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1279</xdr:row>
      <xdr:rowOff>95250</xdr:rowOff>
    </xdr:from>
    <xdr:to>
      <xdr:col>8</xdr:col>
      <xdr:colOff>21167</xdr:colOff>
      <xdr:row>1311</xdr:row>
      <xdr:rowOff>148166</xdr:rowOff>
    </xdr:to>
    <xdr:cxnSp macro="">
      <xdr:nvCxnSpPr>
        <xdr:cNvPr id="1822" name="Straight Arrow Connector 1821">
          <a:extLst>
            <a:ext uri="{FF2B5EF4-FFF2-40B4-BE49-F238E27FC236}">
              <a16:creationId xmlns:a16="http://schemas.microsoft.com/office/drawing/2014/main" id="{00000000-0008-0000-1200-00001E070000}"/>
            </a:ext>
          </a:extLst>
        </xdr:cNvPr>
        <xdr:cNvCxnSpPr/>
      </xdr:nvCxnSpPr>
      <xdr:spPr>
        <a:xfrm>
          <a:off x="5080000" y="1597342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1250</xdr:row>
      <xdr:rowOff>137583</xdr:rowOff>
    </xdr:from>
    <xdr:to>
      <xdr:col>9</xdr:col>
      <xdr:colOff>603250</xdr:colOff>
      <xdr:row>1256</xdr:row>
      <xdr:rowOff>21166</xdr:rowOff>
    </xdr:to>
    <xdr:cxnSp macro="">
      <xdr:nvCxnSpPr>
        <xdr:cNvPr id="1823" name="Straight Arrow Connector 1822">
          <a:extLst>
            <a:ext uri="{FF2B5EF4-FFF2-40B4-BE49-F238E27FC236}">
              <a16:creationId xmlns:a16="http://schemas.microsoft.com/office/drawing/2014/main" id="{00000000-0008-0000-1200-00001F070000}"/>
            </a:ext>
          </a:extLst>
        </xdr:cNvPr>
        <xdr:cNvCxnSpPr/>
      </xdr:nvCxnSpPr>
      <xdr:spPr>
        <a:xfrm flipV="1">
          <a:off x="6381750" y="154061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1259</xdr:row>
      <xdr:rowOff>0</xdr:rowOff>
    </xdr:from>
    <xdr:to>
      <xdr:col>9</xdr:col>
      <xdr:colOff>582083</xdr:colOff>
      <xdr:row>1267</xdr:row>
      <xdr:rowOff>10583</xdr:rowOff>
    </xdr:to>
    <xdr:cxnSp macro="">
      <xdr:nvCxnSpPr>
        <xdr:cNvPr id="1824" name="Straight Arrow Connector 1823">
          <a:extLst>
            <a:ext uri="{FF2B5EF4-FFF2-40B4-BE49-F238E27FC236}">
              <a16:creationId xmlns:a16="http://schemas.microsoft.com/office/drawing/2014/main" id="{00000000-0008-0000-1200-000020070000}"/>
            </a:ext>
          </a:extLst>
        </xdr:cNvPr>
        <xdr:cNvCxnSpPr/>
      </xdr:nvCxnSpPr>
      <xdr:spPr>
        <a:xfrm>
          <a:off x="6413500" y="155638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1264</xdr:row>
      <xdr:rowOff>169333</xdr:rowOff>
    </xdr:from>
    <xdr:to>
      <xdr:col>11</xdr:col>
      <xdr:colOff>603250</xdr:colOff>
      <xdr:row>1267</xdr:row>
      <xdr:rowOff>21167</xdr:rowOff>
    </xdr:to>
    <xdr:cxnSp macro="">
      <xdr:nvCxnSpPr>
        <xdr:cNvPr id="1825" name="Straight Arrow Connector 1824">
          <a:extLst>
            <a:ext uri="{FF2B5EF4-FFF2-40B4-BE49-F238E27FC236}">
              <a16:creationId xmlns:a16="http://schemas.microsoft.com/office/drawing/2014/main" id="{00000000-0008-0000-1200-000021070000}"/>
            </a:ext>
          </a:extLst>
        </xdr:cNvPr>
        <xdr:cNvCxnSpPr/>
      </xdr:nvCxnSpPr>
      <xdr:spPr>
        <a:xfrm flipV="1">
          <a:off x="7609417" y="156760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1270</xdr:row>
      <xdr:rowOff>42333</xdr:rowOff>
    </xdr:from>
    <xdr:to>
      <xdr:col>11</xdr:col>
      <xdr:colOff>603250</xdr:colOff>
      <xdr:row>1282</xdr:row>
      <xdr:rowOff>10583</xdr:rowOff>
    </xdr:to>
    <xdr:cxnSp macro="">
      <xdr:nvCxnSpPr>
        <xdr:cNvPr id="1826" name="Straight Arrow Connector 1825">
          <a:extLst>
            <a:ext uri="{FF2B5EF4-FFF2-40B4-BE49-F238E27FC236}">
              <a16:creationId xmlns:a16="http://schemas.microsoft.com/office/drawing/2014/main" id="{00000000-0008-0000-1200-000022070000}"/>
            </a:ext>
          </a:extLst>
        </xdr:cNvPr>
        <xdr:cNvCxnSpPr/>
      </xdr:nvCxnSpPr>
      <xdr:spPr>
        <a:xfrm>
          <a:off x="7598834" y="157776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1260</xdr:row>
      <xdr:rowOff>21167</xdr:rowOff>
    </xdr:from>
    <xdr:to>
      <xdr:col>13</xdr:col>
      <xdr:colOff>592667</xdr:colOff>
      <xdr:row>1262</xdr:row>
      <xdr:rowOff>0</xdr:rowOff>
    </xdr:to>
    <xdr:cxnSp macro="">
      <xdr:nvCxnSpPr>
        <xdr:cNvPr id="1827" name="Straight Arrow Connector 1826">
          <a:extLst>
            <a:ext uri="{FF2B5EF4-FFF2-40B4-BE49-F238E27FC236}">
              <a16:creationId xmlns:a16="http://schemas.microsoft.com/office/drawing/2014/main" id="{00000000-0008-0000-1200-000023070000}"/>
            </a:ext>
          </a:extLst>
        </xdr:cNvPr>
        <xdr:cNvCxnSpPr/>
      </xdr:nvCxnSpPr>
      <xdr:spPr>
        <a:xfrm flipV="1">
          <a:off x="8794750" y="155850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1265</xdr:row>
      <xdr:rowOff>21166</xdr:rowOff>
    </xdr:from>
    <xdr:to>
      <xdr:col>13</xdr:col>
      <xdr:colOff>592667</xdr:colOff>
      <xdr:row>1266</xdr:row>
      <xdr:rowOff>169334</xdr:rowOff>
    </xdr:to>
    <xdr:cxnSp macro="">
      <xdr:nvCxnSpPr>
        <xdr:cNvPr id="1828" name="Straight Arrow Connector 1827">
          <a:extLst>
            <a:ext uri="{FF2B5EF4-FFF2-40B4-BE49-F238E27FC236}">
              <a16:creationId xmlns:a16="http://schemas.microsoft.com/office/drawing/2014/main" id="{00000000-0008-0000-1200-000024070000}"/>
            </a:ext>
          </a:extLst>
        </xdr:cNvPr>
        <xdr:cNvCxnSpPr/>
      </xdr:nvCxnSpPr>
      <xdr:spPr>
        <a:xfrm>
          <a:off x="8784166" y="156802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1280</xdr:row>
      <xdr:rowOff>21167</xdr:rowOff>
    </xdr:from>
    <xdr:to>
      <xdr:col>13</xdr:col>
      <xdr:colOff>592667</xdr:colOff>
      <xdr:row>1282</xdr:row>
      <xdr:rowOff>63500</xdr:rowOff>
    </xdr:to>
    <xdr:cxnSp macro="">
      <xdr:nvCxnSpPr>
        <xdr:cNvPr id="1829" name="Straight Arrow Connector 1828">
          <a:extLst>
            <a:ext uri="{FF2B5EF4-FFF2-40B4-BE49-F238E27FC236}">
              <a16:creationId xmlns:a16="http://schemas.microsoft.com/office/drawing/2014/main" id="{00000000-0008-0000-1200-000025070000}"/>
            </a:ext>
          </a:extLst>
        </xdr:cNvPr>
        <xdr:cNvCxnSpPr/>
      </xdr:nvCxnSpPr>
      <xdr:spPr>
        <a:xfrm flipV="1">
          <a:off x="8794750" y="159850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1285</xdr:row>
      <xdr:rowOff>0</xdr:rowOff>
    </xdr:from>
    <xdr:to>
      <xdr:col>14</xdr:col>
      <xdr:colOff>10584</xdr:colOff>
      <xdr:row>1293</xdr:row>
      <xdr:rowOff>148167</xdr:rowOff>
    </xdr:to>
    <xdr:cxnSp macro="">
      <xdr:nvCxnSpPr>
        <xdr:cNvPr id="1830" name="Straight Arrow Connector 1829">
          <a:extLst>
            <a:ext uri="{FF2B5EF4-FFF2-40B4-BE49-F238E27FC236}">
              <a16:creationId xmlns:a16="http://schemas.microsoft.com/office/drawing/2014/main" id="{00000000-0008-0000-1200-000026070000}"/>
            </a:ext>
          </a:extLst>
        </xdr:cNvPr>
        <xdr:cNvCxnSpPr/>
      </xdr:nvCxnSpPr>
      <xdr:spPr>
        <a:xfrm>
          <a:off x="8805333" y="160782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1252</xdr:row>
      <xdr:rowOff>0</xdr:rowOff>
    </xdr:from>
    <xdr:to>
      <xdr:col>15</xdr:col>
      <xdr:colOff>603250</xdr:colOff>
      <xdr:row>1257</xdr:row>
      <xdr:rowOff>31750</xdr:rowOff>
    </xdr:to>
    <xdr:cxnSp macro="">
      <xdr:nvCxnSpPr>
        <xdr:cNvPr id="1831" name="Straight Arrow Connector 1830">
          <a:extLst>
            <a:ext uri="{FF2B5EF4-FFF2-40B4-BE49-F238E27FC236}">
              <a16:creationId xmlns:a16="http://schemas.microsoft.com/office/drawing/2014/main" id="{00000000-0008-0000-1200-000027070000}"/>
            </a:ext>
          </a:extLst>
        </xdr:cNvPr>
        <xdr:cNvCxnSpPr/>
      </xdr:nvCxnSpPr>
      <xdr:spPr>
        <a:xfrm flipV="1">
          <a:off x="10541000" y="154305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1255</xdr:row>
      <xdr:rowOff>52917</xdr:rowOff>
    </xdr:from>
    <xdr:to>
      <xdr:col>15</xdr:col>
      <xdr:colOff>603250</xdr:colOff>
      <xdr:row>1257</xdr:row>
      <xdr:rowOff>95250</xdr:rowOff>
    </xdr:to>
    <xdr:cxnSp macro="">
      <xdr:nvCxnSpPr>
        <xdr:cNvPr id="1832" name="Straight Arrow Connector 1831">
          <a:extLst>
            <a:ext uri="{FF2B5EF4-FFF2-40B4-BE49-F238E27FC236}">
              <a16:creationId xmlns:a16="http://schemas.microsoft.com/office/drawing/2014/main" id="{00000000-0008-0000-1200-000028070000}"/>
            </a:ext>
          </a:extLst>
        </xdr:cNvPr>
        <xdr:cNvCxnSpPr/>
      </xdr:nvCxnSpPr>
      <xdr:spPr>
        <a:xfrm flipV="1">
          <a:off x="10583333" y="154929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1257</xdr:row>
      <xdr:rowOff>158750</xdr:rowOff>
    </xdr:from>
    <xdr:to>
      <xdr:col>15</xdr:col>
      <xdr:colOff>582083</xdr:colOff>
      <xdr:row>1258</xdr:row>
      <xdr:rowOff>137583</xdr:rowOff>
    </xdr:to>
    <xdr:cxnSp macro="">
      <xdr:nvCxnSpPr>
        <xdr:cNvPr id="1833" name="Straight Arrow Connector 1832">
          <a:extLst>
            <a:ext uri="{FF2B5EF4-FFF2-40B4-BE49-F238E27FC236}">
              <a16:creationId xmlns:a16="http://schemas.microsoft.com/office/drawing/2014/main" id="{00000000-0008-0000-1200-000029070000}"/>
            </a:ext>
          </a:extLst>
        </xdr:cNvPr>
        <xdr:cNvCxnSpPr/>
      </xdr:nvCxnSpPr>
      <xdr:spPr>
        <a:xfrm>
          <a:off x="10604500" y="155416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1257</xdr:row>
      <xdr:rowOff>105834</xdr:rowOff>
    </xdr:from>
    <xdr:to>
      <xdr:col>16</xdr:col>
      <xdr:colOff>0</xdr:colOff>
      <xdr:row>1261</xdr:row>
      <xdr:rowOff>84667</xdr:rowOff>
    </xdr:to>
    <xdr:cxnSp macro="">
      <xdr:nvCxnSpPr>
        <xdr:cNvPr id="1834" name="Straight Arrow Connector 1833">
          <a:extLst>
            <a:ext uri="{FF2B5EF4-FFF2-40B4-BE49-F238E27FC236}">
              <a16:creationId xmlns:a16="http://schemas.microsoft.com/office/drawing/2014/main" id="{00000000-0008-0000-1200-00002A070000}"/>
            </a:ext>
          </a:extLst>
        </xdr:cNvPr>
        <xdr:cNvCxnSpPr/>
      </xdr:nvCxnSpPr>
      <xdr:spPr>
        <a:xfrm>
          <a:off x="10519834" y="1553633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1265</xdr:row>
      <xdr:rowOff>52916</xdr:rowOff>
    </xdr:from>
    <xdr:to>
      <xdr:col>16</xdr:col>
      <xdr:colOff>0</xdr:colOff>
      <xdr:row>1267</xdr:row>
      <xdr:rowOff>0</xdr:rowOff>
    </xdr:to>
    <xdr:cxnSp macro="">
      <xdr:nvCxnSpPr>
        <xdr:cNvPr id="1835" name="Straight Arrow Connector 1834">
          <a:extLst>
            <a:ext uri="{FF2B5EF4-FFF2-40B4-BE49-F238E27FC236}">
              <a16:creationId xmlns:a16="http://schemas.microsoft.com/office/drawing/2014/main" id="{00000000-0008-0000-1200-00002B070000}"/>
            </a:ext>
          </a:extLst>
        </xdr:cNvPr>
        <xdr:cNvCxnSpPr/>
      </xdr:nvCxnSpPr>
      <xdr:spPr>
        <a:xfrm flipV="1">
          <a:off x="10541000" y="156834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1267</xdr:row>
      <xdr:rowOff>21167</xdr:rowOff>
    </xdr:from>
    <xdr:to>
      <xdr:col>15</xdr:col>
      <xdr:colOff>582083</xdr:colOff>
      <xdr:row>1268</xdr:row>
      <xdr:rowOff>42333</xdr:rowOff>
    </xdr:to>
    <xdr:cxnSp macro="">
      <xdr:nvCxnSpPr>
        <xdr:cNvPr id="1836" name="Straight Arrow Connector 1835">
          <a:extLst>
            <a:ext uri="{FF2B5EF4-FFF2-40B4-BE49-F238E27FC236}">
              <a16:creationId xmlns:a16="http://schemas.microsoft.com/office/drawing/2014/main" id="{00000000-0008-0000-1200-00002C070000}"/>
            </a:ext>
          </a:extLst>
        </xdr:cNvPr>
        <xdr:cNvCxnSpPr/>
      </xdr:nvCxnSpPr>
      <xdr:spPr>
        <a:xfrm>
          <a:off x="10551583" y="157183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1267</xdr:row>
      <xdr:rowOff>21167</xdr:rowOff>
    </xdr:from>
    <xdr:to>
      <xdr:col>16</xdr:col>
      <xdr:colOff>42333</xdr:colOff>
      <xdr:row>1272</xdr:row>
      <xdr:rowOff>21168</xdr:rowOff>
    </xdr:to>
    <xdr:cxnSp macro="">
      <xdr:nvCxnSpPr>
        <xdr:cNvPr id="1837" name="Straight Arrow Connector 1836">
          <a:extLst>
            <a:ext uri="{FF2B5EF4-FFF2-40B4-BE49-F238E27FC236}">
              <a16:creationId xmlns:a16="http://schemas.microsoft.com/office/drawing/2014/main" id="{00000000-0008-0000-1200-00002D070000}"/>
            </a:ext>
          </a:extLst>
        </xdr:cNvPr>
        <xdr:cNvCxnSpPr/>
      </xdr:nvCxnSpPr>
      <xdr:spPr>
        <a:xfrm>
          <a:off x="10530417" y="1571836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1838" name="Straight Arrow Connector 1837">
          <a:extLst>
            <a:ext uri="{FF2B5EF4-FFF2-40B4-BE49-F238E27FC236}">
              <a16:creationId xmlns:a16="http://schemas.microsoft.com/office/drawing/2014/main" id="{00000000-0008-0000-1200-00002E070000}"/>
            </a:ext>
          </a:extLst>
        </xdr:cNvPr>
        <xdr:cNvCxnSpPr/>
      </xdr:nvCxnSpPr>
      <xdr:spPr>
        <a:xfrm>
          <a:off x="10541000" y="1571942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1304</xdr:row>
      <xdr:rowOff>42333</xdr:rowOff>
    </xdr:from>
    <xdr:to>
      <xdr:col>9</xdr:col>
      <xdr:colOff>592666</xdr:colOff>
      <xdr:row>1312</xdr:row>
      <xdr:rowOff>42333</xdr:rowOff>
    </xdr:to>
    <xdr:cxnSp macro="">
      <xdr:nvCxnSpPr>
        <xdr:cNvPr id="1839" name="Straight Arrow Connector 1838">
          <a:extLst>
            <a:ext uri="{FF2B5EF4-FFF2-40B4-BE49-F238E27FC236}">
              <a16:creationId xmlns:a16="http://schemas.microsoft.com/office/drawing/2014/main" id="{00000000-0008-0000-1200-00002F070000}"/>
            </a:ext>
          </a:extLst>
        </xdr:cNvPr>
        <xdr:cNvCxnSpPr/>
      </xdr:nvCxnSpPr>
      <xdr:spPr>
        <a:xfrm flipV="1">
          <a:off x="6392333" y="164443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1314</xdr:row>
      <xdr:rowOff>169334</xdr:rowOff>
    </xdr:from>
    <xdr:to>
      <xdr:col>9</xdr:col>
      <xdr:colOff>603250</xdr:colOff>
      <xdr:row>1323</xdr:row>
      <xdr:rowOff>31750</xdr:rowOff>
    </xdr:to>
    <xdr:cxnSp macro="">
      <xdr:nvCxnSpPr>
        <xdr:cNvPr id="1840" name="Straight Arrow Connector 1839">
          <a:extLst>
            <a:ext uri="{FF2B5EF4-FFF2-40B4-BE49-F238E27FC236}">
              <a16:creationId xmlns:a16="http://schemas.microsoft.com/office/drawing/2014/main" id="{00000000-0008-0000-1200-000030070000}"/>
            </a:ext>
          </a:extLst>
        </xdr:cNvPr>
        <xdr:cNvCxnSpPr/>
      </xdr:nvCxnSpPr>
      <xdr:spPr>
        <a:xfrm>
          <a:off x="6413500" y="166475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1320</xdr:row>
      <xdr:rowOff>158750</xdr:rowOff>
    </xdr:from>
    <xdr:to>
      <xdr:col>11</xdr:col>
      <xdr:colOff>571500</xdr:colOff>
      <xdr:row>1323</xdr:row>
      <xdr:rowOff>0</xdr:rowOff>
    </xdr:to>
    <xdr:cxnSp macro="">
      <xdr:nvCxnSpPr>
        <xdr:cNvPr id="1841" name="Straight Arrow Connector 1840">
          <a:extLst>
            <a:ext uri="{FF2B5EF4-FFF2-40B4-BE49-F238E27FC236}">
              <a16:creationId xmlns:a16="http://schemas.microsoft.com/office/drawing/2014/main" id="{00000000-0008-0000-1200-000031070000}"/>
            </a:ext>
          </a:extLst>
        </xdr:cNvPr>
        <xdr:cNvCxnSpPr/>
      </xdr:nvCxnSpPr>
      <xdr:spPr>
        <a:xfrm flipV="1">
          <a:off x="7556500" y="1676082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1278</xdr:row>
      <xdr:rowOff>0</xdr:rowOff>
    </xdr:from>
    <xdr:to>
      <xdr:col>15</xdr:col>
      <xdr:colOff>603250</xdr:colOff>
      <xdr:row>1280</xdr:row>
      <xdr:rowOff>1</xdr:rowOff>
    </xdr:to>
    <xdr:cxnSp macro="">
      <xdr:nvCxnSpPr>
        <xdr:cNvPr id="1842" name="Straight Arrow Connector 1841">
          <a:extLst>
            <a:ext uri="{FF2B5EF4-FFF2-40B4-BE49-F238E27FC236}">
              <a16:creationId xmlns:a16="http://schemas.microsoft.com/office/drawing/2014/main" id="{00000000-0008-0000-1200-000032070000}"/>
            </a:ext>
          </a:extLst>
        </xdr:cNvPr>
        <xdr:cNvCxnSpPr/>
      </xdr:nvCxnSpPr>
      <xdr:spPr>
        <a:xfrm flipV="1">
          <a:off x="10530417" y="159448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1280</xdr:row>
      <xdr:rowOff>10584</xdr:rowOff>
    </xdr:from>
    <xdr:to>
      <xdr:col>15</xdr:col>
      <xdr:colOff>592666</xdr:colOff>
      <xdr:row>1281</xdr:row>
      <xdr:rowOff>95250</xdr:rowOff>
    </xdr:to>
    <xdr:cxnSp macro="">
      <xdr:nvCxnSpPr>
        <xdr:cNvPr id="1843" name="Straight Arrow Connector 1842">
          <a:extLst>
            <a:ext uri="{FF2B5EF4-FFF2-40B4-BE49-F238E27FC236}">
              <a16:creationId xmlns:a16="http://schemas.microsoft.com/office/drawing/2014/main" id="{00000000-0008-0000-1200-000033070000}"/>
            </a:ext>
          </a:extLst>
        </xdr:cNvPr>
        <xdr:cNvCxnSpPr/>
      </xdr:nvCxnSpPr>
      <xdr:spPr>
        <a:xfrm>
          <a:off x="10572750" y="159840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1280</xdr:row>
      <xdr:rowOff>10584</xdr:rowOff>
    </xdr:from>
    <xdr:to>
      <xdr:col>15</xdr:col>
      <xdr:colOff>560916</xdr:colOff>
      <xdr:row>1284</xdr:row>
      <xdr:rowOff>52917</xdr:rowOff>
    </xdr:to>
    <xdr:cxnSp macro="">
      <xdr:nvCxnSpPr>
        <xdr:cNvPr id="1844" name="Straight Arrow Connector 1843">
          <a:extLst>
            <a:ext uri="{FF2B5EF4-FFF2-40B4-BE49-F238E27FC236}">
              <a16:creationId xmlns:a16="http://schemas.microsoft.com/office/drawing/2014/main" id="{00000000-0008-0000-1200-000034070000}"/>
            </a:ext>
          </a:extLst>
        </xdr:cNvPr>
        <xdr:cNvCxnSpPr/>
      </xdr:nvCxnSpPr>
      <xdr:spPr>
        <a:xfrm>
          <a:off x="10551583" y="159840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1845" name="Straight Arrow Connector 1844">
          <a:extLst>
            <a:ext uri="{FF2B5EF4-FFF2-40B4-BE49-F238E27FC236}">
              <a16:creationId xmlns:a16="http://schemas.microsoft.com/office/drawing/2014/main" id="{00000000-0008-0000-1200-000035070000}"/>
            </a:ext>
          </a:extLst>
        </xdr:cNvPr>
        <xdr:cNvCxnSpPr/>
      </xdr:nvCxnSpPr>
      <xdr:spPr>
        <a:xfrm>
          <a:off x="10583333" y="159861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1294</xdr:row>
      <xdr:rowOff>0</xdr:rowOff>
    </xdr:from>
    <xdr:to>
      <xdr:col>16</xdr:col>
      <xdr:colOff>0</xdr:colOff>
      <xdr:row>1294</xdr:row>
      <xdr:rowOff>42334</xdr:rowOff>
    </xdr:to>
    <xdr:cxnSp macro="">
      <xdr:nvCxnSpPr>
        <xdr:cNvPr id="1846" name="Straight Arrow Connector 1845">
          <a:extLst>
            <a:ext uri="{FF2B5EF4-FFF2-40B4-BE49-F238E27FC236}">
              <a16:creationId xmlns:a16="http://schemas.microsoft.com/office/drawing/2014/main" id="{00000000-0008-0000-1200-000036070000}"/>
            </a:ext>
          </a:extLst>
        </xdr:cNvPr>
        <xdr:cNvCxnSpPr/>
      </xdr:nvCxnSpPr>
      <xdr:spPr>
        <a:xfrm>
          <a:off x="10562166" y="162496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1294</xdr:row>
      <xdr:rowOff>21166</xdr:rowOff>
    </xdr:from>
    <xdr:to>
      <xdr:col>15</xdr:col>
      <xdr:colOff>560916</xdr:colOff>
      <xdr:row>1297</xdr:row>
      <xdr:rowOff>84667</xdr:rowOff>
    </xdr:to>
    <xdr:cxnSp macro="">
      <xdr:nvCxnSpPr>
        <xdr:cNvPr id="1847" name="Straight Arrow Connector 1846">
          <a:extLst>
            <a:ext uri="{FF2B5EF4-FFF2-40B4-BE49-F238E27FC236}">
              <a16:creationId xmlns:a16="http://schemas.microsoft.com/office/drawing/2014/main" id="{00000000-0008-0000-1200-000037070000}"/>
            </a:ext>
          </a:extLst>
        </xdr:cNvPr>
        <xdr:cNvCxnSpPr/>
      </xdr:nvCxnSpPr>
      <xdr:spPr>
        <a:xfrm>
          <a:off x="10615083" y="162517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1294</xdr:row>
      <xdr:rowOff>52916</xdr:rowOff>
    </xdr:from>
    <xdr:to>
      <xdr:col>15</xdr:col>
      <xdr:colOff>592666</xdr:colOff>
      <xdr:row>1300</xdr:row>
      <xdr:rowOff>63501</xdr:rowOff>
    </xdr:to>
    <xdr:cxnSp macro="">
      <xdr:nvCxnSpPr>
        <xdr:cNvPr id="1848" name="Straight Arrow Connector 1847">
          <a:extLst>
            <a:ext uri="{FF2B5EF4-FFF2-40B4-BE49-F238E27FC236}">
              <a16:creationId xmlns:a16="http://schemas.microsoft.com/office/drawing/2014/main" id="{00000000-0008-0000-1200-000038070000}"/>
            </a:ext>
          </a:extLst>
        </xdr:cNvPr>
        <xdr:cNvCxnSpPr/>
      </xdr:nvCxnSpPr>
      <xdr:spPr>
        <a:xfrm>
          <a:off x="10572750" y="162549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1308</xdr:row>
      <xdr:rowOff>116416</xdr:rowOff>
    </xdr:from>
    <xdr:to>
      <xdr:col>15</xdr:col>
      <xdr:colOff>592666</xdr:colOff>
      <xdr:row>1311</xdr:row>
      <xdr:rowOff>158750</xdr:rowOff>
    </xdr:to>
    <xdr:cxnSp macro="">
      <xdr:nvCxnSpPr>
        <xdr:cNvPr id="1849" name="Straight Arrow Connector 1848">
          <a:extLst>
            <a:ext uri="{FF2B5EF4-FFF2-40B4-BE49-F238E27FC236}">
              <a16:creationId xmlns:a16="http://schemas.microsoft.com/office/drawing/2014/main" id="{00000000-0008-0000-1200-000039070000}"/>
            </a:ext>
          </a:extLst>
        </xdr:cNvPr>
        <xdr:cNvCxnSpPr/>
      </xdr:nvCxnSpPr>
      <xdr:spPr>
        <a:xfrm flipV="1">
          <a:off x="10562166" y="165279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1310</xdr:row>
      <xdr:rowOff>95250</xdr:rowOff>
    </xdr:from>
    <xdr:to>
      <xdr:col>15</xdr:col>
      <xdr:colOff>582083</xdr:colOff>
      <xdr:row>1312</xdr:row>
      <xdr:rowOff>52917</xdr:rowOff>
    </xdr:to>
    <xdr:cxnSp macro="">
      <xdr:nvCxnSpPr>
        <xdr:cNvPr id="1850" name="Straight Arrow Connector 1849">
          <a:extLst>
            <a:ext uri="{FF2B5EF4-FFF2-40B4-BE49-F238E27FC236}">
              <a16:creationId xmlns:a16="http://schemas.microsoft.com/office/drawing/2014/main" id="{00000000-0008-0000-1200-00003A070000}"/>
            </a:ext>
          </a:extLst>
        </xdr:cNvPr>
        <xdr:cNvCxnSpPr/>
      </xdr:nvCxnSpPr>
      <xdr:spPr>
        <a:xfrm flipV="1">
          <a:off x="10604500" y="165639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116417</xdr:rowOff>
    </xdr:from>
    <xdr:to>
      <xdr:col>15</xdr:col>
      <xdr:colOff>592666</xdr:colOff>
      <xdr:row>1316</xdr:row>
      <xdr:rowOff>95250</xdr:rowOff>
    </xdr:to>
    <xdr:cxnSp macro="">
      <xdr:nvCxnSpPr>
        <xdr:cNvPr id="1851" name="Straight Arrow Connector 1850">
          <a:extLst>
            <a:ext uri="{FF2B5EF4-FFF2-40B4-BE49-F238E27FC236}">
              <a16:creationId xmlns:a16="http://schemas.microsoft.com/office/drawing/2014/main" id="{00000000-0008-0000-1200-00003B070000}"/>
            </a:ext>
          </a:extLst>
        </xdr:cNvPr>
        <xdr:cNvCxnSpPr/>
      </xdr:nvCxnSpPr>
      <xdr:spPr>
        <a:xfrm>
          <a:off x="10593916" y="166041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1323</xdr:row>
      <xdr:rowOff>116416</xdr:rowOff>
    </xdr:from>
    <xdr:to>
      <xdr:col>16</xdr:col>
      <xdr:colOff>0</xdr:colOff>
      <xdr:row>1330</xdr:row>
      <xdr:rowOff>74084</xdr:rowOff>
    </xdr:to>
    <xdr:cxnSp macro="">
      <xdr:nvCxnSpPr>
        <xdr:cNvPr id="1852" name="Straight Arrow Connector 1851">
          <a:extLst>
            <a:ext uri="{FF2B5EF4-FFF2-40B4-BE49-F238E27FC236}">
              <a16:creationId xmlns:a16="http://schemas.microsoft.com/office/drawing/2014/main" id="{00000000-0008-0000-1200-00003C070000}"/>
            </a:ext>
          </a:extLst>
        </xdr:cNvPr>
        <xdr:cNvCxnSpPr/>
      </xdr:nvCxnSpPr>
      <xdr:spPr>
        <a:xfrm>
          <a:off x="10572750" y="1681374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1291</xdr:row>
      <xdr:rowOff>52917</xdr:rowOff>
    </xdr:from>
    <xdr:to>
      <xdr:col>15</xdr:col>
      <xdr:colOff>603250</xdr:colOff>
      <xdr:row>1293</xdr:row>
      <xdr:rowOff>148167</xdr:rowOff>
    </xdr:to>
    <xdr:cxnSp macro="">
      <xdr:nvCxnSpPr>
        <xdr:cNvPr id="1853" name="Straight Arrow Connector 1852">
          <a:extLst>
            <a:ext uri="{FF2B5EF4-FFF2-40B4-BE49-F238E27FC236}">
              <a16:creationId xmlns:a16="http://schemas.microsoft.com/office/drawing/2014/main" id="{00000000-0008-0000-1200-00003D070000}"/>
            </a:ext>
          </a:extLst>
        </xdr:cNvPr>
        <xdr:cNvCxnSpPr/>
      </xdr:nvCxnSpPr>
      <xdr:spPr>
        <a:xfrm flipV="1">
          <a:off x="10583333" y="161977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1326</xdr:row>
      <xdr:rowOff>42333</xdr:rowOff>
    </xdr:from>
    <xdr:to>
      <xdr:col>11</xdr:col>
      <xdr:colOff>603250</xdr:colOff>
      <xdr:row>1338</xdr:row>
      <xdr:rowOff>10583</xdr:rowOff>
    </xdr:to>
    <xdr:cxnSp macro="">
      <xdr:nvCxnSpPr>
        <xdr:cNvPr id="1854" name="Straight Arrow Connector 1853">
          <a:extLst>
            <a:ext uri="{FF2B5EF4-FFF2-40B4-BE49-F238E27FC236}">
              <a16:creationId xmlns:a16="http://schemas.microsoft.com/office/drawing/2014/main" id="{00000000-0008-0000-1200-00003E070000}"/>
            </a:ext>
          </a:extLst>
        </xdr:cNvPr>
        <xdr:cNvCxnSpPr/>
      </xdr:nvCxnSpPr>
      <xdr:spPr>
        <a:xfrm>
          <a:off x="7598834" y="16863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1316</xdr:row>
      <xdr:rowOff>21167</xdr:rowOff>
    </xdr:from>
    <xdr:to>
      <xdr:col>13</xdr:col>
      <xdr:colOff>592667</xdr:colOff>
      <xdr:row>1318</xdr:row>
      <xdr:rowOff>0</xdr:rowOff>
    </xdr:to>
    <xdr:cxnSp macro="">
      <xdr:nvCxnSpPr>
        <xdr:cNvPr id="1855" name="Straight Arrow Connector 1854">
          <a:extLst>
            <a:ext uri="{FF2B5EF4-FFF2-40B4-BE49-F238E27FC236}">
              <a16:creationId xmlns:a16="http://schemas.microsoft.com/office/drawing/2014/main" id="{00000000-0008-0000-1200-00003F070000}"/>
            </a:ext>
          </a:extLst>
        </xdr:cNvPr>
        <xdr:cNvCxnSpPr/>
      </xdr:nvCxnSpPr>
      <xdr:spPr>
        <a:xfrm flipV="1">
          <a:off x="8794750" y="166708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1321</xdr:row>
      <xdr:rowOff>21166</xdr:rowOff>
    </xdr:from>
    <xdr:to>
      <xdr:col>13</xdr:col>
      <xdr:colOff>592667</xdr:colOff>
      <xdr:row>1322</xdr:row>
      <xdr:rowOff>169334</xdr:rowOff>
    </xdr:to>
    <xdr:cxnSp macro="">
      <xdr:nvCxnSpPr>
        <xdr:cNvPr id="1856" name="Straight Arrow Connector 1855">
          <a:extLst>
            <a:ext uri="{FF2B5EF4-FFF2-40B4-BE49-F238E27FC236}">
              <a16:creationId xmlns:a16="http://schemas.microsoft.com/office/drawing/2014/main" id="{00000000-0008-0000-1200-000040070000}"/>
            </a:ext>
          </a:extLst>
        </xdr:cNvPr>
        <xdr:cNvCxnSpPr/>
      </xdr:nvCxnSpPr>
      <xdr:spPr>
        <a:xfrm>
          <a:off x="8784166" y="167661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1336</xdr:row>
      <xdr:rowOff>21167</xdr:rowOff>
    </xdr:from>
    <xdr:to>
      <xdr:col>13</xdr:col>
      <xdr:colOff>592667</xdr:colOff>
      <xdr:row>1338</xdr:row>
      <xdr:rowOff>63500</xdr:rowOff>
    </xdr:to>
    <xdr:cxnSp macro="">
      <xdr:nvCxnSpPr>
        <xdr:cNvPr id="1857" name="Straight Arrow Connector 1856">
          <a:extLst>
            <a:ext uri="{FF2B5EF4-FFF2-40B4-BE49-F238E27FC236}">
              <a16:creationId xmlns:a16="http://schemas.microsoft.com/office/drawing/2014/main" id="{00000000-0008-0000-1200-000041070000}"/>
            </a:ext>
          </a:extLst>
        </xdr:cNvPr>
        <xdr:cNvCxnSpPr/>
      </xdr:nvCxnSpPr>
      <xdr:spPr>
        <a:xfrm flipV="1">
          <a:off x="8794750" y="17070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1341</xdr:row>
      <xdr:rowOff>0</xdr:rowOff>
    </xdr:from>
    <xdr:to>
      <xdr:col>14</xdr:col>
      <xdr:colOff>10584</xdr:colOff>
      <xdr:row>1349</xdr:row>
      <xdr:rowOff>148167</xdr:rowOff>
    </xdr:to>
    <xdr:cxnSp macro="">
      <xdr:nvCxnSpPr>
        <xdr:cNvPr id="1858" name="Straight Arrow Connector 1857">
          <a:extLst>
            <a:ext uri="{FF2B5EF4-FFF2-40B4-BE49-F238E27FC236}">
              <a16:creationId xmlns:a16="http://schemas.microsoft.com/office/drawing/2014/main" id="{00000000-0008-0000-1200-000042070000}"/>
            </a:ext>
          </a:extLst>
        </xdr:cNvPr>
        <xdr:cNvCxnSpPr/>
      </xdr:nvCxnSpPr>
      <xdr:spPr>
        <a:xfrm>
          <a:off x="8805333" y="171640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95250</xdr:rowOff>
    </xdr:from>
    <xdr:to>
      <xdr:col>15</xdr:col>
      <xdr:colOff>582083</xdr:colOff>
      <xdr:row>1314</xdr:row>
      <xdr:rowOff>137583</xdr:rowOff>
    </xdr:to>
    <xdr:cxnSp macro="">
      <xdr:nvCxnSpPr>
        <xdr:cNvPr id="1859" name="Straight Arrow Connector 1858">
          <a:extLst>
            <a:ext uri="{FF2B5EF4-FFF2-40B4-BE49-F238E27FC236}">
              <a16:creationId xmlns:a16="http://schemas.microsoft.com/office/drawing/2014/main" id="{00000000-0008-0000-1200-000043070000}"/>
            </a:ext>
          </a:extLst>
        </xdr:cNvPr>
        <xdr:cNvCxnSpPr/>
      </xdr:nvCxnSpPr>
      <xdr:spPr>
        <a:xfrm>
          <a:off x="10593916" y="166020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1321</xdr:row>
      <xdr:rowOff>52916</xdr:rowOff>
    </xdr:from>
    <xdr:to>
      <xdr:col>16</xdr:col>
      <xdr:colOff>0</xdr:colOff>
      <xdr:row>1323</xdr:row>
      <xdr:rowOff>0</xdr:rowOff>
    </xdr:to>
    <xdr:cxnSp macro="">
      <xdr:nvCxnSpPr>
        <xdr:cNvPr id="1860" name="Straight Arrow Connector 1859">
          <a:extLst>
            <a:ext uri="{FF2B5EF4-FFF2-40B4-BE49-F238E27FC236}">
              <a16:creationId xmlns:a16="http://schemas.microsoft.com/office/drawing/2014/main" id="{00000000-0008-0000-1200-000044070000}"/>
            </a:ext>
          </a:extLst>
        </xdr:cNvPr>
        <xdr:cNvCxnSpPr/>
      </xdr:nvCxnSpPr>
      <xdr:spPr>
        <a:xfrm flipV="1">
          <a:off x="10541000" y="167692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21167</xdr:rowOff>
    </xdr:from>
    <xdr:to>
      <xdr:col>15</xdr:col>
      <xdr:colOff>592666</xdr:colOff>
      <xdr:row>1324</xdr:row>
      <xdr:rowOff>84667</xdr:rowOff>
    </xdr:to>
    <xdr:cxnSp macro="">
      <xdr:nvCxnSpPr>
        <xdr:cNvPr id="1861" name="Straight Arrow Connector 1860">
          <a:extLst>
            <a:ext uri="{FF2B5EF4-FFF2-40B4-BE49-F238E27FC236}">
              <a16:creationId xmlns:a16="http://schemas.microsoft.com/office/drawing/2014/main" id="{00000000-0008-0000-1200-000045070000}"/>
            </a:ext>
          </a:extLst>
        </xdr:cNvPr>
        <xdr:cNvCxnSpPr/>
      </xdr:nvCxnSpPr>
      <xdr:spPr>
        <a:xfrm>
          <a:off x="10530417" y="168042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0</xdr:rowOff>
    </xdr:from>
    <xdr:to>
      <xdr:col>16</xdr:col>
      <xdr:colOff>0</xdr:colOff>
      <xdr:row>1327</xdr:row>
      <xdr:rowOff>42334</xdr:rowOff>
    </xdr:to>
    <xdr:cxnSp macro="">
      <xdr:nvCxnSpPr>
        <xdr:cNvPr id="1862" name="Straight Arrow Connector 1861">
          <a:extLst>
            <a:ext uri="{FF2B5EF4-FFF2-40B4-BE49-F238E27FC236}">
              <a16:creationId xmlns:a16="http://schemas.microsoft.com/office/drawing/2014/main" id="{00000000-0008-0000-1200-000046070000}"/>
            </a:ext>
          </a:extLst>
        </xdr:cNvPr>
        <xdr:cNvCxnSpPr/>
      </xdr:nvCxnSpPr>
      <xdr:spPr>
        <a:xfrm>
          <a:off x="10530417" y="1680210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1334</xdr:row>
      <xdr:rowOff>0</xdr:rowOff>
    </xdr:from>
    <xdr:to>
      <xdr:col>15</xdr:col>
      <xdr:colOff>603250</xdr:colOff>
      <xdr:row>1336</xdr:row>
      <xdr:rowOff>1</xdr:rowOff>
    </xdr:to>
    <xdr:cxnSp macro="">
      <xdr:nvCxnSpPr>
        <xdr:cNvPr id="1863" name="Straight Arrow Connector 1862">
          <a:extLst>
            <a:ext uri="{FF2B5EF4-FFF2-40B4-BE49-F238E27FC236}">
              <a16:creationId xmlns:a16="http://schemas.microsoft.com/office/drawing/2014/main" id="{00000000-0008-0000-1200-000047070000}"/>
            </a:ext>
          </a:extLst>
        </xdr:cNvPr>
        <xdr:cNvCxnSpPr/>
      </xdr:nvCxnSpPr>
      <xdr:spPr>
        <a:xfrm flipV="1">
          <a:off x="10530417" y="17030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1336</xdr:row>
      <xdr:rowOff>10584</xdr:rowOff>
    </xdr:from>
    <xdr:to>
      <xdr:col>15</xdr:col>
      <xdr:colOff>592666</xdr:colOff>
      <xdr:row>1337</xdr:row>
      <xdr:rowOff>95250</xdr:rowOff>
    </xdr:to>
    <xdr:cxnSp macro="">
      <xdr:nvCxnSpPr>
        <xdr:cNvPr id="1864" name="Straight Arrow Connector 1863">
          <a:extLst>
            <a:ext uri="{FF2B5EF4-FFF2-40B4-BE49-F238E27FC236}">
              <a16:creationId xmlns:a16="http://schemas.microsoft.com/office/drawing/2014/main" id="{00000000-0008-0000-1200-000048070000}"/>
            </a:ext>
          </a:extLst>
        </xdr:cNvPr>
        <xdr:cNvCxnSpPr/>
      </xdr:nvCxnSpPr>
      <xdr:spPr>
        <a:xfrm>
          <a:off x="10572750" y="17069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1336</xdr:row>
      <xdr:rowOff>10584</xdr:rowOff>
    </xdr:from>
    <xdr:to>
      <xdr:col>15</xdr:col>
      <xdr:colOff>560916</xdr:colOff>
      <xdr:row>1340</xdr:row>
      <xdr:rowOff>52917</xdr:rowOff>
    </xdr:to>
    <xdr:cxnSp macro="">
      <xdr:nvCxnSpPr>
        <xdr:cNvPr id="1865" name="Straight Arrow Connector 1864">
          <a:extLst>
            <a:ext uri="{FF2B5EF4-FFF2-40B4-BE49-F238E27FC236}">
              <a16:creationId xmlns:a16="http://schemas.microsoft.com/office/drawing/2014/main" id="{00000000-0008-0000-1200-000049070000}"/>
            </a:ext>
          </a:extLst>
        </xdr:cNvPr>
        <xdr:cNvCxnSpPr/>
      </xdr:nvCxnSpPr>
      <xdr:spPr>
        <a:xfrm>
          <a:off x="10551583" y="17069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1866" name="Straight Arrow Connector 1865">
          <a:extLst>
            <a:ext uri="{FF2B5EF4-FFF2-40B4-BE49-F238E27FC236}">
              <a16:creationId xmlns:a16="http://schemas.microsoft.com/office/drawing/2014/main" id="{00000000-0008-0000-1200-00004A070000}"/>
            </a:ext>
          </a:extLst>
        </xdr:cNvPr>
        <xdr:cNvCxnSpPr/>
      </xdr:nvCxnSpPr>
      <xdr:spPr>
        <a:xfrm>
          <a:off x="10583333" y="170719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1350</xdr:row>
      <xdr:rowOff>0</xdr:rowOff>
    </xdr:from>
    <xdr:to>
      <xdr:col>16</xdr:col>
      <xdr:colOff>0</xdr:colOff>
      <xdr:row>1350</xdr:row>
      <xdr:rowOff>42334</xdr:rowOff>
    </xdr:to>
    <xdr:cxnSp macro="">
      <xdr:nvCxnSpPr>
        <xdr:cNvPr id="1867" name="Straight Arrow Connector 1866">
          <a:extLst>
            <a:ext uri="{FF2B5EF4-FFF2-40B4-BE49-F238E27FC236}">
              <a16:creationId xmlns:a16="http://schemas.microsoft.com/office/drawing/2014/main" id="{00000000-0008-0000-1200-00004B070000}"/>
            </a:ext>
          </a:extLst>
        </xdr:cNvPr>
        <xdr:cNvCxnSpPr/>
      </xdr:nvCxnSpPr>
      <xdr:spPr>
        <a:xfrm>
          <a:off x="10562166" y="173355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1350</xdr:row>
      <xdr:rowOff>21166</xdr:rowOff>
    </xdr:from>
    <xdr:to>
      <xdr:col>15</xdr:col>
      <xdr:colOff>560916</xdr:colOff>
      <xdr:row>1353</xdr:row>
      <xdr:rowOff>84667</xdr:rowOff>
    </xdr:to>
    <xdr:cxnSp macro="">
      <xdr:nvCxnSpPr>
        <xdr:cNvPr id="1868" name="Straight Arrow Connector 1867">
          <a:extLst>
            <a:ext uri="{FF2B5EF4-FFF2-40B4-BE49-F238E27FC236}">
              <a16:creationId xmlns:a16="http://schemas.microsoft.com/office/drawing/2014/main" id="{00000000-0008-0000-1200-00004C070000}"/>
            </a:ext>
          </a:extLst>
        </xdr:cNvPr>
        <xdr:cNvCxnSpPr/>
      </xdr:nvCxnSpPr>
      <xdr:spPr>
        <a:xfrm>
          <a:off x="10615083" y="17337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1350</xdr:row>
      <xdr:rowOff>52916</xdr:rowOff>
    </xdr:from>
    <xdr:to>
      <xdr:col>15</xdr:col>
      <xdr:colOff>592666</xdr:colOff>
      <xdr:row>1356</xdr:row>
      <xdr:rowOff>63501</xdr:rowOff>
    </xdr:to>
    <xdr:cxnSp macro="">
      <xdr:nvCxnSpPr>
        <xdr:cNvPr id="1869" name="Straight Arrow Connector 1868">
          <a:extLst>
            <a:ext uri="{FF2B5EF4-FFF2-40B4-BE49-F238E27FC236}">
              <a16:creationId xmlns:a16="http://schemas.microsoft.com/office/drawing/2014/main" id="{00000000-0008-0000-1200-00004D070000}"/>
            </a:ext>
          </a:extLst>
        </xdr:cNvPr>
        <xdr:cNvCxnSpPr/>
      </xdr:nvCxnSpPr>
      <xdr:spPr>
        <a:xfrm>
          <a:off x="10572750" y="17340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1347</xdr:row>
      <xdr:rowOff>52917</xdr:rowOff>
    </xdr:from>
    <xdr:to>
      <xdr:col>15</xdr:col>
      <xdr:colOff>603250</xdr:colOff>
      <xdr:row>1349</xdr:row>
      <xdr:rowOff>148167</xdr:rowOff>
    </xdr:to>
    <xdr:cxnSp macro="">
      <xdr:nvCxnSpPr>
        <xdr:cNvPr id="1870" name="Straight Arrow Connector 1869">
          <a:extLst>
            <a:ext uri="{FF2B5EF4-FFF2-40B4-BE49-F238E27FC236}">
              <a16:creationId xmlns:a16="http://schemas.microsoft.com/office/drawing/2014/main" id="{00000000-0008-0000-1200-00004E070000}"/>
            </a:ext>
          </a:extLst>
        </xdr:cNvPr>
        <xdr:cNvCxnSpPr/>
      </xdr:nvCxnSpPr>
      <xdr:spPr>
        <a:xfrm flipV="1">
          <a:off x="10583333" y="17283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1258</xdr:row>
      <xdr:rowOff>127000</xdr:rowOff>
    </xdr:from>
    <xdr:to>
      <xdr:col>8</xdr:col>
      <xdr:colOff>63500</xdr:colOff>
      <xdr:row>1277</xdr:row>
      <xdr:rowOff>0</xdr:rowOff>
    </xdr:to>
    <xdr:cxnSp macro="">
      <xdr:nvCxnSpPr>
        <xdr:cNvPr id="1871" name="Straight Arrow Connector 1870">
          <a:extLst>
            <a:ext uri="{FF2B5EF4-FFF2-40B4-BE49-F238E27FC236}">
              <a16:creationId xmlns:a16="http://schemas.microsoft.com/office/drawing/2014/main" id="{00000000-0008-0000-1200-00004F070000}"/>
            </a:ext>
          </a:extLst>
        </xdr:cNvPr>
        <xdr:cNvCxnSpPr/>
      </xdr:nvCxnSpPr>
      <xdr:spPr>
        <a:xfrm flipV="1">
          <a:off x="5207000" y="1555750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1872" name="Straight Arrow Connector 1871">
          <a:extLst>
            <a:ext uri="{FF2B5EF4-FFF2-40B4-BE49-F238E27FC236}">
              <a16:creationId xmlns:a16="http://schemas.microsoft.com/office/drawing/2014/main" id="{00000000-0008-0000-1200-000050070000}"/>
            </a:ext>
          </a:extLst>
        </xdr:cNvPr>
        <xdr:cNvCxnSpPr/>
      </xdr:nvCxnSpPr>
      <xdr:spPr>
        <a:xfrm flipV="1">
          <a:off x="603250" y="175842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1873" name="Straight Arrow Connector 1872">
          <a:extLst>
            <a:ext uri="{FF2B5EF4-FFF2-40B4-BE49-F238E27FC236}">
              <a16:creationId xmlns:a16="http://schemas.microsoft.com/office/drawing/2014/main" id="{00000000-0008-0000-1200-000051070000}"/>
            </a:ext>
          </a:extLst>
        </xdr:cNvPr>
        <xdr:cNvCxnSpPr/>
      </xdr:nvCxnSpPr>
      <xdr:spPr>
        <a:xfrm>
          <a:off x="603250" y="194669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1874" name="Straight Arrow Connector 1873">
          <a:extLst>
            <a:ext uri="{FF2B5EF4-FFF2-40B4-BE49-F238E27FC236}">
              <a16:creationId xmlns:a16="http://schemas.microsoft.com/office/drawing/2014/main" id="{00000000-0008-0000-1200-000052070000}"/>
            </a:ext>
          </a:extLst>
        </xdr:cNvPr>
        <xdr:cNvCxnSpPr/>
      </xdr:nvCxnSpPr>
      <xdr:spPr>
        <a:xfrm flipV="1">
          <a:off x="2296584" y="189896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1875" name="Straight Arrow Connector 1874">
          <a:extLst>
            <a:ext uri="{FF2B5EF4-FFF2-40B4-BE49-F238E27FC236}">
              <a16:creationId xmlns:a16="http://schemas.microsoft.com/office/drawing/2014/main" id="{00000000-0008-0000-1200-000053070000}"/>
            </a:ext>
          </a:extLst>
        </xdr:cNvPr>
        <xdr:cNvCxnSpPr/>
      </xdr:nvCxnSpPr>
      <xdr:spPr>
        <a:xfrm>
          <a:off x="2307167" y="203274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1876" name="Straight Arrow Connector 1875">
          <a:extLst>
            <a:ext uri="{FF2B5EF4-FFF2-40B4-BE49-F238E27FC236}">
              <a16:creationId xmlns:a16="http://schemas.microsoft.com/office/drawing/2014/main" id="{00000000-0008-0000-1200-000054070000}"/>
            </a:ext>
          </a:extLst>
        </xdr:cNvPr>
        <xdr:cNvCxnSpPr/>
      </xdr:nvCxnSpPr>
      <xdr:spPr>
        <a:xfrm flipV="1">
          <a:off x="3714750" y="182689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1877" name="Straight Arrow Connector 1876">
          <a:extLst>
            <a:ext uri="{FF2B5EF4-FFF2-40B4-BE49-F238E27FC236}">
              <a16:creationId xmlns:a16="http://schemas.microsoft.com/office/drawing/2014/main" id="{00000000-0008-0000-1200-000055070000}"/>
            </a:ext>
          </a:extLst>
        </xdr:cNvPr>
        <xdr:cNvCxnSpPr/>
      </xdr:nvCxnSpPr>
      <xdr:spPr>
        <a:xfrm>
          <a:off x="3799417" y="189907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1878" name="Straight Arrow Connector 1877">
          <a:extLst>
            <a:ext uri="{FF2B5EF4-FFF2-40B4-BE49-F238E27FC236}">
              <a16:creationId xmlns:a16="http://schemas.microsoft.com/office/drawing/2014/main" id="{00000000-0008-0000-1200-000056070000}"/>
            </a:ext>
          </a:extLst>
        </xdr:cNvPr>
        <xdr:cNvCxnSpPr/>
      </xdr:nvCxnSpPr>
      <xdr:spPr>
        <a:xfrm flipV="1">
          <a:off x="5175250" y="177884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1879" name="Straight Arrow Connector 1878">
          <a:extLst>
            <a:ext uri="{FF2B5EF4-FFF2-40B4-BE49-F238E27FC236}">
              <a16:creationId xmlns:a16="http://schemas.microsoft.com/office/drawing/2014/main" id="{00000000-0008-0000-1200-000057070000}"/>
            </a:ext>
          </a:extLst>
        </xdr:cNvPr>
        <xdr:cNvCxnSpPr/>
      </xdr:nvCxnSpPr>
      <xdr:spPr>
        <a:xfrm>
          <a:off x="5175250" y="182700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1880" name="Straight Arrow Connector 1879">
          <a:extLst>
            <a:ext uri="{FF2B5EF4-FFF2-40B4-BE49-F238E27FC236}">
              <a16:creationId xmlns:a16="http://schemas.microsoft.com/office/drawing/2014/main" id="{00000000-0008-0000-1200-000058070000}"/>
            </a:ext>
          </a:extLst>
        </xdr:cNvPr>
        <xdr:cNvCxnSpPr/>
      </xdr:nvCxnSpPr>
      <xdr:spPr>
        <a:xfrm flipV="1">
          <a:off x="6381750" y="176350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1881" name="Straight Arrow Connector 1880">
          <a:extLst>
            <a:ext uri="{FF2B5EF4-FFF2-40B4-BE49-F238E27FC236}">
              <a16:creationId xmlns:a16="http://schemas.microsoft.com/office/drawing/2014/main" id="{00000000-0008-0000-1200-000059070000}"/>
            </a:ext>
          </a:extLst>
        </xdr:cNvPr>
        <xdr:cNvCxnSpPr/>
      </xdr:nvCxnSpPr>
      <xdr:spPr>
        <a:xfrm>
          <a:off x="6413500" y="177927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1882" name="Straight Arrow Connector 1881">
          <a:extLst>
            <a:ext uri="{FF2B5EF4-FFF2-40B4-BE49-F238E27FC236}">
              <a16:creationId xmlns:a16="http://schemas.microsoft.com/office/drawing/2014/main" id="{00000000-0008-0000-1200-00005A070000}"/>
            </a:ext>
          </a:extLst>
        </xdr:cNvPr>
        <xdr:cNvCxnSpPr/>
      </xdr:nvCxnSpPr>
      <xdr:spPr>
        <a:xfrm flipV="1">
          <a:off x="7609417" y="179048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1883" name="Straight Arrow Connector 1882">
          <a:extLst>
            <a:ext uri="{FF2B5EF4-FFF2-40B4-BE49-F238E27FC236}">
              <a16:creationId xmlns:a16="http://schemas.microsoft.com/office/drawing/2014/main" id="{00000000-0008-0000-1200-00005B070000}"/>
            </a:ext>
          </a:extLst>
        </xdr:cNvPr>
        <xdr:cNvCxnSpPr/>
      </xdr:nvCxnSpPr>
      <xdr:spPr>
        <a:xfrm>
          <a:off x="7598834" y="18006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1884" name="Straight Arrow Connector 1883">
          <a:extLst>
            <a:ext uri="{FF2B5EF4-FFF2-40B4-BE49-F238E27FC236}">
              <a16:creationId xmlns:a16="http://schemas.microsoft.com/office/drawing/2014/main" id="{00000000-0008-0000-1200-00005C070000}"/>
            </a:ext>
          </a:extLst>
        </xdr:cNvPr>
        <xdr:cNvCxnSpPr/>
      </xdr:nvCxnSpPr>
      <xdr:spPr>
        <a:xfrm flipV="1">
          <a:off x="8794750" y="178138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1885" name="Straight Arrow Connector 1884">
          <a:extLst>
            <a:ext uri="{FF2B5EF4-FFF2-40B4-BE49-F238E27FC236}">
              <a16:creationId xmlns:a16="http://schemas.microsoft.com/office/drawing/2014/main" id="{00000000-0008-0000-1200-00005D070000}"/>
            </a:ext>
          </a:extLst>
        </xdr:cNvPr>
        <xdr:cNvCxnSpPr/>
      </xdr:nvCxnSpPr>
      <xdr:spPr>
        <a:xfrm>
          <a:off x="8784166" y="179091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1886" name="Straight Arrow Connector 1885">
          <a:extLst>
            <a:ext uri="{FF2B5EF4-FFF2-40B4-BE49-F238E27FC236}">
              <a16:creationId xmlns:a16="http://schemas.microsoft.com/office/drawing/2014/main" id="{00000000-0008-0000-1200-00005E070000}"/>
            </a:ext>
          </a:extLst>
        </xdr:cNvPr>
        <xdr:cNvCxnSpPr/>
      </xdr:nvCxnSpPr>
      <xdr:spPr>
        <a:xfrm flipV="1">
          <a:off x="8794750" y="18213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1887" name="Straight Arrow Connector 1886">
          <a:extLst>
            <a:ext uri="{FF2B5EF4-FFF2-40B4-BE49-F238E27FC236}">
              <a16:creationId xmlns:a16="http://schemas.microsoft.com/office/drawing/2014/main" id="{00000000-0008-0000-1200-00005F070000}"/>
            </a:ext>
          </a:extLst>
        </xdr:cNvPr>
        <xdr:cNvCxnSpPr/>
      </xdr:nvCxnSpPr>
      <xdr:spPr>
        <a:xfrm>
          <a:off x="8805333" y="183070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1368</xdr:row>
      <xdr:rowOff>0</xdr:rowOff>
    </xdr:from>
    <xdr:to>
      <xdr:col>15</xdr:col>
      <xdr:colOff>603250</xdr:colOff>
      <xdr:row>1373</xdr:row>
      <xdr:rowOff>31750</xdr:rowOff>
    </xdr:to>
    <xdr:cxnSp macro="">
      <xdr:nvCxnSpPr>
        <xdr:cNvPr id="1888" name="Straight Arrow Connector 1887">
          <a:extLst>
            <a:ext uri="{FF2B5EF4-FFF2-40B4-BE49-F238E27FC236}">
              <a16:creationId xmlns:a16="http://schemas.microsoft.com/office/drawing/2014/main" id="{00000000-0008-0000-1200-000060070000}"/>
            </a:ext>
          </a:extLst>
        </xdr:cNvPr>
        <xdr:cNvCxnSpPr/>
      </xdr:nvCxnSpPr>
      <xdr:spPr>
        <a:xfrm flipV="1">
          <a:off x="10541000" y="176593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1889" name="Straight Arrow Connector 1888">
          <a:extLst>
            <a:ext uri="{FF2B5EF4-FFF2-40B4-BE49-F238E27FC236}">
              <a16:creationId xmlns:a16="http://schemas.microsoft.com/office/drawing/2014/main" id="{00000000-0008-0000-1200-000061070000}"/>
            </a:ext>
          </a:extLst>
        </xdr:cNvPr>
        <xdr:cNvCxnSpPr/>
      </xdr:nvCxnSpPr>
      <xdr:spPr>
        <a:xfrm flipV="1">
          <a:off x="10583333" y="177217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1890" name="Straight Arrow Connector 1889">
          <a:extLst>
            <a:ext uri="{FF2B5EF4-FFF2-40B4-BE49-F238E27FC236}">
              <a16:creationId xmlns:a16="http://schemas.microsoft.com/office/drawing/2014/main" id="{00000000-0008-0000-1200-000062070000}"/>
            </a:ext>
          </a:extLst>
        </xdr:cNvPr>
        <xdr:cNvCxnSpPr/>
      </xdr:nvCxnSpPr>
      <xdr:spPr>
        <a:xfrm>
          <a:off x="10604500" y="177704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1891" name="Straight Arrow Connector 1890">
          <a:extLst>
            <a:ext uri="{FF2B5EF4-FFF2-40B4-BE49-F238E27FC236}">
              <a16:creationId xmlns:a16="http://schemas.microsoft.com/office/drawing/2014/main" id="{00000000-0008-0000-1200-000063070000}"/>
            </a:ext>
          </a:extLst>
        </xdr:cNvPr>
        <xdr:cNvCxnSpPr/>
      </xdr:nvCxnSpPr>
      <xdr:spPr>
        <a:xfrm>
          <a:off x="10519834" y="177651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1381</xdr:row>
      <xdr:rowOff>52916</xdr:rowOff>
    </xdr:from>
    <xdr:to>
      <xdr:col>16</xdr:col>
      <xdr:colOff>0</xdr:colOff>
      <xdr:row>1383</xdr:row>
      <xdr:rowOff>0</xdr:rowOff>
    </xdr:to>
    <xdr:cxnSp macro="">
      <xdr:nvCxnSpPr>
        <xdr:cNvPr id="1892" name="Straight Arrow Connector 1891">
          <a:extLst>
            <a:ext uri="{FF2B5EF4-FFF2-40B4-BE49-F238E27FC236}">
              <a16:creationId xmlns:a16="http://schemas.microsoft.com/office/drawing/2014/main" id="{00000000-0008-0000-1200-000064070000}"/>
            </a:ext>
          </a:extLst>
        </xdr:cNvPr>
        <xdr:cNvCxnSpPr/>
      </xdr:nvCxnSpPr>
      <xdr:spPr>
        <a:xfrm flipV="1">
          <a:off x="10541000" y="179122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1893" name="Straight Arrow Connector 1892">
          <a:extLst>
            <a:ext uri="{FF2B5EF4-FFF2-40B4-BE49-F238E27FC236}">
              <a16:creationId xmlns:a16="http://schemas.microsoft.com/office/drawing/2014/main" id="{00000000-0008-0000-1200-000065070000}"/>
            </a:ext>
          </a:extLst>
        </xdr:cNvPr>
        <xdr:cNvCxnSpPr/>
      </xdr:nvCxnSpPr>
      <xdr:spPr>
        <a:xfrm>
          <a:off x="10551583" y="179472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1894" name="Straight Arrow Connector 1893">
          <a:extLst>
            <a:ext uri="{FF2B5EF4-FFF2-40B4-BE49-F238E27FC236}">
              <a16:creationId xmlns:a16="http://schemas.microsoft.com/office/drawing/2014/main" id="{00000000-0008-0000-1200-000066070000}"/>
            </a:ext>
          </a:extLst>
        </xdr:cNvPr>
        <xdr:cNvCxnSpPr/>
      </xdr:nvCxnSpPr>
      <xdr:spPr>
        <a:xfrm>
          <a:off x="10530417" y="179472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1383</xdr:row>
      <xdr:rowOff>31750</xdr:rowOff>
    </xdr:from>
    <xdr:to>
      <xdr:col>16</xdr:col>
      <xdr:colOff>42334</xdr:colOff>
      <xdr:row>1390</xdr:row>
      <xdr:rowOff>63501</xdr:rowOff>
    </xdr:to>
    <xdr:cxnSp macro="">
      <xdr:nvCxnSpPr>
        <xdr:cNvPr id="1895" name="Straight Arrow Connector 1894">
          <a:extLst>
            <a:ext uri="{FF2B5EF4-FFF2-40B4-BE49-F238E27FC236}">
              <a16:creationId xmlns:a16="http://schemas.microsoft.com/office/drawing/2014/main" id="{00000000-0008-0000-1200-000067070000}"/>
            </a:ext>
          </a:extLst>
        </xdr:cNvPr>
        <xdr:cNvCxnSpPr/>
      </xdr:nvCxnSpPr>
      <xdr:spPr>
        <a:xfrm>
          <a:off x="10541000" y="179482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1896" name="Straight Arrow Connector 1895">
          <a:extLst>
            <a:ext uri="{FF2B5EF4-FFF2-40B4-BE49-F238E27FC236}">
              <a16:creationId xmlns:a16="http://schemas.microsoft.com/office/drawing/2014/main" id="{00000000-0008-0000-1200-000068070000}"/>
            </a:ext>
          </a:extLst>
        </xdr:cNvPr>
        <xdr:cNvCxnSpPr/>
      </xdr:nvCxnSpPr>
      <xdr:spPr>
        <a:xfrm flipV="1">
          <a:off x="6392333" y="186732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1897" name="Straight Arrow Connector 1896">
          <a:extLst>
            <a:ext uri="{FF2B5EF4-FFF2-40B4-BE49-F238E27FC236}">
              <a16:creationId xmlns:a16="http://schemas.microsoft.com/office/drawing/2014/main" id="{00000000-0008-0000-1200-000069070000}"/>
            </a:ext>
          </a:extLst>
        </xdr:cNvPr>
        <xdr:cNvCxnSpPr/>
      </xdr:nvCxnSpPr>
      <xdr:spPr>
        <a:xfrm>
          <a:off x="6413500" y="188764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1898" name="Straight Arrow Connector 1897">
          <a:extLst>
            <a:ext uri="{FF2B5EF4-FFF2-40B4-BE49-F238E27FC236}">
              <a16:creationId xmlns:a16="http://schemas.microsoft.com/office/drawing/2014/main" id="{00000000-0008-0000-1200-00006A070000}"/>
            </a:ext>
          </a:extLst>
        </xdr:cNvPr>
        <xdr:cNvCxnSpPr/>
      </xdr:nvCxnSpPr>
      <xdr:spPr>
        <a:xfrm flipV="1">
          <a:off x="7556500" y="189896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1899" name="Straight Arrow Connector 1898">
          <a:extLst>
            <a:ext uri="{FF2B5EF4-FFF2-40B4-BE49-F238E27FC236}">
              <a16:creationId xmlns:a16="http://schemas.microsoft.com/office/drawing/2014/main" id="{00000000-0008-0000-1200-00006B070000}"/>
            </a:ext>
          </a:extLst>
        </xdr:cNvPr>
        <xdr:cNvCxnSpPr/>
      </xdr:nvCxnSpPr>
      <xdr:spPr>
        <a:xfrm flipV="1">
          <a:off x="10530417" y="18173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1900" name="Straight Arrow Connector 1899">
          <a:extLst>
            <a:ext uri="{FF2B5EF4-FFF2-40B4-BE49-F238E27FC236}">
              <a16:creationId xmlns:a16="http://schemas.microsoft.com/office/drawing/2014/main" id="{00000000-0008-0000-1200-00006C070000}"/>
            </a:ext>
          </a:extLst>
        </xdr:cNvPr>
        <xdr:cNvCxnSpPr/>
      </xdr:nvCxnSpPr>
      <xdr:spPr>
        <a:xfrm>
          <a:off x="10572750" y="18212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1901" name="Straight Arrow Connector 1900">
          <a:extLst>
            <a:ext uri="{FF2B5EF4-FFF2-40B4-BE49-F238E27FC236}">
              <a16:creationId xmlns:a16="http://schemas.microsoft.com/office/drawing/2014/main" id="{00000000-0008-0000-1200-00006D070000}"/>
            </a:ext>
          </a:extLst>
        </xdr:cNvPr>
        <xdr:cNvCxnSpPr/>
      </xdr:nvCxnSpPr>
      <xdr:spPr>
        <a:xfrm>
          <a:off x="10551583" y="18212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1902" name="Straight Arrow Connector 1901">
          <a:extLst>
            <a:ext uri="{FF2B5EF4-FFF2-40B4-BE49-F238E27FC236}">
              <a16:creationId xmlns:a16="http://schemas.microsoft.com/office/drawing/2014/main" id="{00000000-0008-0000-1200-00006E070000}"/>
            </a:ext>
          </a:extLst>
        </xdr:cNvPr>
        <xdr:cNvCxnSpPr/>
      </xdr:nvCxnSpPr>
      <xdr:spPr>
        <a:xfrm>
          <a:off x="10583333" y="182149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1903" name="Straight Arrow Connector 1902">
          <a:extLst>
            <a:ext uri="{FF2B5EF4-FFF2-40B4-BE49-F238E27FC236}">
              <a16:creationId xmlns:a16="http://schemas.microsoft.com/office/drawing/2014/main" id="{00000000-0008-0000-1200-00006F070000}"/>
            </a:ext>
          </a:extLst>
        </xdr:cNvPr>
        <xdr:cNvCxnSpPr/>
      </xdr:nvCxnSpPr>
      <xdr:spPr>
        <a:xfrm>
          <a:off x="10562166" y="184785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1904" name="Straight Arrow Connector 1903">
          <a:extLst>
            <a:ext uri="{FF2B5EF4-FFF2-40B4-BE49-F238E27FC236}">
              <a16:creationId xmlns:a16="http://schemas.microsoft.com/office/drawing/2014/main" id="{00000000-0008-0000-1200-000070070000}"/>
            </a:ext>
          </a:extLst>
        </xdr:cNvPr>
        <xdr:cNvCxnSpPr/>
      </xdr:nvCxnSpPr>
      <xdr:spPr>
        <a:xfrm>
          <a:off x="10615083" y="18480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1905" name="Straight Arrow Connector 1904">
          <a:extLst>
            <a:ext uri="{FF2B5EF4-FFF2-40B4-BE49-F238E27FC236}">
              <a16:creationId xmlns:a16="http://schemas.microsoft.com/office/drawing/2014/main" id="{00000000-0008-0000-1200-000071070000}"/>
            </a:ext>
          </a:extLst>
        </xdr:cNvPr>
        <xdr:cNvCxnSpPr/>
      </xdr:nvCxnSpPr>
      <xdr:spPr>
        <a:xfrm>
          <a:off x="10572750" y="18483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1906" name="Straight Arrow Connector 1905">
          <a:extLst>
            <a:ext uri="{FF2B5EF4-FFF2-40B4-BE49-F238E27FC236}">
              <a16:creationId xmlns:a16="http://schemas.microsoft.com/office/drawing/2014/main" id="{00000000-0008-0000-1200-000072070000}"/>
            </a:ext>
          </a:extLst>
        </xdr:cNvPr>
        <xdr:cNvCxnSpPr/>
      </xdr:nvCxnSpPr>
      <xdr:spPr>
        <a:xfrm flipV="1">
          <a:off x="10562166" y="187568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1907" name="Straight Arrow Connector 1906">
          <a:extLst>
            <a:ext uri="{FF2B5EF4-FFF2-40B4-BE49-F238E27FC236}">
              <a16:creationId xmlns:a16="http://schemas.microsoft.com/office/drawing/2014/main" id="{00000000-0008-0000-1200-000073070000}"/>
            </a:ext>
          </a:extLst>
        </xdr:cNvPr>
        <xdr:cNvCxnSpPr/>
      </xdr:nvCxnSpPr>
      <xdr:spPr>
        <a:xfrm flipV="1">
          <a:off x="10604500" y="187928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1908" name="Straight Arrow Connector 1907">
          <a:extLst>
            <a:ext uri="{FF2B5EF4-FFF2-40B4-BE49-F238E27FC236}">
              <a16:creationId xmlns:a16="http://schemas.microsoft.com/office/drawing/2014/main" id="{00000000-0008-0000-1200-000074070000}"/>
            </a:ext>
          </a:extLst>
        </xdr:cNvPr>
        <xdr:cNvCxnSpPr/>
      </xdr:nvCxnSpPr>
      <xdr:spPr>
        <a:xfrm>
          <a:off x="10593916" y="188330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1909" name="Straight Arrow Connector 1908">
          <a:extLst>
            <a:ext uri="{FF2B5EF4-FFF2-40B4-BE49-F238E27FC236}">
              <a16:creationId xmlns:a16="http://schemas.microsoft.com/office/drawing/2014/main" id="{00000000-0008-0000-1200-000075070000}"/>
            </a:ext>
          </a:extLst>
        </xdr:cNvPr>
        <xdr:cNvCxnSpPr/>
      </xdr:nvCxnSpPr>
      <xdr:spPr>
        <a:xfrm>
          <a:off x="10572750" y="190425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1910" name="Straight Arrow Connector 1909">
          <a:extLst>
            <a:ext uri="{FF2B5EF4-FFF2-40B4-BE49-F238E27FC236}">
              <a16:creationId xmlns:a16="http://schemas.microsoft.com/office/drawing/2014/main" id="{00000000-0008-0000-1200-000076070000}"/>
            </a:ext>
          </a:extLst>
        </xdr:cNvPr>
        <xdr:cNvCxnSpPr/>
      </xdr:nvCxnSpPr>
      <xdr:spPr>
        <a:xfrm flipV="1">
          <a:off x="10583333" y="18426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1911" name="Straight Arrow Connector 1910">
          <a:extLst>
            <a:ext uri="{FF2B5EF4-FFF2-40B4-BE49-F238E27FC236}">
              <a16:creationId xmlns:a16="http://schemas.microsoft.com/office/drawing/2014/main" id="{00000000-0008-0000-1200-000077070000}"/>
            </a:ext>
          </a:extLst>
        </xdr:cNvPr>
        <xdr:cNvCxnSpPr/>
      </xdr:nvCxnSpPr>
      <xdr:spPr>
        <a:xfrm>
          <a:off x="7598834" y="190923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1912" name="Straight Arrow Connector 1911">
          <a:extLst>
            <a:ext uri="{FF2B5EF4-FFF2-40B4-BE49-F238E27FC236}">
              <a16:creationId xmlns:a16="http://schemas.microsoft.com/office/drawing/2014/main" id="{00000000-0008-0000-1200-000078070000}"/>
            </a:ext>
          </a:extLst>
        </xdr:cNvPr>
        <xdr:cNvCxnSpPr/>
      </xdr:nvCxnSpPr>
      <xdr:spPr>
        <a:xfrm flipV="1">
          <a:off x="8794750" y="188997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1913" name="Straight Arrow Connector 1912">
          <a:extLst>
            <a:ext uri="{FF2B5EF4-FFF2-40B4-BE49-F238E27FC236}">
              <a16:creationId xmlns:a16="http://schemas.microsoft.com/office/drawing/2014/main" id="{00000000-0008-0000-1200-000079070000}"/>
            </a:ext>
          </a:extLst>
        </xdr:cNvPr>
        <xdr:cNvCxnSpPr/>
      </xdr:nvCxnSpPr>
      <xdr:spPr>
        <a:xfrm>
          <a:off x="8784166" y="189949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1914" name="Straight Arrow Connector 1913">
          <a:extLst>
            <a:ext uri="{FF2B5EF4-FFF2-40B4-BE49-F238E27FC236}">
              <a16:creationId xmlns:a16="http://schemas.microsoft.com/office/drawing/2014/main" id="{00000000-0008-0000-1200-00007A070000}"/>
            </a:ext>
          </a:extLst>
        </xdr:cNvPr>
        <xdr:cNvCxnSpPr/>
      </xdr:nvCxnSpPr>
      <xdr:spPr>
        <a:xfrm flipV="1">
          <a:off x="8794750" y="192997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1915" name="Straight Arrow Connector 1914">
          <a:extLst>
            <a:ext uri="{FF2B5EF4-FFF2-40B4-BE49-F238E27FC236}">
              <a16:creationId xmlns:a16="http://schemas.microsoft.com/office/drawing/2014/main" id="{00000000-0008-0000-1200-00007B070000}"/>
            </a:ext>
          </a:extLst>
        </xdr:cNvPr>
        <xdr:cNvCxnSpPr/>
      </xdr:nvCxnSpPr>
      <xdr:spPr>
        <a:xfrm>
          <a:off x="8805333" y="193929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1916" name="Straight Arrow Connector 1915">
          <a:extLst>
            <a:ext uri="{FF2B5EF4-FFF2-40B4-BE49-F238E27FC236}">
              <a16:creationId xmlns:a16="http://schemas.microsoft.com/office/drawing/2014/main" id="{00000000-0008-0000-1200-00007C070000}"/>
            </a:ext>
          </a:extLst>
        </xdr:cNvPr>
        <xdr:cNvCxnSpPr/>
      </xdr:nvCxnSpPr>
      <xdr:spPr>
        <a:xfrm>
          <a:off x="10593916" y="188309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1437</xdr:row>
      <xdr:rowOff>52916</xdr:rowOff>
    </xdr:from>
    <xdr:to>
      <xdr:col>16</xdr:col>
      <xdr:colOff>0</xdr:colOff>
      <xdr:row>1439</xdr:row>
      <xdr:rowOff>0</xdr:rowOff>
    </xdr:to>
    <xdr:cxnSp macro="">
      <xdr:nvCxnSpPr>
        <xdr:cNvPr id="1917" name="Straight Arrow Connector 1916">
          <a:extLst>
            <a:ext uri="{FF2B5EF4-FFF2-40B4-BE49-F238E27FC236}">
              <a16:creationId xmlns:a16="http://schemas.microsoft.com/office/drawing/2014/main" id="{00000000-0008-0000-1200-00007D070000}"/>
            </a:ext>
          </a:extLst>
        </xdr:cNvPr>
        <xdr:cNvCxnSpPr/>
      </xdr:nvCxnSpPr>
      <xdr:spPr>
        <a:xfrm flipV="1">
          <a:off x="10541000" y="189981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1918" name="Straight Arrow Connector 1917">
          <a:extLst>
            <a:ext uri="{FF2B5EF4-FFF2-40B4-BE49-F238E27FC236}">
              <a16:creationId xmlns:a16="http://schemas.microsoft.com/office/drawing/2014/main" id="{00000000-0008-0000-1200-00007E070000}"/>
            </a:ext>
          </a:extLst>
        </xdr:cNvPr>
        <xdr:cNvCxnSpPr/>
      </xdr:nvCxnSpPr>
      <xdr:spPr>
        <a:xfrm>
          <a:off x="10530417" y="190330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1919" name="Straight Arrow Connector 1918">
          <a:extLst>
            <a:ext uri="{FF2B5EF4-FFF2-40B4-BE49-F238E27FC236}">
              <a16:creationId xmlns:a16="http://schemas.microsoft.com/office/drawing/2014/main" id="{00000000-0008-0000-1200-00007F070000}"/>
            </a:ext>
          </a:extLst>
        </xdr:cNvPr>
        <xdr:cNvCxnSpPr/>
      </xdr:nvCxnSpPr>
      <xdr:spPr>
        <a:xfrm>
          <a:off x="10530417" y="190309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1920" name="Straight Arrow Connector 1919">
          <a:extLst>
            <a:ext uri="{FF2B5EF4-FFF2-40B4-BE49-F238E27FC236}">
              <a16:creationId xmlns:a16="http://schemas.microsoft.com/office/drawing/2014/main" id="{00000000-0008-0000-1200-000080070000}"/>
            </a:ext>
          </a:extLst>
        </xdr:cNvPr>
        <xdr:cNvCxnSpPr/>
      </xdr:nvCxnSpPr>
      <xdr:spPr>
        <a:xfrm flipV="1">
          <a:off x="10530417" y="192595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1921" name="Straight Arrow Connector 1920">
          <a:extLst>
            <a:ext uri="{FF2B5EF4-FFF2-40B4-BE49-F238E27FC236}">
              <a16:creationId xmlns:a16="http://schemas.microsoft.com/office/drawing/2014/main" id="{00000000-0008-0000-1200-000081070000}"/>
            </a:ext>
          </a:extLst>
        </xdr:cNvPr>
        <xdr:cNvCxnSpPr/>
      </xdr:nvCxnSpPr>
      <xdr:spPr>
        <a:xfrm>
          <a:off x="10572750" y="192987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1922" name="Straight Arrow Connector 1921">
          <a:extLst>
            <a:ext uri="{FF2B5EF4-FFF2-40B4-BE49-F238E27FC236}">
              <a16:creationId xmlns:a16="http://schemas.microsoft.com/office/drawing/2014/main" id="{00000000-0008-0000-1200-000082070000}"/>
            </a:ext>
          </a:extLst>
        </xdr:cNvPr>
        <xdr:cNvCxnSpPr/>
      </xdr:nvCxnSpPr>
      <xdr:spPr>
        <a:xfrm>
          <a:off x="10551583" y="192987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1923" name="Straight Arrow Connector 1922">
          <a:extLst>
            <a:ext uri="{FF2B5EF4-FFF2-40B4-BE49-F238E27FC236}">
              <a16:creationId xmlns:a16="http://schemas.microsoft.com/office/drawing/2014/main" id="{00000000-0008-0000-1200-000083070000}"/>
            </a:ext>
          </a:extLst>
        </xdr:cNvPr>
        <xdr:cNvCxnSpPr/>
      </xdr:nvCxnSpPr>
      <xdr:spPr>
        <a:xfrm>
          <a:off x="10583333" y="193008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1928" name="Straight Arrow Connector 1927">
          <a:extLst>
            <a:ext uri="{FF2B5EF4-FFF2-40B4-BE49-F238E27FC236}">
              <a16:creationId xmlns:a16="http://schemas.microsoft.com/office/drawing/2014/main" id="{00000000-0008-0000-1200-000088070000}"/>
            </a:ext>
          </a:extLst>
        </xdr:cNvPr>
        <xdr:cNvCxnSpPr/>
      </xdr:nvCxnSpPr>
      <xdr:spPr>
        <a:xfrm>
          <a:off x="5080000" y="203739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1929" name="Straight Arrow Connector 1928">
          <a:extLst>
            <a:ext uri="{FF2B5EF4-FFF2-40B4-BE49-F238E27FC236}">
              <a16:creationId xmlns:a16="http://schemas.microsoft.com/office/drawing/2014/main" id="{00000000-0008-0000-1200-000089070000}"/>
            </a:ext>
          </a:extLst>
        </xdr:cNvPr>
        <xdr:cNvCxnSpPr/>
      </xdr:nvCxnSpPr>
      <xdr:spPr>
        <a:xfrm flipV="1">
          <a:off x="6381750" y="198067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1930" name="Straight Arrow Connector 1929">
          <a:extLst>
            <a:ext uri="{FF2B5EF4-FFF2-40B4-BE49-F238E27FC236}">
              <a16:creationId xmlns:a16="http://schemas.microsoft.com/office/drawing/2014/main" id="{00000000-0008-0000-1200-00008A070000}"/>
            </a:ext>
          </a:extLst>
        </xdr:cNvPr>
        <xdr:cNvCxnSpPr/>
      </xdr:nvCxnSpPr>
      <xdr:spPr>
        <a:xfrm>
          <a:off x="6413500" y="199644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1931" name="Straight Arrow Connector 1930">
          <a:extLst>
            <a:ext uri="{FF2B5EF4-FFF2-40B4-BE49-F238E27FC236}">
              <a16:creationId xmlns:a16="http://schemas.microsoft.com/office/drawing/2014/main" id="{00000000-0008-0000-1200-00008B070000}"/>
            </a:ext>
          </a:extLst>
        </xdr:cNvPr>
        <xdr:cNvCxnSpPr/>
      </xdr:nvCxnSpPr>
      <xdr:spPr>
        <a:xfrm flipV="1">
          <a:off x="7609417" y="200765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1932" name="Straight Arrow Connector 1931">
          <a:extLst>
            <a:ext uri="{FF2B5EF4-FFF2-40B4-BE49-F238E27FC236}">
              <a16:creationId xmlns:a16="http://schemas.microsoft.com/office/drawing/2014/main" id="{00000000-0008-0000-1200-00008C070000}"/>
            </a:ext>
          </a:extLst>
        </xdr:cNvPr>
        <xdr:cNvCxnSpPr/>
      </xdr:nvCxnSpPr>
      <xdr:spPr>
        <a:xfrm>
          <a:off x="7598834" y="201781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1933" name="Straight Arrow Connector 1932">
          <a:extLst>
            <a:ext uri="{FF2B5EF4-FFF2-40B4-BE49-F238E27FC236}">
              <a16:creationId xmlns:a16="http://schemas.microsoft.com/office/drawing/2014/main" id="{00000000-0008-0000-1200-00008D070000}"/>
            </a:ext>
          </a:extLst>
        </xdr:cNvPr>
        <xdr:cNvCxnSpPr/>
      </xdr:nvCxnSpPr>
      <xdr:spPr>
        <a:xfrm flipV="1">
          <a:off x="8794750" y="199855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1934" name="Straight Arrow Connector 1933">
          <a:extLst>
            <a:ext uri="{FF2B5EF4-FFF2-40B4-BE49-F238E27FC236}">
              <a16:creationId xmlns:a16="http://schemas.microsoft.com/office/drawing/2014/main" id="{00000000-0008-0000-1200-00008E070000}"/>
            </a:ext>
          </a:extLst>
        </xdr:cNvPr>
        <xdr:cNvCxnSpPr/>
      </xdr:nvCxnSpPr>
      <xdr:spPr>
        <a:xfrm>
          <a:off x="8784166" y="200808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1935" name="Straight Arrow Connector 1934">
          <a:extLst>
            <a:ext uri="{FF2B5EF4-FFF2-40B4-BE49-F238E27FC236}">
              <a16:creationId xmlns:a16="http://schemas.microsoft.com/office/drawing/2014/main" id="{00000000-0008-0000-1200-00008F070000}"/>
            </a:ext>
          </a:extLst>
        </xdr:cNvPr>
        <xdr:cNvCxnSpPr/>
      </xdr:nvCxnSpPr>
      <xdr:spPr>
        <a:xfrm flipV="1">
          <a:off x="8794750" y="203856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1936" name="Straight Arrow Connector 1935">
          <a:extLst>
            <a:ext uri="{FF2B5EF4-FFF2-40B4-BE49-F238E27FC236}">
              <a16:creationId xmlns:a16="http://schemas.microsoft.com/office/drawing/2014/main" id="{00000000-0008-0000-1200-000090070000}"/>
            </a:ext>
          </a:extLst>
        </xdr:cNvPr>
        <xdr:cNvCxnSpPr/>
      </xdr:nvCxnSpPr>
      <xdr:spPr>
        <a:xfrm>
          <a:off x="8805333" y="204787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1480</xdr:row>
      <xdr:rowOff>0</xdr:rowOff>
    </xdr:from>
    <xdr:to>
      <xdr:col>15</xdr:col>
      <xdr:colOff>603250</xdr:colOff>
      <xdr:row>1485</xdr:row>
      <xdr:rowOff>31750</xdr:rowOff>
    </xdr:to>
    <xdr:cxnSp macro="">
      <xdr:nvCxnSpPr>
        <xdr:cNvPr id="1937" name="Straight Arrow Connector 1936">
          <a:extLst>
            <a:ext uri="{FF2B5EF4-FFF2-40B4-BE49-F238E27FC236}">
              <a16:creationId xmlns:a16="http://schemas.microsoft.com/office/drawing/2014/main" id="{00000000-0008-0000-1200-000091070000}"/>
            </a:ext>
          </a:extLst>
        </xdr:cNvPr>
        <xdr:cNvCxnSpPr/>
      </xdr:nvCxnSpPr>
      <xdr:spPr>
        <a:xfrm flipV="1">
          <a:off x="10541000" y="198310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1938" name="Straight Arrow Connector 1937">
          <a:extLst>
            <a:ext uri="{FF2B5EF4-FFF2-40B4-BE49-F238E27FC236}">
              <a16:creationId xmlns:a16="http://schemas.microsoft.com/office/drawing/2014/main" id="{00000000-0008-0000-1200-000092070000}"/>
            </a:ext>
          </a:extLst>
        </xdr:cNvPr>
        <xdr:cNvCxnSpPr/>
      </xdr:nvCxnSpPr>
      <xdr:spPr>
        <a:xfrm flipV="1">
          <a:off x="10583333" y="198934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1939" name="Straight Arrow Connector 1938">
          <a:extLst>
            <a:ext uri="{FF2B5EF4-FFF2-40B4-BE49-F238E27FC236}">
              <a16:creationId xmlns:a16="http://schemas.microsoft.com/office/drawing/2014/main" id="{00000000-0008-0000-1200-000093070000}"/>
            </a:ext>
          </a:extLst>
        </xdr:cNvPr>
        <xdr:cNvCxnSpPr/>
      </xdr:nvCxnSpPr>
      <xdr:spPr>
        <a:xfrm>
          <a:off x="10604500" y="199421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1940" name="Straight Arrow Connector 1939">
          <a:extLst>
            <a:ext uri="{FF2B5EF4-FFF2-40B4-BE49-F238E27FC236}">
              <a16:creationId xmlns:a16="http://schemas.microsoft.com/office/drawing/2014/main" id="{00000000-0008-0000-1200-000094070000}"/>
            </a:ext>
          </a:extLst>
        </xdr:cNvPr>
        <xdr:cNvCxnSpPr/>
      </xdr:nvCxnSpPr>
      <xdr:spPr>
        <a:xfrm>
          <a:off x="10519834" y="199368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1493</xdr:row>
      <xdr:rowOff>52916</xdr:rowOff>
    </xdr:from>
    <xdr:to>
      <xdr:col>16</xdr:col>
      <xdr:colOff>0</xdr:colOff>
      <xdr:row>1495</xdr:row>
      <xdr:rowOff>0</xdr:rowOff>
    </xdr:to>
    <xdr:cxnSp macro="">
      <xdr:nvCxnSpPr>
        <xdr:cNvPr id="1941" name="Straight Arrow Connector 1940">
          <a:extLst>
            <a:ext uri="{FF2B5EF4-FFF2-40B4-BE49-F238E27FC236}">
              <a16:creationId xmlns:a16="http://schemas.microsoft.com/office/drawing/2014/main" id="{00000000-0008-0000-1200-000095070000}"/>
            </a:ext>
          </a:extLst>
        </xdr:cNvPr>
        <xdr:cNvCxnSpPr/>
      </xdr:nvCxnSpPr>
      <xdr:spPr>
        <a:xfrm flipV="1">
          <a:off x="10541000" y="200839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1942" name="Straight Arrow Connector 1941">
          <a:extLst>
            <a:ext uri="{FF2B5EF4-FFF2-40B4-BE49-F238E27FC236}">
              <a16:creationId xmlns:a16="http://schemas.microsoft.com/office/drawing/2014/main" id="{00000000-0008-0000-1200-000096070000}"/>
            </a:ext>
          </a:extLst>
        </xdr:cNvPr>
        <xdr:cNvCxnSpPr/>
      </xdr:nvCxnSpPr>
      <xdr:spPr>
        <a:xfrm>
          <a:off x="10551583" y="201189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1943" name="Straight Arrow Connector 1942">
          <a:extLst>
            <a:ext uri="{FF2B5EF4-FFF2-40B4-BE49-F238E27FC236}">
              <a16:creationId xmlns:a16="http://schemas.microsoft.com/office/drawing/2014/main" id="{00000000-0008-0000-1200-000097070000}"/>
            </a:ext>
          </a:extLst>
        </xdr:cNvPr>
        <xdr:cNvCxnSpPr/>
      </xdr:nvCxnSpPr>
      <xdr:spPr>
        <a:xfrm>
          <a:off x="10530417" y="201189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1944" name="Straight Arrow Connector 1943">
          <a:extLst>
            <a:ext uri="{FF2B5EF4-FFF2-40B4-BE49-F238E27FC236}">
              <a16:creationId xmlns:a16="http://schemas.microsoft.com/office/drawing/2014/main" id="{00000000-0008-0000-1200-000098070000}"/>
            </a:ext>
          </a:extLst>
        </xdr:cNvPr>
        <xdr:cNvCxnSpPr/>
      </xdr:nvCxnSpPr>
      <xdr:spPr>
        <a:xfrm>
          <a:off x="10541000" y="201199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1945" name="Straight Arrow Connector 1944">
          <a:extLst>
            <a:ext uri="{FF2B5EF4-FFF2-40B4-BE49-F238E27FC236}">
              <a16:creationId xmlns:a16="http://schemas.microsoft.com/office/drawing/2014/main" id="{00000000-0008-0000-1200-000099070000}"/>
            </a:ext>
          </a:extLst>
        </xdr:cNvPr>
        <xdr:cNvCxnSpPr/>
      </xdr:nvCxnSpPr>
      <xdr:spPr>
        <a:xfrm flipV="1">
          <a:off x="6392333" y="208449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1946" name="Straight Arrow Connector 1945">
          <a:extLst>
            <a:ext uri="{FF2B5EF4-FFF2-40B4-BE49-F238E27FC236}">
              <a16:creationId xmlns:a16="http://schemas.microsoft.com/office/drawing/2014/main" id="{00000000-0008-0000-1200-00009A070000}"/>
            </a:ext>
          </a:extLst>
        </xdr:cNvPr>
        <xdr:cNvCxnSpPr/>
      </xdr:nvCxnSpPr>
      <xdr:spPr>
        <a:xfrm>
          <a:off x="6413500" y="210481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1947" name="Straight Arrow Connector 1946">
          <a:extLst>
            <a:ext uri="{FF2B5EF4-FFF2-40B4-BE49-F238E27FC236}">
              <a16:creationId xmlns:a16="http://schemas.microsoft.com/office/drawing/2014/main" id="{00000000-0008-0000-1200-00009B070000}"/>
            </a:ext>
          </a:extLst>
        </xdr:cNvPr>
        <xdr:cNvCxnSpPr/>
      </xdr:nvCxnSpPr>
      <xdr:spPr>
        <a:xfrm flipV="1">
          <a:off x="7556500" y="211613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1948" name="Straight Arrow Connector 1947">
          <a:extLst>
            <a:ext uri="{FF2B5EF4-FFF2-40B4-BE49-F238E27FC236}">
              <a16:creationId xmlns:a16="http://schemas.microsoft.com/office/drawing/2014/main" id="{00000000-0008-0000-1200-00009C070000}"/>
            </a:ext>
          </a:extLst>
        </xdr:cNvPr>
        <xdr:cNvCxnSpPr/>
      </xdr:nvCxnSpPr>
      <xdr:spPr>
        <a:xfrm flipV="1">
          <a:off x="10530417" y="203454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1949" name="Straight Arrow Connector 1948">
          <a:extLst>
            <a:ext uri="{FF2B5EF4-FFF2-40B4-BE49-F238E27FC236}">
              <a16:creationId xmlns:a16="http://schemas.microsoft.com/office/drawing/2014/main" id="{00000000-0008-0000-1200-00009D070000}"/>
            </a:ext>
          </a:extLst>
        </xdr:cNvPr>
        <xdr:cNvCxnSpPr/>
      </xdr:nvCxnSpPr>
      <xdr:spPr>
        <a:xfrm>
          <a:off x="10572750" y="203845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1950" name="Straight Arrow Connector 1949">
          <a:extLst>
            <a:ext uri="{FF2B5EF4-FFF2-40B4-BE49-F238E27FC236}">
              <a16:creationId xmlns:a16="http://schemas.microsoft.com/office/drawing/2014/main" id="{00000000-0008-0000-1200-00009E070000}"/>
            </a:ext>
          </a:extLst>
        </xdr:cNvPr>
        <xdr:cNvCxnSpPr/>
      </xdr:nvCxnSpPr>
      <xdr:spPr>
        <a:xfrm>
          <a:off x="10551583" y="203845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1951" name="Straight Arrow Connector 1950">
          <a:extLst>
            <a:ext uri="{FF2B5EF4-FFF2-40B4-BE49-F238E27FC236}">
              <a16:creationId xmlns:a16="http://schemas.microsoft.com/office/drawing/2014/main" id="{00000000-0008-0000-1200-00009F070000}"/>
            </a:ext>
          </a:extLst>
        </xdr:cNvPr>
        <xdr:cNvCxnSpPr/>
      </xdr:nvCxnSpPr>
      <xdr:spPr>
        <a:xfrm>
          <a:off x="10583333" y="203866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1952" name="Straight Arrow Connector 1951">
          <a:extLst>
            <a:ext uri="{FF2B5EF4-FFF2-40B4-BE49-F238E27FC236}">
              <a16:creationId xmlns:a16="http://schemas.microsoft.com/office/drawing/2014/main" id="{00000000-0008-0000-1200-0000A0070000}"/>
            </a:ext>
          </a:extLst>
        </xdr:cNvPr>
        <xdr:cNvCxnSpPr/>
      </xdr:nvCxnSpPr>
      <xdr:spPr>
        <a:xfrm>
          <a:off x="10562166" y="206502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1953" name="Straight Arrow Connector 1952">
          <a:extLst>
            <a:ext uri="{FF2B5EF4-FFF2-40B4-BE49-F238E27FC236}">
              <a16:creationId xmlns:a16="http://schemas.microsoft.com/office/drawing/2014/main" id="{00000000-0008-0000-1200-0000A1070000}"/>
            </a:ext>
          </a:extLst>
        </xdr:cNvPr>
        <xdr:cNvCxnSpPr/>
      </xdr:nvCxnSpPr>
      <xdr:spPr>
        <a:xfrm>
          <a:off x="10615083" y="206523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1954" name="Straight Arrow Connector 1953">
          <a:extLst>
            <a:ext uri="{FF2B5EF4-FFF2-40B4-BE49-F238E27FC236}">
              <a16:creationId xmlns:a16="http://schemas.microsoft.com/office/drawing/2014/main" id="{00000000-0008-0000-1200-0000A2070000}"/>
            </a:ext>
          </a:extLst>
        </xdr:cNvPr>
        <xdr:cNvCxnSpPr/>
      </xdr:nvCxnSpPr>
      <xdr:spPr>
        <a:xfrm>
          <a:off x="10572750" y="206554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1955" name="Straight Arrow Connector 1954">
          <a:extLst>
            <a:ext uri="{FF2B5EF4-FFF2-40B4-BE49-F238E27FC236}">
              <a16:creationId xmlns:a16="http://schemas.microsoft.com/office/drawing/2014/main" id="{00000000-0008-0000-1200-0000A3070000}"/>
            </a:ext>
          </a:extLst>
        </xdr:cNvPr>
        <xdr:cNvCxnSpPr/>
      </xdr:nvCxnSpPr>
      <xdr:spPr>
        <a:xfrm flipV="1">
          <a:off x="10562166" y="209285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1956" name="Straight Arrow Connector 1955">
          <a:extLst>
            <a:ext uri="{FF2B5EF4-FFF2-40B4-BE49-F238E27FC236}">
              <a16:creationId xmlns:a16="http://schemas.microsoft.com/office/drawing/2014/main" id="{00000000-0008-0000-1200-0000A4070000}"/>
            </a:ext>
          </a:extLst>
        </xdr:cNvPr>
        <xdr:cNvCxnSpPr/>
      </xdr:nvCxnSpPr>
      <xdr:spPr>
        <a:xfrm flipV="1">
          <a:off x="10604500" y="209645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1957" name="Straight Arrow Connector 1956">
          <a:extLst>
            <a:ext uri="{FF2B5EF4-FFF2-40B4-BE49-F238E27FC236}">
              <a16:creationId xmlns:a16="http://schemas.microsoft.com/office/drawing/2014/main" id="{00000000-0008-0000-1200-0000A5070000}"/>
            </a:ext>
          </a:extLst>
        </xdr:cNvPr>
        <xdr:cNvCxnSpPr/>
      </xdr:nvCxnSpPr>
      <xdr:spPr>
        <a:xfrm>
          <a:off x="10593916" y="210047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1958" name="Straight Arrow Connector 1957">
          <a:extLst>
            <a:ext uri="{FF2B5EF4-FFF2-40B4-BE49-F238E27FC236}">
              <a16:creationId xmlns:a16="http://schemas.microsoft.com/office/drawing/2014/main" id="{00000000-0008-0000-1200-0000A6070000}"/>
            </a:ext>
          </a:extLst>
        </xdr:cNvPr>
        <xdr:cNvCxnSpPr/>
      </xdr:nvCxnSpPr>
      <xdr:spPr>
        <a:xfrm>
          <a:off x="10572750" y="212142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1959" name="Straight Arrow Connector 1958">
          <a:extLst>
            <a:ext uri="{FF2B5EF4-FFF2-40B4-BE49-F238E27FC236}">
              <a16:creationId xmlns:a16="http://schemas.microsoft.com/office/drawing/2014/main" id="{00000000-0008-0000-1200-0000A7070000}"/>
            </a:ext>
          </a:extLst>
        </xdr:cNvPr>
        <xdr:cNvCxnSpPr/>
      </xdr:nvCxnSpPr>
      <xdr:spPr>
        <a:xfrm flipV="1">
          <a:off x="10583333" y="205983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1960" name="Straight Arrow Connector 1959">
          <a:extLst>
            <a:ext uri="{FF2B5EF4-FFF2-40B4-BE49-F238E27FC236}">
              <a16:creationId xmlns:a16="http://schemas.microsoft.com/office/drawing/2014/main" id="{00000000-0008-0000-1200-0000A8070000}"/>
            </a:ext>
          </a:extLst>
        </xdr:cNvPr>
        <xdr:cNvCxnSpPr/>
      </xdr:nvCxnSpPr>
      <xdr:spPr>
        <a:xfrm>
          <a:off x="7598834" y="212640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1961" name="Straight Arrow Connector 1960">
          <a:extLst>
            <a:ext uri="{FF2B5EF4-FFF2-40B4-BE49-F238E27FC236}">
              <a16:creationId xmlns:a16="http://schemas.microsoft.com/office/drawing/2014/main" id="{00000000-0008-0000-1200-0000A9070000}"/>
            </a:ext>
          </a:extLst>
        </xdr:cNvPr>
        <xdr:cNvCxnSpPr/>
      </xdr:nvCxnSpPr>
      <xdr:spPr>
        <a:xfrm flipV="1">
          <a:off x="8794750" y="210714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1962" name="Straight Arrow Connector 1961">
          <a:extLst>
            <a:ext uri="{FF2B5EF4-FFF2-40B4-BE49-F238E27FC236}">
              <a16:creationId xmlns:a16="http://schemas.microsoft.com/office/drawing/2014/main" id="{00000000-0008-0000-1200-0000AA070000}"/>
            </a:ext>
          </a:extLst>
        </xdr:cNvPr>
        <xdr:cNvCxnSpPr/>
      </xdr:nvCxnSpPr>
      <xdr:spPr>
        <a:xfrm>
          <a:off x="8784166" y="211666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1963" name="Straight Arrow Connector 1962">
          <a:extLst>
            <a:ext uri="{FF2B5EF4-FFF2-40B4-BE49-F238E27FC236}">
              <a16:creationId xmlns:a16="http://schemas.microsoft.com/office/drawing/2014/main" id="{00000000-0008-0000-1200-0000AB070000}"/>
            </a:ext>
          </a:extLst>
        </xdr:cNvPr>
        <xdr:cNvCxnSpPr/>
      </xdr:nvCxnSpPr>
      <xdr:spPr>
        <a:xfrm flipV="1">
          <a:off x="8794750" y="214714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1964" name="Straight Arrow Connector 1963">
          <a:extLst>
            <a:ext uri="{FF2B5EF4-FFF2-40B4-BE49-F238E27FC236}">
              <a16:creationId xmlns:a16="http://schemas.microsoft.com/office/drawing/2014/main" id="{00000000-0008-0000-1200-0000AC070000}"/>
            </a:ext>
          </a:extLst>
        </xdr:cNvPr>
        <xdr:cNvCxnSpPr/>
      </xdr:nvCxnSpPr>
      <xdr:spPr>
        <a:xfrm>
          <a:off x="8805333" y="215646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1965" name="Straight Arrow Connector 1964">
          <a:extLst>
            <a:ext uri="{FF2B5EF4-FFF2-40B4-BE49-F238E27FC236}">
              <a16:creationId xmlns:a16="http://schemas.microsoft.com/office/drawing/2014/main" id="{00000000-0008-0000-1200-0000AD070000}"/>
            </a:ext>
          </a:extLst>
        </xdr:cNvPr>
        <xdr:cNvCxnSpPr/>
      </xdr:nvCxnSpPr>
      <xdr:spPr>
        <a:xfrm>
          <a:off x="10593916" y="210026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1549</xdr:row>
      <xdr:rowOff>52916</xdr:rowOff>
    </xdr:from>
    <xdr:to>
      <xdr:col>16</xdr:col>
      <xdr:colOff>0</xdr:colOff>
      <xdr:row>1551</xdr:row>
      <xdr:rowOff>0</xdr:rowOff>
    </xdr:to>
    <xdr:cxnSp macro="">
      <xdr:nvCxnSpPr>
        <xdr:cNvPr id="1966" name="Straight Arrow Connector 1965">
          <a:extLst>
            <a:ext uri="{FF2B5EF4-FFF2-40B4-BE49-F238E27FC236}">
              <a16:creationId xmlns:a16="http://schemas.microsoft.com/office/drawing/2014/main" id="{00000000-0008-0000-1200-0000AE070000}"/>
            </a:ext>
          </a:extLst>
        </xdr:cNvPr>
        <xdr:cNvCxnSpPr/>
      </xdr:nvCxnSpPr>
      <xdr:spPr>
        <a:xfrm flipV="1">
          <a:off x="10541000" y="211698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1967" name="Straight Arrow Connector 1966">
          <a:extLst>
            <a:ext uri="{FF2B5EF4-FFF2-40B4-BE49-F238E27FC236}">
              <a16:creationId xmlns:a16="http://schemas.microsoft.com/office/drawing/2014/main" id="{00000000-0008-0000-1200-0000AF070000}"/>
            </a:ext>
          </a:extLst>
        </xdr:cNvPr>
        <xdr:cNvCxnSpPr/>
      </xdr:nvCxnSpPr>
      <xdr:spPr>
        <a:xfrm>
          <a:off x="10530417" y="212047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1968" name="Straight Arrow Connector 1967">
          <a:extLst>
            <a:ext uri="{FF2B5EF4-FFF2-40B4-BE49-F238E27FC236}">
              <a16:creationId xmlns:a16="http://schemas.microsoft.com/office/drawing/2014/main" id="{00000000-0008-0000-1200-0000B0070000}"/>
            </a:ext>
          </a:extLst>
        </xdr:cNvPr>
        <xdr:cNvCxnSpPr/>
      </xdr:nvCxnSpPr>
      <xdr:spPr>
        <a:xfrm>
          <a:off x="10530417" y="212026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1969" name="Straight Arrow Connector 1968">
          <a:extLst>
            <a:ext uri="{FF2B5EF4-FFF2-40B4-BE49-F238E27FC236}">
              <a16:creationId xmlns:a16="http://schemas.microsoft.com/office/drawing/2014/main" id="{00000000-0008-0000-1200-0000B1070000}"/>
            </a:ext>
          </a:extLst>
        </xdr:cNvPr>
        <xdr:cNvCxnSpPr/>
      </xdr:nvCxnSpPr>
      <xdr:spPr>
        <a:xfrm flipV="1">
          <a:off x="10530417" y="214312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1970" name="Straight Arrow Connector 1969">
          <a:extLst>
            <a:ext uri="{FF2B5EF4-FFF2-40B4-BE49-F238E27FC236}">
              <a16:creationId xmlns:a16="http://schemas.microsoft.com/office/drawing/2014/main" id="{00000000-0008-0000-1200-0000B2070000}"/>
            </a:ext>
          </a:extLst>
        </xdr:cNvPr>
        <xdr:cNvCxnSpPr/>
      </xdr:nvCxnSpPr>
      <xdr:spPr>
        <a:xfrm>
          <a:off x="10572750" y="214704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1971" name="Straight Arrow Connector 1970">
          <a:extLst>
            <a:ext uri="{FF2B5EF4-FFF2-40B4-BE49-F238E27FC236}">
              <a16:creationId xmlns:a16="http://schemas.microsoft.com/office/drawing/2014/main" id="{00000000-0008-0000-1200-0000B3070000}"/>
            </a:ext>
          </a:extLst>
        </xdr:cNvPr>
        <xdr:cNvCxnSpPr/>
      </xdr:nvCxnSpPr>
      <xdr:spPr>
        <a:xfrm>
          <a:off x="10551583" y="214704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1972" name="Straight Arrow Connector 1971">
          <a:extLst>
            <a:ext uri="{FF2B5EF4-FFF2-40B4-BE49-F238E27FC236}">
              <a16:creationId xmlns:a16="http://schemas.microsoft.com/office/drawing/2014/main" id="{00000000-0008-0000-1200-0000B4070000}"/>
            </a:ext>
          </a:extLst>
        </xdr:cNvPr>
        <xdr:cNvCxnSpPr/>
      </xdr:nvCxnSpPr>
      <xdr:spPr>
        <a:xfrm>
          <a:off x="10583333" y="214725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1973" name="Straight Arrow Connector 1972">
          <a:extLst>
            <a:ext uri="{FF2B5EF4-FFF2-40B4-BE49-F238E27FC236}">
              <a16:creationId xmlns:a16="http://schemas.microsoft.com/office/drawing/2014/main" id="{00000000-0008-0000-1200-0000B5070000}"/>
            </a:ext>
          </a:extLst>
        </xdr:cNvPr>
        <xdr:cNvCxnSpPr/>
      </xdr:nvCxnSpPr>
      <xdr:spPr>
        <a:xfrm>
          <a:off x="10562166" y="217360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1974" name="Straight Arrow Connector 1973">
          <a:extLst>
            <a:ext uri="{FF2B5EF4-FFF2-40B4-BE49-F238E27FC236}">
              <a16:creationId xmlns:a16="http://schemas.microsoft.com/office/drawing/2014/main" id="{00000000-0008-0000-1200-0000B6070000}"/>
            </a:ext>
          </a:extLst>
        </xdr:cNvPr>
        <xdr:cNvCxnSpPr/>
      </xdr:nvCxnSpPr>
      <xdr:spPr>
        <a:xfrm>
          <a:off x="10615083" y="217381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1975" name="Straight Arrow Connector 1974">
          <a:extLst>
            <a:ext uri="{FF2B5EF4-FFF2-40B4-BE49-F238E27FC236}">
              <a16:creationId xmlns:a16="http://schemas.microsoft.com/office/drawing/2014/main" id="{00000000-0008-0000-1200-0000B7070000}"/>
            </a:ext>
          </a:extLst>
        </xdr:cNvPr>
        <xdr:cNvCxnSpPr/>
      </xdr:nvCxnSpPr>
      <xdr:spPr>
        <a:xfrm>
          <a:off x="10572750" y="217413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1976" name="Straight Arrow Connector 1975">
          <a:extLst>
            <a:ext uri="{FF2B5EF4-FFF2-40B4-BE49-F238E27FC236}">
              <a16:creationId xmlns:a16="http://schemas.microsoft.com/office/drawing/2014/main" id="{00000000-0008-0000-1200-0000B8070000}"/>
            </a:ext>
          </a:extLst>
        </xdr:cNvPr>
        <xdr:cNvCxnSpPr/>
      </xdr:nvCxnSpPr>
      <xdr:spPr>
        <a:xfrm flipV="1">
          <a:off x="10583333" y="216841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1977" name="Straight Arrow Connector 1976">
          <a:extLst>
            <a:ext uri="{FF2B5EF4-FFF2-40B4-BE49-F238E27FC236}">
              <a16:creationId xmlns:a16="http://schemas.microsoft.com/office/drawing/2014/main" id="{00000000-0008-0000-1200-0000B9070000}"/>
            </a:ext>
          </a:extLst>
        </xdr:cNvPr>
        <xdr:cNvCxnSpPr/>
      </xdr:nvCxnSpPr>
      <xdr:spPr>
        <a:xfrm flipV="1">
          <a:off x="5207000" y="199580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1978" name="Straight Arrow Connector 1977">
          <a:extLst>
            <a:ext uri="{FF2B5EF4-FFF2-40B4-BE49-F238E27FC236}">
              <a16:creationId xmlns:a16="http://schemas.microsoft.com/office/drawing/2014/main" id="{00000000-0008-0000-1200-0000BA070000}"/>
            </a:ext>
          </a:extLst>
        </xdr:cNvPr>
        <xdr:cNvCxnSpPr/>
      </xdr:nvCxnSpPr>
      <xdr:spPr>
        <a:xfrm flipV="1">
          <a:off x="3714750" y="226123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1979" name="Straight Arrow Connector 1978">
          <a:extLst>
            <a:ext uri="{FF2B5EF4-FFF2-40B4-BE49-F238E27FC236}">
              <a16:creationId xmlns:a16="http://schemas.microsoft.com/office/drawing/2014/main" id="{00000000-0008-0000-1200-0000BB070000}"/>
            </a:ext>
          </a:extLst>
        </xdr:cNvPr>
        <xdr:cNvCxnSpPr/>
      </xdr:nvCxnSpPr>
      <xdr:spPr>
        <a:xfrm>
          <a:off x="3799417" y="233341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1980" name="Straight Arrow Connector 1979">
          <a:extLst>
            <a:ext uri="{FF2B5EF4-FFF2-40B4-BE49-F238E27FC236}">
              <a16:creationId xmlns:a16="http://schemas.microsoft.com/office/drawing/2014/main" id="{00000000-0008-0000-1200-0000BC070000}"/>
            </a:ext>
          </a:extLst>
        </xdr:cNvPr>
        <xdr:cNvCxnSpPr/>
      </xdr:nvCxnSpPr>
      <xdr:spPr>
        <a:xfrm flipV="1">
          <a:off x="5175250" y="221318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1981" name="Straight Arrow Connector 1980">
          <a:extLst>
            <a:ext uri="{FF2B5EF4-FFF2-40B4-BE49-F238E27FC236}">
              <a16:creationId xmlns:a16="http://schemas.microsoft.com/office/drawing/2014/main" id="{00000000-0008-0000-1200-0000BD070000}"/>
            </a:ext>
          </a:extLst>
        </xdr:cNvPr>
        <xdr:cNvCxnSpPr/>
      </xdr:nvCxnSpPr>
      <xdr:spPr>
        <a:xfrm>
          <a:off x="5175250" y="226134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1982" name="Straight Arrow Connector 1981">
          <a:extLst>
            <a:ext uri="{FF2B5EF4-FFF2-40B4-BE49-F238E27FC236}">
              <a16:creationId xmlns:a16="http://schemas.microsoft.com/office/drawing/2014/main" id="{00000000-0008-0000-1200-0000BE070000}"/>
            </a:ext>
          </a:extLst>
        </xdr:cNvPr>
        <xdr:cNvCxnSpPr/>
      </xdr:nvCxnSpPr>
      <xdr:spPr>
        <a:xfrm flipV="1">
          <a:off x="6381750" y="219784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1983" name="Straight Arrow Connector 1982">
          <a:extLst>
            <a:ext uri="{FF2B5EF4-FFF2-40B4-BE49-F238E27FC236}">
              <a16:creationId xmlns:a16="http://schemas.microsoft.com/office/drawing/2014/main" id="{00000000-0008-0000-1200-0000BF070000}"/>
            </a:ext>
          </a:extLst>
        </xdr:cNvPr>
        <xdr:cNvCxnSpPr/>
      </xdr:nvCxnSpPr>
      <xdr:spPr>
        <a:xfrm>
          <a:off x="6413500" y="221361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1984" name="Straight Arrow Connector 1983">
          <a:extLst>
            <a:ext uri="{FF2B5EF4-FFF2-40B4-BE49-F238E27FC236}">
              <a16:creationId xmlns:a16="http://schemas.microsoft.com/office/drawing/2014/main" id="{00000000-0008-0000-1200-0000C0070000}"/>
            </a:ext>
          </a:extLst>
        </xdr:cNvPr>
        <xdr:cNvCxnSpPr/>
      </xdr:nvCxnSpPr>
      <xdr:spPr>
        <a:xfrm flipV="1">
          <a:off x="7609417" y="222482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1985" name="Straight Arrow Connector 1984">
          <a:extLst>
            <a:ext uri="{FF2B5EF4-FFF2-40B4-BE49-F238E27FC236}">
              <a16:creationId xmlns:a16="http://schemas.microsoft.com/office/drawing/2014/main" id="{00000000-0008-0000-1200-0000C1070000}"/>
            </a:ext>
          </a:extLst>
        </xdr:cNvPr>
        <xdr:cNvCxnSpPr/>
      </xdr:nvCxnSpPr>
      <xdr:spPr>
        <a:xfrm>
          <a:off x="7598834" y="223498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1986" name="Straight Arrow Connector 1985">
          <a:extLst>
            <a:ext uri="{FF2B5EF4-FFF2-40B4-BE49-F238E27FC236}">
              <a16:creationId xmlns:a16="http://schemas.microsoft.com/office/drawing/2014/main" id="{00000000-0008-0000-1200-0000C2070000}"/>
            </a:ext>
          </a:extLst>
        </xdr:cNvPr>
        <xdr:cNvCxnSpPr/>
      </xdr:nvCxnSpPr>
      <xdr:spPr>
        <a:xfrm flipV="1">
          <a:off x="8794750" y="221572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1987" name="Straight Arrow Connector 1986">
          <a:extLst>
            <a:ext uri="{FF2B5EF4-FFF2-40B4-BE49-F238E27FC236}">
              <a16:creationId xmlns:a16="http://schemas.microsoft.com/office/drawing/2014/main" id="{00000000-0008-0000-1200-0000C3070000}"/>
            </a:ext>
          </a:extLst>
        </xdr:cNvPr>
        <xdr:cNvCxnSpPr/>
      </xdr:nvCxnSpPr>
      <xdr:spPr>
        <a:xfrm>
          <a:off x="8784166" y="222525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1988" name="Straight Arrow Connector 1987">
          <a:extLst>
            <a:ext uri="{FF2B5EF4-FFF2-40B4-BE49-F238E27FC236}">
              <a16:creationId xmlns:a16="http://schemas.microsoft.com/office/drawing/2014/main" id="{00000000-0008-0000-1200-0000C4070000}"/>
            </a:ext>
          </a:extLst>
        </xdr:cNvPr>
        <xdr:cNvCxnSpPr/>
      </xdr:nvCxnSpPr>
      <xdr:spPr>
        <a:xfrm flipV="1">
          <a:off x="8794750" y="225573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1989" name="Straight Arrow Connector 1988">
          <a:extLst>
            <a:ext uri="{FF2B5EF4-FFF2-40B4-BE49-F238E27FC236}">
              <a16:creationId xmlns:a16="http://schemas.microsoft.com/office/drawing/2014/main" id="{00000000-0008-0000-1200-0000C5070000}"/>
            </a:ext>
          </a:extLst>
        </xdr:cNvPr>
        <xdr:cNvCxnSpPr/>
      </xdr:nvCxnSpPr>
      <xdr:spPr>
        <a:xfrm>
          <a:off x="8805333" y="226504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1592</xdr:row>
      <xdr:rowOff>0</xdr:rowOff>
    </xdr:from>
    <xdr:to>
      <xdr:col>15</xdr:col>
      <xdr:colOff>603250</xdr:colOff>
      <xdr:row>1597</xdr:row>
      <xdr:rowOff>31750</xdr:rowOff>
    </xdr:to>
    <xdr:cxnSp macro="">
      <xdr:nvCxnSpPr>
        <xdr:cNvPr id="1990" name="Straight Arrow Connector 1989">
          <a:extLst>
            <a:ext uri="{FF2B5EF4-FFF2-40B4-BE49-F238E27FC236}">
              <a16:creationId xmlns:a16="http://schemas.microsoft.com/office/drawing/2014/main" id="{00000000-0008-0000-1200-0000C6070000}"/>
            </a:ext>
          </a:extLst>
        </xdr:cNvPr>
        <xdr:cNvCxnSpPr/>
      </xdr:nvCxnSpPr>
      <xdr:spPr>
        <a:xfrm flipV="1">
          <a:off x="10541000" y="220027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1991" name="Straight Arrow Connector 1990">
          <a:extLst>
            <a:ext uri="{FF2B5EF4-FFF2-40B4-BE49-F238E27FC236}">
              <a16:creationId xmlns:a16="http://schemas.microsoft.com/office/drawing/2014/main" id="{00000000-0008-0000-1200-0000C7070000}"/>
            </a:ext>
          </a:extLst>
        </xdr:cNvPr>
        <xdr:cNvCxnSpPr/>
      </xdr:nvCxnSpPr>
      <xdr:spPr>
        <a:xfrm flipV="1">
          <a:off x="10583333" y="220651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1992" name="Straight Arrow Connector 1991">
          <a:extLst>
            <a:ext uri="{FF2B5EF4-FFF2-40B4-BE49-F238E27FC236}">
              <a16:creationId xmlns:a16="http://schemas.microsoft.com/office/drawing/2014/main" id="{00000000-0008-0000-1200-0000C8070000}"/>
            </a:ext>
          </a:extLst>
        </xdr:cNvPr>
        <xdr:cNvCxnSpPr/>
      </xdr:nvCxnSpPr>
      <xdr:spPr>
        <a:xfrm>
          <a:off x="10604500" y="221138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1993" name="Straight Arrow Connector 1992">
          <a:extLst>
            <a:ext uri="{FF2B5EF4-FFF2-40B4-BE49-F238E27FC236}">
              <a16:creationId xmlns:a16="http://schemas.microsoft.com/office/drawing/2014/main" id="{00000000-0008-0000-1200-0000C9070000}"/>
            </a:ext>
          </a:extLst>
        </xdr:cNvPr>
        <xdr:cNvCxnSpPr/>
      </xdr:nvCxnSpPr>
      <xdr:spPr>
        <a:xfrm>
          <a:off x="10519834" y="221085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1605</xdr:row>
      <xdr:rowOff>52916</xdr:rowOff>
    </xdr:from>
    <xdr:to>
      <xdr:col>16</xdr:col>
      <xdr:colOff>0</xdr:colOff>
      <xdr:row>1607</xdr:row>
      <xdr:rowOff>0</xdr:rowOff>
    </xdr:to>
    <xdr:cxnSp macro="">
      <xdr:nvCxnSpPr>
        <xdr:cNvPr id="1994" name="Straight Arrow Connector 1993">
          <a:extLst>
            <a:ext uri="{FF2B5EF4-FFF2-40B4-BE49-F238E27FC236}">
              <a16:creationId xmlns:a16="http://schemas.microsoft.com/office/drawing/2014/main" id="{00000000-0008-0000-1200-0000CA070000}"/>
            </a:ext>
          </a:extLst>
        </xdr:cNvPr>
        <xdr:cNvCxnSpPr/>
      </xdr:nvCxnSpPr>
      <xdr:spPr>
        <a:xfrm flipV="1">
          <a:off x="10541000" y="222556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1995" name="Straight Arrow Connector 1994">
          <a:extLst>
            <a:ext uri="{FF2B5EF4-FFF2-40B4-BE49-F238E27FC236}">
              <a16:creationId xmlns:a16="http://schemas.microsoft.com/office/drawing/2014/main" id="{00000000-0008-0000-1200-0000CB070000}"/>
            </a:ext>
          </a:extLst>
        </xdr:cNvPr>
        <xdr:cNvCxnSpPr/>
      </xdr:nvCxnSpPr>
      <xdr:spPr>
        <a:xfrm>
          <a:off x="10551583" y="222906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1996" name="Straight Arrow Connector 1995">
          <a:extLst>
            <a:ext uri="{FF2B5EF4-FFF2-40B4-BE49-F238E27FC236}">
              <a16:creationId xmlns:a16="http://schemas.microsoft.com/office/drawing/2014/main" id="{00000000-0008-0000-1200-0000CC070000}"/>
            </a:ext>
          </a:extLst>
        </xdr:cNvPr>
        <xdr:cNvCxnSpPr/>
      </xdr:nvCxnSpPr>
      <xdr:spPr>
        <a:xfrm>
          <a:off x="10530417" y="222906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1997" name="Straight Arrow Connector 1996">
          <a:extLst>
            <a:ext uri="{FF2B5EF4-FFF2-40B4-BE49-F238E27FC236}">
              <a16:creationId xmlns:a16="http://schemas.microsoft.com/office/drawing/2014/main" id="{00000000-0008-0000-1200-0000CD070000}"/>
            </a:ext>
          </a:extLst>
        </xdr:cNvPr>
        <xdr:cNvCxnSpPr/>
      </xdr:nvCxnSpPr>
      <xdr:spPr>
        <a:xfrm>
          <a:off x="10541000" y="222916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1998" name="Straight Arrow Connector 1997">
          <a:extLst>
            <a:ext uri="{FF2B5EF4-FFF2-40B4-BE49-F238E27FC236}">
              <a16:creationId xmlns:a16="http://schemas.microsoft.com/office/drawing/2014/main" id="{00000000-0008-0000-1200-0000CE070000}"/>
            </a:ext>
          </a:extLst>
        </xdr:cNvPr>
        <xdr:cNvCxnSpPr/>
      </xdr:nvCxnSpPr>
      <xdr:spPr>
        <a:xfrm flipV="1">
          <a:off x="6392333" y="230166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1999" name="Straight Arrow Connector 1998">
          <a:extLst>
            <a:ext uri="{FF2B5EF4-FFF2-40B4-BE49-F238E27FC236}">
              <a16:creationId xmlns:a16="http://schemas.microsoft.com/office/drawing/2014/main" id="{00000000-0008-0000-1200-0000CF070000}"/>
            </a:ext>
          </a:extLst>
        </xdr:cNvPr>
        <xdr:cNvCxnSpPr/>
      </xdr:nvCxnSpPr>
      <xdr:spPr>
        <a:xfrm>
          <a:off x="6413500" y="232198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2000" name="Straight Arrow Connector 1999">
          <a:extLst>
            <a:ext uri="{FF2B5EF4-FFF2-40B4-BE49-F238E27FC236}">
              <a16:creationId xmlns:a16="http://schemas.microsoft.com/office/drawing/2014/main" id="{00000000-0008-0000-1200-0000D0070000}"/>
            </a:ext>
          </a:extLst>
        </xdr:cNvPr>
        <xdr:cNvCxnSpPr/>
      </xdr:nvCxnSpPr>
      <xdr:spPr>
        <a:xfrm flipV="1">
          <a:off x="7556500" y="233330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2001" name="Straight Arrow Connector 2000">
          <a:extLst>
            <a:ext uri="{FF2B5EF4-FFF2-40B4-BE49-F238E27FC236}">
              <a16:creationId xmlns:a16="http://schemas.microsoft.com/office/drawing/2014/main" id="{00000000-0008-0000-1200-0000D1070000}"/>
            </a:ext>
          </a:extLst>
        </xdr:cNvPr>
        <xdr:cNvCxnSpPr/>
      </xdr:nvCxnSpPr>
      <xdr:spPr>
        <a:xfrm flipV="1">
          <a:off x="10530417" y="225171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2002" name="Straight Arrow Connector 2001">
          <a:extLst>
            <a:ext uri="{FF2B5EF4-FFF2-40B4-BE49-F238E27FC236}">
              <a16:creationId xmlns:a16="http://schemas.microsoft.com/office/drawing/2014/main" id="{00000000-0008-0000-1200-0000D2070000}"/>
            </a:ext>
          </a:extLst>
        </xdr:cNvPr>
        <xdr:cNvCxnSpPr/>
      </xdr:nvCxnSpPr>
      <xdr:spPr>
        <a:xfrm>
          <a:off x="10572750" y="225562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2003" name="Straight Arrow Connector 2002">
          <a:extLst>
            <a:ext uri="{FF2B5EF4-FFF2-40B4-BE49-F238E27FC236}">
              <a16:creationId xmlns:a16="http://schemas.microsoft.com/office/drawing/2014/main" id="{00000000-0008-0000-1200-0000D3070000}"/>
            </a:ext>
          </a:extLst>
        </xdr:cNvPr>
        <xdr:cNvCxnSpPr/>
      </xdr:nvCxnSpPr>
      <xdr:spPr>
        <a:xfrm>
          <a:off x="10551583" y="225562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2004" name="Straight Arrow Connector 2003">
          <a:extLst>
            <a:ext uri="{FF2B5EF4-FFF2-40B4-BE49-F238E27FC236}">
              <a16:creationId xmlns:a16="http://schemas.microsoft.com/office/drawing/2014/main" id="{00000000-0008-0000-1200-0000D4070000}"/>
            </a:ext>
          </a:extLst>
        </xdr:cNvPr>
        <xdr:cNvCxnSpPr/>
      </xdr:nvCxnSpPr>
      <xdr:spPr>
        <a:xfrm>
          <a:off x="10583333" y="225583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2005" name="Straight Arrow Connector 2004">
          <a:extLst>
            <a:ext uri="{FF2B5EF4-FFF2-40B4-BE49-F238E27FC236}">
              <a16:creationId xmlns:a16="http://schemas.microsoft.com/office/drawing/2014/main" id="{00000000-0008-0000-1200-0000D5070000}"/>
            </a:ext>
          </a:extLst>
        </xdr:cNvPr>
        <xdr:cNvCxnSpPr/>
      </xdr:nvCxnSpPr>
      <xdr:spPr>
        <a:xfrm>
          <a:off x="10562166" y="228219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2006" name="Straight Arrow Connector 2005">
          <a:extLst>
            <a:ext uri="{FF2B5EF4-FFF2-40B4-BE49-F238E27FC236}">
              <a16:creationId xmlns:a16="http://schemas.microsoft.com/office/drawing/2014/main" id="{00000000-0008-0000-1200-0000D6070000}"/>
            </a:ext>
          </a:extLst>
        </xdr:cNvPr>
        <xdr:cNvCxnSpPr/>
      </xdr:nvCxnSpPr>
      <xdr:spPr>
        <a:xfrm>
          <a:off x="10615083" y="228240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2007" name="Straight Arrow Connector 2006">
          <a:extLst>
            <a:ext uri="{FF2B5EF4-FFF2-40B4-BE49-F238E27FC236}">
              <a16:creationId xmlns:a16="http://schemas.microsoft.com/office/drawing/2014/main" id="{00000000-0008-0000-1200-0000D7070000}"/>
            </a:ext>
          </a:extLst>
        </xdr:cNvPr>
        <xdr:cNvCxnSpPr/>
      </xdr:nvCxnSpPr>
      <xdr:spPr>
        <a:xfrm>
          <a:off x="10572750" y="228271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2008" name="Straight Arrow Connector 2007">
          <a:extLst>
            <a:ext uri="{FF2B5EF4-FFF2-40B4-BE49-F238E27FC236}">
              <a16:creationId xmlns:a16="http://schemas.microsoft.com/office/drawing/2014/main" id="{00000000-0008-0000-1200-0000D8070000}"/>
            </a:ext>
          </a:extLst>
        </xdr:cNvPr>
        <xdr:cNvCxnSpPr/>
      </xdr:nvCxnSpPr>
      <xdr:spPr>
        <a:xfrm flipV="1">
          <a:off x="10562166" y="231002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2009" name="Straight Arrow Connector 2008">
          <a:extLst>
            <a:ext uri="{FF2B5EF4-FFF2-40B4-BE49-F238E27FC236}">
              <a16:creationId xmlns:a16="http://schemas.microsoft.com/office/drawing/2014/main" id="{00000000-0008-0000-1200-0000D9070000}"/>
            </a:ext>
          </a:extLst>
        </xdr:cNvPr>
        <xdr:cNvCxnSpPr/>
      </xdr:nvCxnSpPr>
      <xdr:spPr>
        <a:xfrm flipV="1">
          <a:off x="10604500" y="231362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2010" name="Straight Arrow Connector 2009">
          <a:extLst>
            <a:ext uri="{FF2B5EF4-FFF2-40B4-BE49-F238E27FC236}">
              <a16:creationId xmlns:a16="http://schemas.microsoft.com/office/drawing/2014/main" id="{00000000-0008-0000-1200-0000DA070000}"/>
            </a:ext>
          </a:extLst>
        </xdr:cNvPr>
        <xdr:cNvCxnSpPr/>
      </xdr:nvCxnSpPr>
      <xdr:spPr>
        <a:xfrm>
          <a:off x="10593916" y="231764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2011" name="Straight Arrow Connector 2010">
          <a:extLst>
            <a:ext uri="{FF2B5EF4-FFF2-40B4-BE49-F238E27FC236}">
              <a16:creationId xmlns:a16="http://schemas.microsoft.com/office/drawing/2014/main" id="{00000000-0008-0000-1200-0000DB070000}"/>
            </a:ext>
          </a:extLst>
        </xdr:cNvPr>
        <xdr:cNvCxnSpPr/>
      </xdr:nvCxnSpPr>
      <xdr:spPr>
        <a:xfrm>
          <a:off x="10572750" y="233859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2012" name="Straight Arrow Connector 2011">
          <a:extLst>
            <a:ext uri="{FF2B5EF4-FFF2-40B4-BE49-F238E27FC236}">
              <a16:creationId xmlns:a16="http://schemas.microsoft.com/office/drawing/2014/main" id="{00000000-0008-0000-1200-0000DC070000}"/>
            </a:ext>
          </a:extLst>
        </xdr:cNvPr>
        <xdr:cNvCxnSpPr/>
      </xdr:nvCxnSpPr>
      <xdr:spPr>
        <a:xfrm flipV="1">
          <a:off x="10583333" y="227700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2013" name="Straight Arrow Connector 2012">
          <a:extLst>
            <a:ext uri="{FF2B5EF4-FFF2-40B4-BE49-F238E27FC236}">
              <a16:creationId xmlns:a16="http://schemas.microsoft.com/office/drawing/2014/main" id="{00000000-0008-0000-1200-0000DD070000}"/>
            </a:ext>
          </a:extLst>
        </xdr:cNvPr>
        <xdr:cNvCxnSpPr/>
      </xdr:nvCxnSpPr>
      <xdr:spPr>
        <a:xfrm>
          <a:off x="7598834" y="234357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2014" name="Straight Arrow Connector 2013">
          <a:extLst>
            <a:ext uri="{FF2B5EF4-FFF2-40B4-BE49-F238E27FC236}">
              <a16:creationId xmlns:a16="http://schemas.microsoft.com/office/drawing/2014/main" id="{00000000-0008-0000-1200-0000DE070000}"/>
            </a:ext>
          </a:extLst>
        </xdr:cNvPr>
        <xdr:cNvCxnSpPr/>
      </xdr:nvCxnSpPr>
      <xdr:spPr>
        <a:xfrm flipV="1">
          <a:off x="8794750" y="232431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2015" name="Straight Arrow Connector 2014">
          <a:extLst>
            <a:ext uri="{FF2B5EF4-FFF2-40B4-BE49-F238E27FC236}">
              <a16:creationId xmlns:a16="http://schemas.microsoft.com/office/drawing/2014/main" id="{00000000-0008-0000-1200-0000DF070000}"/>
            </a:ext>
          </a:extLst>
        </xdr:cNvPr>
        <xdr:cNvCxnSpPr/>
      </xdr:nvCxnSpPr>
      <xdr:spPr>
        <a:xfrm>
          <a:off x="8784166" y="233383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2016" name="Straight Arrow Connector 2015">
          <a:extLst>
            <a:ext uri="{FF2B5EF4-FFF2-40B4-BE49-F238E27FC236}">
              <a16:creationId xmlns:a16="http://schemas.microsoft.com/office/drawing/2014/main" id="{00000000-0008-0000-1200-0000E0070000}"/>
            </a:ext>
          </a:extLst>
        </xdr:cNvPr>
        <xdr:cNvCxnSpPr/>
      </xdr:nvCxnSpPr>
      <xdr:spPr>
        <a:xfrm flipV="1">
          <a:off x="8794750" y="236431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2017" name="Straight Arrow Connector 2016">
          <a:extLst>
            <a:ext uri="{FF2B5EF4-FFF2-40B4-BE49-F238E27FC236}">
              <a16:creationId xmlns:a16="http://schemas.microsoft.com/office/drawing/2014/main" id="{00000000-0008-0000-1200-0000E1070000}"/>
            </a:ext>
          </a:extLst>
        </xdr:cNvPr>
        <xdr:cNvCxnSpPr/>
      </xdr:nvCxnSpPr>
      <xdr:spPr>
        <a:xfrm>
          <a:off x="8805333" y="237363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2018" name="Straight Arrow Connector 2017">
          <a:extLst>
            <a:ext uri="{FF2B5EF4-FFF2-40B4-BE49-F238E27FC236}">
              <a16:creationId xmlns:a16="http://schemas.microsoft.com/office/drawing/2014/main" id="{00000000-0008-0000-1200-0000E2070000}"/>
            </a:ext>
          </a:extLst>
        </xdr:cNvPr>
        <xdr:cNvCxnSpPr/>
      </xdr:nvCxnSpPr>
      <xdr:spPr>
        <a:xfrm>
          <a:off x="10593916" y="231743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1661</xdr:row>
      <xdr:rowOff>52916</xdr:rowOff>
    </xdr:from>
    <xdr:to>
      <xdr:col>16</xdr:col>
      <xdr:colOff>0</xdr:colOff>
      <xdr:row>1663</xdr:row>
      <xdr:rowOff>0</xdr:rowOff>
    </xdr:to>
    <xdr:cxnSp macro="">
      <xdr:nvCxnSpPr>
        <xdr:cNvPr id="2019" name="Straight Arrow Connector 2018">
          <a:extLst>
            <a:ext uri="{FF2B5EF4-FFF2-40B4-BE49-F238E27FC236}">
              <a16:creationId xmlns:a16="http://schemas.microsoft.com/office/drawing/2014/main" id="{00000000-0008-0000-1200-0000E3070000}"/>
            </a:ext>
          </a:extLst>
        </xdr:cNvPr>
        <xdr:cNvCxnSpPr/>
      </xdr:nvCxnSpPr>
      <xdr:spPr>
        <a:xfrm flipV="1">
          <a:off x="10541000" y="233415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2020" name="Straight Arrow Connector 2019">
          <a:extLst>
            <a:ext uri="{FF2B5EF4-FFF2-40B4-BE49-F238E27FC236}">
              <a16:creationId xmlns:a16="http://schemas.microsoft.com/office/drawing/2014/main" id="{00000000-0008-0000-1200-0000E4070000}"/>
            </a:ext>
          </a:extLst>
        </xdr:cNvPr>
        <xdr:cNvCxnSpPr/>
      </xdr:nvCxnSpPr>
      <xdr:spPr>
        <a:xfrm>
          <a:off x="10530417" y="233764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2021" name="Straight Arrow Connector 2020">
          <a:extLst>
            <a:ext uri="{FF2B5EF4-FFF2-40B4-BE49-F238E27FC236}">
              <a16:creationId xmlns:a16="http://schemas.microsoft.com/office/drawing/2014/main" id="{00000000-0008-0000-1200-0000E5070000}"/>
            </a:ext>
          </a:extLst>
        </xdr:cNvPr>
        <xdr:cNvCxnSpPr/>
      </xdr:nvCxnSpPr>
      <xdr:spPr>
        <a:xfrm>
          <a:off x="10530417" y="233743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2022" name="Straight Arrow Connector 2021">
          <a:extLst>
            <a:ext uri="{FF2B5EF4-FFF2-40B4-BE49-F238E27FC236}">
              <a16:creationId xmlns:a16="http://schemas.microsoft.com/office/drawing/2014/main" id="{00000000-0008-0000-1200-0000E6070000}"/>
            </a:ext>
          </a:extLst>
        </xdr:cNvPr>
        <xdr:cNvCxnSpPr/>
      </xdr:nvCxnSpPr>
      <xdr:spPr>
        <a:xfrm flipV="1">
          <a:off x="10530417" y="236029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2023" name="Straight Arrow Connector 2022">
          <a:extLst>
            <a:ext uri="{FF2B5EF4-FFF2-40B4-BE49-F238E27FC236}">
              <a16:creationId xmlns:a16="http://schemas.microsoft.com/office/drawing/2014/main" id="{00000000-0008-0000-1200-0000E7070000}"/>
            </a:ext>
          </a:extLst>
        </xdr:cNvPr>
        <xdr:cNvCxnSpPr/>
      </xdr:nvCxnSpPr>
      <xdr:spPr>
        <a:xfrm>
          <a:off x="10572750" y="236421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2024" name="Straight Arrow Connector 2023">
          <a:extLst>
            <a:ext uri="{FF2B5EF4-FFF2-40B4-BE49-F238E27FC236}">
              <a16:creationId xmlns:a16="http://schemas.microsoft.com/office/drawing/2014/main" id="{00000000-0008-0000-1200-0000E8070000}"/>
            </a:ext>
          </a:extLst>
        </xdr:cNvPr>
        <xdr:cNvCxnSpPr/>
      </xdr:nvCxnSpPr>
      <xdr:spPr>
        <a:xfrm>
          <a:off x="10551583" y="236421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2025" name="Straight Arrow Connector 2024">
          <a:extLst>
            <a:ext uri="{FF2B5EF4-FFF2-40B4-BE49-F238E27FC236}">
              <a16:creationId xmlns:a16="http://schemas.microsoft.com/office/drawing/2014/main" id="{00000000-0008-0000-1200-0000E9070000}"/>
            </a:ext>
          </a:extLst>
        </xdr:cNvPr>
        <xdr:cNvCxnSpPr/>
      </xdr:nvCxnSpPr>
      <xdr:spPr>
        <a:xfrm>
          <a:off x="10583333" y="236442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2026" name="Straight Arrow Connector 2025">
          <a:extLst>
            <a:ext uri="{FF2B5EF4-FFF2-40B4-BE49-F238E27FC236}">
              <a16:creationId xmlns:a16="http://schemas.microsoft.com/office/drawing/2014/main" id="{00000000-0008-0000-1200-0000EA070000}"/>
            </a:ext>
          </a:extLst>
        </xdr:cNvPr>
        <xdr:cNvCxnSpPr/>
      </xdr:nvCxnSpPr>
      <xdr:spPr>
        <a:xfrm>
          <a:off x="10562166" y="239077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2027" name="Straight Arrow Connector 2026">
          <a:extLst>
            <a:ext uri="{FF2B5EF4-FFF2-40B4-BE49-F238E27FC236}">
              <a16:creationId xmlns:a16="http://schemas.microsoft.com/office/drawing/2014/main" id="{00000000-0008-0000-1200-0000EB070000}"/>
            </a:ext>
          </a:extLst>
        </xdr:cNvPr>
        <xdr:cNvCxnSpPr/>
      </xdr:nvCxnSpPr>
      <xdr:spPr>
        <a:xfrm>
          <a:off x="10615083" y="239098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2028" name="Straight Arrow Connector 2027">
          <a:extLst>
            <a:ext uri="{FF2B5EF4-FFF2-40B4-BE49-F238E27FC236}">
              <a16:creationId xmlns:a16="http://schemas.microsoft.com/office/drawing/2014/main" id="{00000000-0008-0000-1200-0000EC070000}"/>
            </a:ext>
          </a:extLst>
        </xdr:cNvPr>
        <xdr:cNvCxnSpPr/>
      </xdr:nvCxnSpPr>
      <xdr:spPr>
        <a:xfrm>
          <a:off x="10572750" y="239130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2029" name="Straight Arrow Connector 2028">
          <a:extLst>
            <a:ext uri="{FF2B5EF4-FFF2-40B4-BE49-F238E27FC236}">
              <a16:creationId xmlns:a16="http://schemas.microsoft.com/office/drawing/2014/main" id="{00000000-0008-0000-1200-0000ED070000}"/>
            </a:ext>
          </a:extLst>
        </xdr:cNvPr>
        <xdr:cNvCxnSpPr/>
      </xdr:nvCxnSpPr>
      <xdr:spPr>
        <a:xfrm flipV="1">
          <a:off x="10583333" y="238558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2030" name="Straight Arrow Connector 2029">
          <a:extLst>
            <a:ext uri="{FF2B5EF4-FFF2-40B4-BE49-F238E27FC236}">
              <a16:creationId xmlns:a16="http://schemas.microsoft.com/office/drawing/2014/main" id="{00000000-0008-0000-1200-0000EE070000}"/>
            </a:ext>
          </a:extLst>
        </xdr:cNvPr>
        <xdr:cNvCxnSpPr/>
      </xdr:nvCxnSpPr>
      <xdr:spPr>
        <a:xfrm>
          <a:off x="5080000" y="247173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2031" name="Straight Arrow Connector 2030">
          <a:extLst>
            <a:ext uri="{FF2B5EF4-FFF2-40B4-BE49-F238E27FC236}">
              <a16:creationId xmlns:a16="http://schemas.microsoft.com/office/drawing/2014/main" id="{00000000-0008-0000-1200-0000EF070000}"/>
            </a:ext>
          </a:extLst>
        </xdr:cNvPr>
        <xdr:cNvCxnSpPr/>
      </xdr:nvCxnSpPr>
      <xdr:spPr>
        <a:xfrm flipV="1">
          <a:off x="6381750" y="24150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2032" name="Straight Arrow Connector 2031">
          <a:extLst>
            <a:ext uri="{FF2B5EF4-FFF2-40B4-BE49-F238E27FC236}">
              <a16:creationId xmlns:a16="http://schemas.microsoft.com/office/drawing/2014/main" id="{00000000-0008-0000-1200-0000F0070000}"/>
            </a:ext>
          </a:extLst>
        </xdr:cNvPr>
        <xdr:cNvCxnSpPr/>
      </xdr:nvCxnSpPr>
      <xdr:spPr>
        <a:xfrm>
          <a:off x="6413500" y="24307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2033" name="Straight Arrow Connector 2032">
          <a:extLst>
            <a:ext uri="{FF2B5EF4-FFF2-40B4-BE49-F238E27FC236}">
              <a16:creationId xmlns:a16="http://schemas.microsoft.com/office/drawing/2014/main" id="{00000000-0008-0000-1200-0000F1070000}"/>
            </a:ext>
          </a:extLst>
        </xdr:cNvPr>
        <xdr:cNvCxnSpPr/>
      </xdr:nvCxnSpPr>
      <xdr:spPr>
        <a:xfrm flipV="1">
          <a:off x="7609417" y="24419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2034" name="Straight Arrow Connector 2033">
          <a:extLst>
            <a:ext uri="{FF2B5EF4-FFF2-40B4-BE49-F238E27FC236}">
              <a16:creationId xmlns:a16="http://schemas.microsoft.com/office/drawing/2014/main" id="{00000000-0008-0000-1200-0000F2070000}"/>
            </a:ext>
          </a:extLst>
        </xdr:cNvPr>
        <xdr:cNvCxnSpPr/>
      </xdr:nvCxnSpPr>
      <xdr:spPr>
        <a:xfrm>
          <a:off x="7598834" y="24521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2035" name="Straight Arrow Connector 2034">
          <a:extLst>
            <a:ext uri="{FF2B5EF4-FFF2-40B4-BE49-F238E27FC236}">
              <a16:creationId xmlns:a16="http://schemas.microsoft.com/office/drawing/2014/main" id="{00000000-0008-0000-1200-0000F3070000}"/>
            </a:ext>
          </a:extLst>
        </xdr:cNvPr>
        <xdr:cNvCxnSpPr/>
      </xdr:nvCxnSpPr>
      <xdr:spPr>
        <a:xfrm flipV="1">
          <a:off x="8794750" y="24328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2036" name="Straight Arrow Connector 2035">
          <a:extLst>
            <a:ext uri="{FF2B5EF4-FFF2-40B4-BE49-F238E27FC236}">
              <a16:creationId xmlns:a16="http://schemas.microsoft.com/office/drawing/2014/main" id="{00000000-0008-0000-1200-0000F4070000}"/>
            </a:ext>
          </a:extLst>
        </xdr:cNvPr>
        <xdr:cNvCxnSpPr/>
      </xdr:nvCxnSpPr>
      <xdr:spPr>
        <a:xfrm>
          <a:off x="8784166" y="24424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2037" name="Straight Arrow Connector 2036">
          <a:extLst>
            <a:ext uri="{FF2B5EF4-FFF2-40B4-BE49-F238E27FC236}">
              <a16:creationId xmlns:a16="http://schemas.microsoft.com/office/drawing/2014/main" id="{00000000-0008-0000-1200-0000F5070000}"/>
            </a:ext>
          </a:extLst>
        </xdr:cNvPr>
        <xdr:cNvCxnSpPr/>
      </xdr:nvCxnSpPr>
      <xdr:spPr>
        <a:xfrm flipV="1">
          <a:off x="8794750" y="24729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2038" name="Straight Arrow Connector 2037">
          <a:extLst>
            <a:ext uri="{FF2B5EF4-FFF2-40B4-BE49-F238E27FC236}">
              <a16:creationId xmlns:a16="http://schemas.microsoft.com/office/drawing/2014/main" id="{00000000-0008-0000-1200-0000F6070000}"/>
            </a:ext>
          </a:extLst>
        </xdr:cNvPr>
        <xdr:cNvCxnSpPr/>
      </xdr:nvCxnSpPr>
      <xdr:spPr>
        <a:xfrm>
          <a:off x="8805333" y="24822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1704</xdr:row>
      <xdr:rowOff>0</xdr:rowOff>
    </xdr:from>
    <xdr:to>
      <xdr:col>15</xdr:col>
      <xdr:colOff>603250</xdr:colOff>
      <xdr:row>1709</xdr:row>
      <xdr:rowOff>31750</xdr:rowOff>
    </xdr:to>
    <xdr:cxnSp macro="">
      <xdr:nvCxnSpPr>
        <xdr:cNvPr id="2039" name="Straight Arrow Connector 2038">
          <a:extLst>
            <a:ext uri="{FF2B5EF4-FFF2-40B4-BE49-F238E27FC236}">
              <a16:creationId xmlns:a16="http://schemas.microsoft.com/office/drawing/2014/main" id="{00000000-0008-0000-1200-0000F7070000}"/>
            </a:ext>
          </a:extLst>
        </xdr:cNvPr>
        <xdr:cNvCxnSpPr/>
      </xdr:nvCxnSpPr>
      <xdr:spPr>
        <a:xfrm flipV="1">
          <a:off x="10541000" y="24174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2040" name="Straight Arrow Connector 2039">
          <a:extLst>
            <a:ext uri="{FF2B5EF4-FFF2-40B4-BE49-F238E27FC236}">
              <a16:creationId xmlns:a16="http://schemas.microsoft.com/office/drawing/2014/main" id="{00000000-0008-0000-1200-0000F8070000}"/>
            </a:ext>
          </a:extLst>
        </xdr:cNvPr>
        <xdr:cNvCxnSpPr/>
      </xdr:nvCxnSpPr>
      <xdr:spPr>
        <a:xfrm flipV="1">
          <a:off x="10583333" y="24236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2041" name="Straight Arrow Connector 2040">
          <a:extLst>
            <a:ext uri="{FF2B5EF4-FFF2-40B4-BE49-F238E27FC236}">
              <a16:creationId xmlns:a16="http://schemas.microsoft.com/office/drawing/2014/main" id="{00000000-0008-0000-1200-0000F9070000}"/>
            </a:ext>
          </a:extLst>
        </xdr:cNvPr>
        <xdr:cNvCxnSpPr/>
      </xdr:nvCxnSpPr>
      <xdr:spPr>
        <a:xfrm>
          <a:off x="10604500" y="24285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2042" name="Straight Arrow Connector 2041">
          <a:extLst>
            <a:ext uri="{FF2B5EF4-FFF2-40B4-BE49-F238E27FC236}">
              <a16:creationId xmlns:a16="http://schemas.microsoft.com/office/drawing/2014/main" id="{00000000-0008-0000-1200-0000FA070000}"/>
            </a:ext>
          </a:extLst>
        </xdr:cNvPr>
        <xdr:cNvCxnSpPr/>
      </xdr:nvCxnSpPr>
      <xdr:spPr>
        <a:xfrm>
          <a:off x="10519834" y="24280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1717</xdr:row>
      <xdr:rowOff>52916</xdr:rowOff>
    </xdr:from>
    <xdr:to>
      <xdr:col>16</xdr:col>
      <xdr:colOff>0</xdr:colOff>
      <xdr:row>1719</xdr:row>
      <xdr:rowOff>0</xdr:rowOff>
    </xdr:to>
    <xdr:cxnSp macro="">
      <xdr:nvCxnSpPr>
        <xdr:cNvPr id="2043" name="Straight Arrow Connector 2042">
          <a:extLst>
            <a:ext uri="{FF2B5EF4-FFF2-40B4-BE49-F238E27FC236}">
              <a16:creationId xmlns:a16="http://schemas.microsoft.com/office/drawing/2014/main" id="{00000000-0008-0000-1200-0000FB070000}"/>
            </a:ext>
          </a:extLst>
        </xdr:cNvPr>
        <xdr:cNvCxnSpPr/>
      </xdr:nvCxnSpPr>
      <xdr:spPr>
        <a:xfrm flipV="1">
          <a:off x="10541000" y="24427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2044" name="Straight Arrow Connector 2043">
          <a:extLst>
            <a:ext uri="{FF2B5EF4-FFF2-40B4-BE49-F238E27FC236}">
              <a16:creationId xmlns:a16="http://schemas.microsoft.com/office/drawing/2014/main" id="{00000000-0008-0000-1200-0000FC070000}"/>
            </a:ext>
          </a:extLst>
        </xdr:cNvPr>
        <xdr:cNvCxnSpPr/>
      </xdr:nvCxnSpPr>
      <xdr:spPr>
        <a:xfrm>
          <a:off x="10551583" y="24462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2045" name="Straight Arrow Connector 2044">
          <a:extLst>
            <a:ext uri="{FF2B5EF4-FFF2-40B4-BE49-F238E27FC236}">
              <a16:creationId xmlns:a16="http://schemas.microsoft.com/office/drawing/2014/main" id="{00000000-0008-0000-1200-0000FD070000}"/>
            </a:ext>
          </a:extLst>
        </xdr:cNvPr>
        <xdr:cNvCxnSpPr/>
      </xdr:nvCxnSpPr>
      <xdr:spPr>
        <a:xfrm>
          <a:off x="10530417" y="24462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2046" name="Straight Arrow Connector 2045">
          <a:extLst>
            <a:ext uri="{FF2B5EF4-FFF2-40B4-BE49-F238E27FC236}">
              <a16:creationId xmlns:a16="http://schemas.microsoft.com/office/drawing/2014/main" id="{00000000-0008-0000-1200-0000FE070000}"/>
            </a:ext>
          </a:extLst>
        </xdr:cNvPr>
        <xdr:cNvCxnSpPr/>
      </xdr:nvCxnSpPr>
      <xdr:spPr>
        <a:xfrm>
          <a:off x="10541000" y="24463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2047" name="Straight Arrow Connector 2046">
          <a:extLst>
            <a:ext uri="{FF2B5EF4-FFF2-40B4-BE49-F238E27FC236}">
              <a16:creationId xmlns:a16="http://schemas.microsoft.com/office/drawing/2014/main" id="{00000000-0008-0000-1200-0000FF070000}"/>
            </a:ext>
          </a:extLst>
        </xdr:cNvPr>
        <xdr:cNvCxnSpPr/>
      </xdr:nvCxnSpPr>
      <xdr:spPr>
        <a:xfrm flipV="1">
          <a:off x="6392333" y="25188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2048" name="Straight Arrow Connector 2047">
          <a:extLst>
            <a:ext uri="{FF2B5EF4-FFF2-40B4-BE49-F238E27FC236}">
              <a16:creationId xmlns:a16="http://schemas.microsoft.com/office/drawing/2014/main" id="{00000000-0008-0000-1200-000000080000}"/>
            </a:ext>
          </a:extLst>
        </xdr:cNvPr>
        <xdr:cNvCxnSpPr/>
      </xdr:nvCxnSpPr>
      <xdr:spPr>
        <a:xfrm>
          <a:off x="6413500" y="25391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2049" name="Straight Arrow Connector 2048">
          <a:extLst>
            <a:ext uri="{FF2B5EF4-FFF2-40B4-BE49-F238E27FC236}">
              <a16:creationId xmlns:a16="http://schemas.microsoft.com/office/drawing/2014/main" id="{00000000-0008-0000-1200-000001080000}"/>
            </a:ext>
          </a:extLst>
        </xdr:cNvPr>
        <xdr:cNvCxnSpPr/>
      </xdr:nvCxnSpPr>
      <xdr:spPr>
        <a:xfrm flipV="1">
          <a:off x="7556500" y="25504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2050" name="Straight Arrow Connector 2049">
          <a:extLst>
            <a:ext uri="{FF2B5EF4-FFF2-40B4-BE49-F238E27FC236}">
              <a16:creationId xmlns:a16="http://schemas.microsoft.com/office/drawing/2014/main" id="{00000000-0008-0000-1200-000002080000}"/>
            </a:ext>
          </a:extLst>
        </xdr:cNvPr>
        <xdr:cNvCxnSpPr/>
      </xdr:nvCxnSpPr>
      <xdr:spPr>
        <a:xfrm flipV="1">
          <a:off x="10530417" y="24688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2051" name="Straight Arrow Connector 2050">
          <a:extLst>
            <a:ext uri="{FF2B5EF4-FFF2-40B4-BE49-F238E27FC236}">
              <a16:creationId xmlns:a16="http://schemas.microsoft.com/office/drawing/2014/main" id="{00000000-0008-0000-1200-000003080000}"/>
            </a:ext>
          </a:extLst>
        </xdr:cNvPr>
        <xdr:cNvCxnSpPr/>
      </xdr:nvCxnSpPr>
      <xdr:spPr>
        <a:xfrm>
          <a:off x="10572750" y="24727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2052" name="Straight Arrow Connector 2051">
          <a:extLst>
            <a:ext uri="{FF2B5EF4-FFF2-40B4-BE49-F238E27FC236}">
              <a16:creationId xmlns:a16="http://schemas.microsoft.com/office/drawing/2014/main" id="{00000000-0008-0000-1200-000004080000}"/>
            </a:ext>
          </a:extLst>
        </xdr:cNvPr>
        <xdr:cNvCxnSpPr/>
      </xdr:nvCxnSpPr>
      <xdr:spPr>
        <a:xfrm>
          <a:off x="10551583" y="24727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2053" name="Straight Arrow Connector 2052">
          <a:extLst>
            <a:ext uri="{FF2B5EF4-FFF2-40B4-BE49-F238E27FC236}">
              <a16:creationId xmlns:a16="http://schemas.microsoft.com/office/drawing/2014/main" id="{00000000-0008-0000-1200-000005080000}"/>
            </a:ext>
          </a:extLst>
        </xdr:cNvPr>
        <xdr:cNvCxnSpPr/>
      </xdr:nvCxnSpPr>
      <xdr:spPr>
        <a:xfrm>
          <a:off x="10583333" y="24730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2054" name="Straight Arrow Connector 2053">
          <a:extLst>
            <a:ext uri="{FF2B5EF4-FFF2-40B4-BE49-F238E27FC236}">
              <a16:creationId xmlns:a16="http://schemas.microsoft.com/office/drawing/2014/main" id="{00000000-0008-0000-1200-000006080000}"/>
            </a:ext>
          </a:extLst>
        </xdr:cNvPr>
        <xdr:cNvCxnSpPr/>
      </xdr:nvCxnSpPr>
      <xdr:spPr>
        <a:xfrm>
          <a:off x="10562166" y="24993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2055" name="Straight Arrow Connector 2054">
          <a:extLst>
            <a:ext uri="{FF2B5EF4-FFF2-40B4-BE49-F238E27FC236}">
              <a16:creationId xmlns:a16="http://schemas.microsoft.com/office/drawing/2014/main" id="{00000000-0008-0000-1200-000007080000}"/>
            </a:ext>
          </a:extLst>
        </xdr:cNvPr>
        <xdr:cNvCxnSpPr/>
      </xdr:nvCxnSpPr>
      <xdr:spPr>
        <a:xfrm>
          <a:off x="10615083" y="24995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2056" name="Straight Arrow Connector 2055">
          <a:extLst>
            <a:ext uri="{FF2B5EF4-FFF2-40B4-BE49-F238E27FC236}">
              <a16:creationId xmlns:a16="http://schemas.microsoft.com/office/drawing/2014/main" id="{00000000-0008-0000-1200-000008080000}"/>
            </a:ext>
          </a:extLst>
        </xdr:cNvPr>
        <xdr:cNvCxnSpPr/>
      </xdr:nvCxnSpPr>
      <xdr:spPr>
        <a:xfrm>
          <a:off x="10572750" y="24998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2057" name="Straight Arrow Connector 2056">
          <a:extLst>
            <a:ext uri="{FF2B5EF4-FFF2-40B4-BE49-F238E27FC236}">
              <a16:creationId xmlns:a16="http://schemas.microsoft.com/office/drawing/2014/main" id="{00000000-0008-0000-1200-000009080000}"/>
            </a:ext>
          </a:extLst>
        </xdr:cNvPr>
        <xdr:cNvCxnSpPr/>
      </xdr:nvCxnSpPr>
      <xdr:spPr>
        <a:xfrm flipV="1">
          <a:off x="10562166" y="25271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2058" name="Straight Arrow Connector 2057">
          <a:extLst>
            <a:ext uri="{FF2B5EF4-FFF2-40B4-BE49-F238E27FC236}">
              <a16:creationId xmlns:a16="http://schemas.microsoft.com/office/drawing/2014/main" id="{00000000-0008-0000-1200-00000A080000}"/>
            </a:ext>
          </a:extLst>
        </xdr:cNvPr>
        <xdr:cNvCxnSpPr/>
      </xdr:nvCxnSpPr>
      <xdr:spPr>
        <a:xfrm flipV="1">
          <a:off x="10604500" y="25307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2059" name="Straight Arrow Connector 2058">
          <a:extLst>
            <a:ext uri="{FF2B5EF4-FFF2-40B4-BE49-F238E27FC236}">
              <a16:creationId xmlns:a16="http://schemas.microsoft.com/office/drawing/2014/main" id="{00000000-0008-0000-1200-00000B080000}"/>
            </a:ext>
          </a:extLst>
        </xdr:cNvPr>
        <xdr:cNvCxnSpPr/>
      </xdr:nvCxnSpPr>
      <xdr:spPr>
        <a:xfrm>
          <a:off x="10593916" y="25348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2060" name="Straight Arrow Connector 2059">
          <a:extLst>
            <a:ext uri="{FF2B5EF4-FFF2-40B4-BE49-F238E27FC236}">
              <a16:creationId xmlns:a16="http://schemas.microsoft.com/office/drawing/2014/main" id="{00000000-0008-0000-1200-00000C080000}"/>
            </a:ext>
          </a:extLst>
        </xdr:cNvPr>
        <xdr:cNvCxnSpPr/>
      </xdr:nvCxnSpPr>
      <xdr:spPr>
        <a:xfrm>
          <a:off x="10572750" y="25557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2061" name="Straight Arrow Connector 2060">
          <a:extLst>
            <a:ext uri="{FF2B5EF4-FFF2-40B4-BE49-F238E27FC236}">
              <a16:creationId xmlns:a16="http://schemas.microsoft.com/office/drawing/2014/main" id="{00000000-0008-0000-1200-00000D080000}"/>
            </a:ext>
          </a:extLst>
        </xdr:cNvPr>
        <xdr:cNvCxnSpPr/>
      </xdr:nvCxnSpPr>
      <xdr:spPr>
        <a:xfrm flipV="1">
          <a:off x="10583333" y="24941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2062" name="Straight Arrow Connector 2061">
          <a:extLst>
            <a:ext uri="{FF2B5EF4-FFF2-40B4-BE49-F238E27FC236}">
              <a16:creationId xmlns:a16="http://schemas.microsoft.com/office/drawing/2014/main" id="{00000000-0008-0000-1200-00000E080000}"/>
            </a:ext>
          </a:extLst>
        </xdr:cNvPr>
        <xdr:cNvCxnSpPr/>
      </xdr:nvCxnSpPr>
      <xdr:spPr>
        <a:xfrm>
          <a:off x="7598834" y="25607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2063" name="Straight Arrow Connector 2062">
          <a:extLst>
            <a:ext uri="{FF2B5EF4-FFF2-40B4-BE49-F238E27FC236}">
              <a16:creationId xmlns:a16="http://schemas.microsoft.com/office/drawing/2014/main" id="{00000000-0008-0000-1200-00000F080000}"/>
            </a:ext>
          </a:extLst>
        </xdr:cNvPr>
        <xdr:cNvCxnSpPr/>
      </xdr:nvCxnSpPr>
      <xdr:spPr>
        <a:xfrm flipV="1">
          <a:off x="8794750" y="25414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2064" name="Straight Arrow Connector 2063">
          <a:extLst>
            <a:ext uri="{FF2B5EF4-FFF2-40B4-BE49-F238E27FC236}">
              <a16:creationId xmlns:a16="http://schemas.microsoft.com/office/drawing/2014/main" id="{00000000-0008-0000-1200-000010080000}"/>
            </a:ext>
          </a:extLst>
        </xdr:cNvPr>
        <xdr:cNvCxnSpPr/>
      </xdr:nvCxnSpPr>
      <xdr:spPr>
        <a:xfrm>
          <a:off x="8784166" y="25510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2065" name="Straight Arrow Connector 2064">
          <a:extLst>
            <a:ext uri="{FF2B5EF4-FFF2-40B4-BE49-F238E27FC236}">
              <a16:creationId xmlns:a16="http://schemas.microsoft.com/office/drawing/2014/main" id="{00000000-0008-0000-1200-000011080000}"/>
            </a:ext>
          </a:extLst>
        </xdr:cNvPr>
        <xdr:cNvCxnSpPr/>
      </xdr:nvCxnSpPr>
      <xdr:spPr>
        <a:xfrm flipV="1">
          <a:off x="8794750" y="25814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2066" name="Straight Arrow Connector 2065">
          <a:extLst>
            <a:ext uri="{FF2B5EF4-FFF2-40B4-BE49-F238E27FC236}">
              <a16:creationId xmlns:a16="http://schemas.microsoft.com/office/drawing/2014/main" id="{00000000-0008-0000-1200-000012080000}"/>
            </a:ext>
          </a:extLst>
        </xdr:cNvPr>
        <xdr:cNvCxnSpPr/>
      </xdr:nvCxnSpPr>
      <xdr:spPr>
        <a:xfrm>
          <a:off x="8805333" y="25908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2067" name="Straight Arrow Connector 2066">
          <a:extLst>
            <a:ext uri="{FF2B5EF4-FFF2-40B4-BE49-F238E27FC236}">
              <a16:creationId xmlns:a16="http://schemas.microsoft.com/office/drawing/2014/main" id="{00000000-0008-0000-1200-000013080000}"/>
            </a:ext>
          </a:extLst>
        </xdr:cNvPr>
        <xdr:cNvCxnSpPr/>
      </xdr:nvCxnSpPr>
      <xdr:spPr>
        <a:xfrm>
          <a:off x="10593916" y="25346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1773</xdr:row>
      <xdr:rowOff>52916</xdr:rowOff>
    </xdr:from>
    <xdr:to>
      <xdr:col>16</xdr:col>
      <xdr:colOff>0</xdr:colOff>
      <xdr:row>1775</xdr:row>
      <xdr:rowOff>0</xdr:rowOff>
    </xdr:to>
    <xdr:cxnSp macro="">
      <xdr:nvCxnSpPr>
        <xdr:cNvPr id="2068" name="Straight Arrow Connector 2067">
          <a:extLst>
            <a:ext uri="{FF2B5EF4-FFF2-40B4-BE49-F238E27FC236}">
              <a16:creationId xmlns:a16="http://schemas.microsoft.com/office/drawing/2014/main" id="{00000000-0008-0000-1200-000014080000}"/>
            </a:ext>
          </a:extLst>
        </xdr:cNvPr>
        <xdr:cNvCxnSpPr/>
      </xdr:nvCxnSpPr>
      <xdr:spPr>
        <a:xfrm flipV="1">
          <a:off x="10541000" y="25513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2069" name="Straight Arrow Connector 2068">
          <a:extLst>
            <a:ext uri="{FF2B5EF4-FFF2-40B4-BE49-F238E27FC236}">
              <a16:creationId xmlns:a16="http://schemas.microsoft.com/office/drawing/2014/main" id="{00000000-0008-0000-1200-000015080000}"/>
            </a:ext>
          </a:extLst>
        </xdr:cNvPr>
        <xdr:cNvCxnSpPr/>
      </xdr:nvCxnSpPr>
      <xdr:spPr>
        <a:xfrm>
          <a:off x="10530417" y="25548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2070" name="Straight Arrow Connector 2069">
          <a:extLst>
            <a:ext uri="{FF2B5EF4-FFF2-40B4-BE49-F238E27FC236}">
              <a16:creationId xmlns:a16="http://schemas.microsoft.com/office/drawing/2014/main" id="{00000000-0008-0000-1200-000016080000}"/>
            </a:ext>
          </a:extLst>
        </xdr:cNvPr>
        <xdr:cNvCxnSpPr/>
      </xdr:nvCxnSpPr>
      <xdr:spPr>
        <a:xfrm>
          <a:off x="10530417" y="25546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2071" name="Straight Arrow Connector 2070">
          <a:extLst>
            <a:ext uri="{FF2B5EF4-FFF2-40B4-BE49-F238E27FC236}">
              <a16:creationId xmlns:a16="http://schemas.microsoft.com/office/drawing/2014/main" id="{00000000-0008-0000-1200-000017080000}"/>
            </a:ext>
          </a:extLst>
        </xdr:cNvPr>
        <xdr:cNvCxnSpPr/>
      </xdr:nvCxnSpPr>
      <xdr:spPr>
        <a:xfrm flipV="1">
          <a:off x="10530417" y="25774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2072" name="Straight Arrow Connector 2071">
          <a:extLst>
            <a:ext uri="{FF2B5EF4-FFF2-40B4-BE49-F238E27FC236}">
              <a16:creationId xmlns:a16="http://schemas.microsoft.com/office/drawing/2014/main" id="{00000000-0008-0000-1200-000018080000}"/>
            </a:ext>
          </a:extLst>
        </xdr:cNvPr>
        <xdr:cNvCxnSpPr/>
      </xdr:nvCxnSpPr>
      <xdr:spPr>
        <a:xfrm>
          <a:off x="10572750" y="25813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2073" name="Straight Arrow Connector 2072">
          <a:extLst>
            <a:ext uri="{FF2B5EF4-FFF2-40B4-BE49-F238E27FC236}">
              <a16:creationId xmlns:a16="http://schemas.microsoft.com/office/drawing/2014/main" id="{00000000-0008-0000-1200-000019080000}"/>
            </a:ext>
          </a:extLst>
        </xdr:cNvPr>
        <xdr:cNvCxnSpPr/>
      </xdr:nvCxnSpPr>
      <xdr:spPr>
        <a:xfrm>
          <a:off x="10551583" y="25813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2074" name="Straight Arrow Connector 2073">
          <a:extLst>
            <a:ext uri="{FF2B5EF4-FFF2-40B4-BE49-F238E27FC236}">
              <a16:creationId xmlns:a16="http://schemas.microsoft.com/office/drawing/2014/main" id="{00000000-0008-0000-1200-00001A080000}"/>
            </a:ext>
          </a:extLst>
        </xdr:cNvPr>
        <xdr:cNvCxnSpPr/>
      </xdr:nvCxnSpPr>
      <xdr:spPr>
        <a:xfrm>
          <a:off x="10583333" y="25815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2075" name="Straight Arrow Connector 2074">
          <a:extLst>
            <a:ext uri="{FF2B5EF4-FFF2-40B4-BE49-F238E27FC236}">
              <a16:creationId xmlns:a16="http://schemas.microsoft.com/office/drawing/2014/main" id="{00000000-0008-0000-1200-00001B080000}"/>
            </a:ext>
          </a:extLst>
        </xdr:cNvPr>
        <xdr:cNvCxnSpPr/>
      </xdr:nvCxnSpPr>
      <xdr:spPr>
        <a:xfrm>
          <a:off x="10562166" y="26079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2076" name="Straight Arrow Connector 2075">
          <a:extLst>
            <a:ext uri="{FF2B5EF4-FFF2-40B4-BE49-F238E27FC236}">
              <a16:creationId xmlns:a16="http://schemas.microsoft.com/office/drawing/2014/main" id="{00000000-0008-0000-1200-00001C080000}"/>
            </a:ext>
          </a:extLst>
        </xdr:cNvPr>
        <xdr:cNvCxnSpPr/>
      </xdr:nvCxnSpPr>
      <xdr:spPr>
        <a:xfrm>
          <a:off x="10615083" y="26081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2077" name="Straight Arrow Connector 2076">
          <a:extLst>
            <a:ext uri="{FF2B5EF4-FFF2-40B4-BE49-F238E27FC236}">
              <a16:creationId xmlns:a16="http://schemas.microsoft.com/office/drawing/2014/main" id="{00000000-0008-0000-1200-00001D080000}"/>
            </a:ext>
          </a:extLst>
        </xdr:cNvPr>
        <xdr:cNvCxnSpPr/>
      </xdr:nvCxnSpPr>
      <xdr:spPr>
        <a:xfrm>
          <a:off x="10572750" y="26084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2078" name="Straight Arrow Connector 2077">
          <a:extLst>
            <a:ext uri="{FF2B5EF4-FFF2-40B4-BE49-F238E27FC236}">
              <a16:creationId xmlns:a16="http://schemas.microsoft.com/office/drawing/2014/main" id="{00000000-0008-0000-1200-00001E080000}"/>
            </a:ext>
          </a:extLst>
        </xdr:cNvPr>
        <xdr:cNvCxnSpPr/>
      </xdr:nvCxnSpPr>
      <xdr:spPr>
        <a:xfrm flipV="1">
          <a:off x="10583333" y="26027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2079" name="Straight Arrow Connector 2078">
          <a:extLst>
            <a:ext uri="{FF2B5EF4-FFF2-40B4-BE49-F238E27FC236}">
              <a16:creationId xmlns:a16="http://schemas.microsoft.com/office/drawing/2014/main" id="{00000000-0008-0000-1200-00001F080000}"/>
            </a:ext>
          </a:extLst>
        </xdr:cNvPr>
        <xdr:cNvCxnSpPr/>
      </xdr:nvCxnSpPr>
      <xdr:spPr>
        <a:xfrm flipV="1">
          <a:off x="5207000" y="243014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2080" name="Straight Arrow Connector 2079">
          <a:extLst>
            <a:ext uri="{FF2B5EF4-FFF2-40B4-BE49-F238E27FC236}">
              <a16:creationId xmlns:a16="http://schemas.microsoft.com/office/drawing/2014/main" id="{00000000-0008-0000-1200-000020080000}"/>
            </a:ext>
          </a:extLst>
        </xdr:cNvPr>
        <xdr:cNvCxnSpPr/>
      </xdr:nvCxnSpPr>
      <xdr:spPr>
        <a:xfrm flipV="1">
          <a:off x="603250" y="175842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2081" name="Straight Arrow Connector 2080">
          <a:extLst>
            <a:ext uri="{FF2B5EF4-FFF2-40B4-BE49-F238E27FC236}">
              <a16:creationId xmlns:a16="http://schemas.microsoft.com/office/drawing/2014/main" id="{00000000-0008-0000-1200-000021080000}"/>
            </a:ext>
          </a:extLst>
        </xdr:cNvPr>
        <xdr:cNvCxnSpPr/>
      </xdr:nvCxnSpPr>
      <xdr:spPr>
        <a:xfrm>
          <a:off x="603250" y="194669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2082" name="Straight Arrow Connector 2081">
          <a:extLst>
            <a:ext uri="{FF2B5EF4-FFF2-40B4-BE49-F238E27FC236}">
              <a16:creationId xmlns:a16="http://schemas.microsoft.com/office/drawing/2014/main" id="{00000000-0008-0000-1200-000022080000}"/>
            </a:ext>
          </a:extLst>
        </xdr:cNvPr>
        <xdr:cNvCxnSpPr/>
      </xdr:nvCxnSpPr>
      <xdr:spPr>
        <a:xfrm flipV="1">
          <a:off x="2296584" y="189896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2083" name="Straight Arrow Connector 2082">
          <a:extLst>
            <a:ext uri="{FF2B5EF4-FFF2-40B4-BE49-F238E27FC236}">
              <a16:creationId xmlns:a16="http://schemas.microsoft.com/office/drawing/2014/main" id="{00000000-0008-0000-1200-000023080000}"/>
            </a:ext>
          </a:extLst>
        </xdr:cNvPr>
        <xdr:cNvCxnSpPr/>
      </xdr:nvCxnSpPr>
      <xdr:spPr>
        <a:xfrm>
          <a:off x="2307167" y="203274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2084" name="Straight Arrow Connector 2083">
          <a:extLst>
            <a:ext uri="{FF2B5EF4-FFF2-40B4-BE49-F238E27FC236}">
              <a16:creationId xmlns:a16="http://schemas.microsoft.com/office/drawing/2014/main" id="{00000000-0008-0000-1200-000024080000}"/>
            </a:ext>
          </a:extLst>
        </xdr:cNvPr>
        <xdr:cNvCxnSpPr/>
      </xdr:nvCxnSpPr>
      <xdr:spPr>
        <a:xfrm flipV="1">
          <a:off x="3714750" y="182689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2085" name="Straight Arrow Connector 2084">
          <a:extLst>
            <a:ext uri="{FF2B5EF4-FFF2-40B4-BE49-F238E27FC236}">
              <a16:creationId xmlns:a16="http://schemas.microsoft.com/office/drawing/2014/main" id="{00000000-0008-0000-1200-000025080000}"/>
            </a:ext>
          </a:extLst>
        </xdr:cNvPr>
        <xdr:cNvCxnSpPr/>
      </xdr:nvCxnSpPr>
      <xdr:spPr>
        <a:xfrm>
          <a:off x="3799417" y="189907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2086" name="Straight Arrow Connector 2085">
          <a:extLst>
            <a:ext uri="{FF2B5EF4-FFF2-40B4-BE49-F238E27FC236}">
              <a16:creationId xmlns:a16="http://schemas.microsoft.com/office/drawing/2014/main" id="{00000000-0008-0000-1200-000026080000}"/>
            </a:ext>
          </a:extLst>
        </xdr:cNvPr>
        <xdr:cNvCxnSpPr/>
      </xdr:nvCxnSpPr>
      <xdr:spPr>
        <a:xfrm flipV="1">
          <a:off x="5175250" y="177884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2087" name="Straight Arrow Connector 2086">
          <a:extLst>
            <a:ext uri="{FF2B5EF4-FFF2-40B4-BE49-F238E27FC236}">
              <a16:creationId xmlns:a16="http://schemas.microsoft.com/office/drawing/2014/main" id="{00000000-0008-0000-1200-000027080000}"/>
            </a:ext>
          </a:extLst>
        </xdr:cNvPr>
        <xdr:cNvCxnSpPr/>
      </xdr:nvCxnSpPr>
      <xdr:spPr>
        <a:xfrm>
          <a:off x="5175250" y="182700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2088" name="Straight Arrow Connector 2087">
          <a:extLst>
            <a:ext uri="{FF2B5EF4-FFF2-40B4-BE49-F238E27FC236}">
              <a16:creationId xmlns:a16="http://schemas.microsoft.com/office/drawing/2014/main" id="{00000000-0008-0000-1200-000028080000}"/>
            </a:ext>
          </a:extLst>
        </xdr:cNvPr>
        <xdr:cNvCxnSpPr/>
      </xdr:nvCxnSpPr>
      <xdr:spPr>
        <a:xfrm flipV="1">
          <a:off x="6381750" y="176350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2089" name="Straight Arrow Connector 2088">
          <a:extLst>
            <a:ext uri="{FF2B5EF4-FFF2-40B4-BE49-F238E27FC236}">
              <a16:creationId xmlns:a16="http://schemas.microsoft.com/office/drawing/2014/main" id="{00000000-0008-0000-1200-000029080000}"/>
            </a:ext>
          </a:extLst>
        </xdr:cNvPr>
        <xdr:cNvCxnSpPr/>
      </xdr:nvCxnSpPr>
      <xdr:spPr>
        <a:xfrm>
          <a:off x="6413500" y="177927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2090" name="Straight Arrow Connector 2089">
          <a:extLst>
            <a:ext uri="{FF2B5EF4-FFF2-40B4-BE49-F238E27FC236}">
              <a16:creationId xmlns:a16="http://schemas.microsoft.com/office/drawing/2014/main" id="{00000000-0008-0000-1200-00002A080000}"/>
            </a:ext>
          </a:extLst>
        </xdr:cNvPr>
        <xdr:cNvCxnSpPr/>
      </xdr:nvCxnSpPr>
      <xdr:spPr>
        <a:xfrm flipV="1">
          <a:off x="7609417" y="179048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2091" name="Straight Arrow Connector 2090">
          <a:extLst>
            <a:ext uri="{FF2B5EF4-FFF2-40B4-BE49-F238E27FC236}">
              <a16:creationId xmlns:a16="http://schemas.microsoft.com/office/drawing/2014/main" id="{00000000-0008-0000-1200-00002B080000}"/>
            </a:ext>
          </a:extLst>
        </xdr:cNvPr>
        <xdr:cNvCxnSpPr/>
      </xdr:nvCxnSpPr>
      <xdr:spPr>
        <a:xfrm>
          <a:off x="7598834" y="18006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2092" name="Straight Arrow Connector 2091">
          <a:extLst>
            <a:ext uri="{FF2B5EF4-FFF2-40B4-BE49-F238E27FC236}">
              <a16:creationId xmlns:a16="http://schemas.microsoft.com/office/drawing/2014/main" id="{00000000-0008-0000-1200-00002C080000}"/>
            </a:ext>
          </a:extLst>
        </xdr:cNvPr>
        <xdr:cNvCxnSpPr/>
      </xdr:nvCxnSpPr>
      <xdr:spPr>
        <a:xfrm flipV="1">
          <a:off x="8794750" y="178138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2093" name="Straight Arrow Connector 2092">
          <a:extLst>
            <a:ext uri="{FF2B5EF4-FFF2-40B4-BE49-F238E27FC236}">
              <a16:creationId xmlns:a16="http://schemas.microsoft.com/office/drawing/2014/main" id="{00000000-0008-0000-1200-00002D080000}"/>
            </a:ext>
          </a:extLst>
        </xdr:cNvPr>
        <xdr:cNvCxnSpPr/>
      </xdr:nvCxnSpPr>
      <xdr:spPr>
        <a:xfrm>
          <a:off x="8784166" y="179091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2094" name="Straight Arrow Connector 2093">
          <a:extLst>
            <a:ext uri="{FF2B5EF4-FFF2-40B4-BE49-F238E27FC236}">
              <a16:creationId xmlns:a16="http://schemas.microsoft.com/office/drawing/2014/main" id="{00000000-0008-0000-1200-00002E080000}"/>
            </a:ext>
          </a:extLst>
        </xdr:cNvPr>
        <xdr:cNvCxnSpPr/>
      </xdr:nvCxnSpPr>
      <xdr:spPr>
        <a:xfrm flipV="1">
          <a:off x="8794750" y="18213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2095" name="Straight Arrow Connector 2094">
          <a:extLst>
            <a:ext uri="{FF2B5EF4-FFF2-40B4-BE49-F238E27FC236}">
              <a16:creationId xmlns:a16="http://schemas.microsoft.com/office/drawing/2014/main" id="{00000000-0008-0000-1200-00002F080000}"/>
            </a:ext>
          </a:extLst>
        </xdr:cNvPr>
        <xdr:cNvCxnSpPr/>
      </xdr:nvCxnSpPr>
      <xdr:spPr>
        <a:xfrm>
          <a:off x="8805333" y="183070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1368</xdr:row>
      <xdr:rowOff>0</xdr:rowOff>
    </xdr:from>
    <xdr:to>
      <xdr:col>15</xdr:col>
      <xdr:colOff>603250</xdr:colOff>
      <xdr:row>1373</xdr:row>
      <xdr:rowOff>31750</xdr:rowOff>
    </xdr:to>
    <xdr:cxnSp macro="">
      <xdr:nvCxnSpPr>
        <xdr:cNvPr id="2096" name="Straight Arrow Connector 2095">
          <a:extLst>
            <a:ext uri="{FF2B5EF4-FFF2-40B4-BE49-F238E27FC236}">
              <a16:creationId xmlns:a16="http://schemas.microsoft.com/office/drawing/2014/main" id="{00000000-0008-0000-1200-000030080000}"/>
            </a:ext>
          </a:extLst>
        </xdr:cNvPr>
        <xdr:cNvCxnSpPr/>
      </xdr:nvCxnSpPr>
      <xdr:spPr>
        <a:xfrm flipV="1">
          <a:off x="10541000" y="176593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2097" name="Straight Arrow Connector 2096">
          <a:extLst>
            <a:ext uri="{FF2B5EF4-FFF2-40B4-BE49-F238E27FC236}">
              <a16:creationId xmlns:a16="http://schemas.microsoft.com/office/drawing/2014/main" id="{00000000-0008-0000-1200-000031080000}"/>
            </a:ext>
          </a:extLst>
        </xdr:cNvPr>
        <xdr:cNvCxnSpPr/>
      </xdr:nvCxnSpPr>
      <xdr:spPr>
        <a:xfrm flipV="1">
          <a:off x="10583333" y="177217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2098" name="Straight Arrow Connector 2097">
          <a:extLst>
            <a:ext uri="{FF2B5EF4-FFF2-40B4-BE49-F238E27FC236}">
              <a16:creationId xmlns:a16="http://schemas.microsoft.com/office/drawing/2014/main" id="{00000000-0008-0000-1200-000032080000}"/>
            </a:ext>
          </a:extLst>
        </xdr:cNvPr>
        <xdr:cNvCxnSpPr/>
      </xdr:nvCxnSpPr>
      <xdr:spPr>
        <a:xfrm>
          <a:off x="10604500" y="177704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2099" name="Straight Arrow Connector 2098">
          <a:extLst>
            <a:ext uri="{FF2B5EF4-FFF2-40B4-BE49-F238E27FC236}">
              <a16:creationId xmlns:a16="http://schemas.microsoft.com/office/drawing/2014/main" id="{00000000-0008-0000-1200-000033080000}"/>
            </a:ext>
          </a:extLst>
        </xdr:cNvPr>
        <xdr:cNvCxnSpPr/>
      </xdr:nvCxnSpPr>
      <xdr:spPr>
        <a:xfrm>
          <a:off x="10519834" y="177651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1381</xdr:row>
      <xdr:rowOff>52916</xdr:rowOff>
    </xdr:from>
    <xdr:to>
      <xdr:col>16</xdr:col>
      <xdr:colOff>0</xdr:colOff>
      <xdr:row>1383</xdr:row>
      <xdr:rowOff>0</xdr:rowOff>
    </xdr:to>
    <xdr:cxnSp macro="">
      <xdr:nvCxnSpPr>
        <xdr:cNvPr id="2100" name="Straight Arrow Connector 2099">
          <a:extLst>
            <a:ext uri="{FF2B5EF4-FFF2-40B4-BE49-F238E27FC236}">
              <a16:creationId xmlns:a16="http://schemas.microsoft.com/office/drawing/2014/main" id="{00000000-0008-0000-1200-000034080000}"/>
            </a:ext>
          </a:extLst>
        </xdr:cNvPr>
        <xdr:cNvCxnSpPr/>
      </xdr:nvCxnSpPr>
      <xdr:spPr>
        <a:xfrm flipV="1">
          <a:off x="10541000" y="179122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2101" name="Straight Arrow Connector 2100">
          <a:extLst>
            <a:ext uri="{FF2B5EF4-FFF2-40B4-BE49-F238E27FC236}">
              <a16:creationId xmlns:a16="http://schemas.microsoft.com/office/drawing/2014/main" id="{00000000-0008-0000-1200-000035080000}"/>
            </a:ext>
          </a:extLst>
        </xdr:cNvPr>
        <xdr:cNvCxnSpPr/>
      </xdr:nvCxnSpPr>
      <xdr:spPr>
        <a:xfrm>
          <a:off x="10551583" y="179472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2102" name="Straight Arrow Connector 2101">
          <a:extLst>
            <a:ext uri="{FF2B5EF4-FFF2-40B4-BE49-F238E27FC236}">
              <a16:creationId xmlns:a16="http://schemas.microsoft.com/office/drawing/2014/main" id="{00000000-0008-0000-1200-000036080000}"/>
            </a:ext>
          </a:extLst>
        </xdr:cNvPr>
        <xdr:cNvCxnSpPr/>
      </xdr:nvCxnSpPr>
      <xdr:spPr>
        <a:xfrm>
          <a:off x="10530417" y="179472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1383</xdr:row>
      <xdr:rowOff>31750</xdr:rowOff>
    </xdr:from>
    <xdr:to>
      <xdr:col>16</xdr:col>
      <xdr:colOff>42334</xdr:colOff>
      <xdr:row>1390</xdr:row>
      <xdr:rowOff>63501</xdr:rowOff>
    </xdr:to>
    <xdr:cxnSp macro="">
      <xdr:nvCxnSpPr>
        <xdr:cNvPr id="2103" name="Straight Arrow Connector 2102">
          <a:extLst>
            <a:ext uri="{FF2B5EF4-FFF2-40B4-BE49-F238E27FC236}">
              <a16:creationId xmlns:a16="http://schemas.microsoft.com/office/drawing/2014/main" id="{00000000-0008-0000-1200-000037080000}"/>
            </a:ext>
          </a:extLst>
        </xdr:cNvPr>
        <xdr:cNvCxnSpPr/>
      </xdr:nvCxnSpPr>
      <xdr:spPr>
        <a:xfrm>
          <a:off x="10541000" y="179482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2104" name="Straight Arrow Connector 2103">
          <a:extLst>
            <a:ext uri="{FF2B5EF4-FFF2-40B4-BE49-F238E27FC236}">
              <a16:creationId xmlns:a16="http://schemas.microsoft.com/office/drawing/2014/main" id="{00000000-0008-0000-1200-000038080000}"/>
            </a:ext>
          </a:extLst>
        </xdr:cNvPr>
        <xdr:cNvCxnSpPr/>
      </xdr:nvCxnSpPr>
      <xdr:spPr>
        <a:xfrm flipV="1">
          <a:off x="6392333" y="186732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2105" name="Straight Arrow Connector 2104">
          <a:extLst>
            <a:ext uri="{FF2B5EF4-FFF2-40B4-BE49-F238E27FC236}">
              <a16:creationId xmlns:a16="http://schemas.microsoft.com/office/drawing/2014/main" id="{00000000-0008-0000-1200-000039080000}"/>
            </a:ext>
          </a:extLst>
        </xdr:cNvPr>
        <xdr:cNvCxnSpPr/>
      </xdr:nvCxnSpPr>
      <xdr:spPr>
        <a:xfrm>
          <a:off x="6413500" y="188764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2106" name="Straight Arrow Connector 2105">
          <a:extLst>
            <a:ext uri="{FF2B5EF4-FFF2-40B4-BE49-F238E27FC236}">
              <a16:creationId xmlns:a16="http://schemas.microsoft.com/office/drawing/2014/main" id="{00000000-0008-0000-1200-00003A080000}"/>
            </a:ext>
          </a:extLst>
        </xdr:cNvPr>
        <xdr:cNvCxnSpPr/>
      </xdr:nvCxnSpPr>
      <xdr:spPr>
        <a:xfrm flipV="1">
          <a:off x="7556500" y="189896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2107" name="Straight Arrow Connector 2106">
          <a:extLst>
            <a:ext uri="{FF2B5EF4-FFF2-40B4-BE49-F238E27FC236}">
              <a16:creationId xmlns:a16="http://schemas.microsoft.com/office/drawing/2014/main" id="{00000000-0008-0000-1200-00003B080000}"/>
            </a:ext>
          </a:extLst>
        </xdr:cNvPr>
        <xdr:cNvCxnSpPr/>
      </xdr:nvCxnSpPr>
      <xdr:spPr>
        <a:xfrm flipV="1">
          <a:off x="10530417" y="18173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2108" name="Straight Arrow Connector 2107">
          <a:extLst>
            <a:ext uri="{FF2B5EF4-FFF2-40B4-BE49-F238E27FC236}">
              <a16:creationId xmlns:a16="http://schemas.microsoft.com/office/drawing/2014/main" id="{00000000-0008-0000-1200-00003C080000}"/>
            </a:ext>
          </a:extLst>
        </xdr:cNvPr>
        <xdr:cNvCxnSpPr/>
      </xdr:nvCxnSpPr>
      <xdr:spPr>
        <a:xfrm>
          <a:off x="10572750" y="18212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2109" name="Straight Arrow Connector 2108">
          <a:extLst>
            <a:ext uri="{FF2B5EF4-FFF2-40B4-BE49-F238E27FC236}">
              <a16:creationId xmlns:a16="http://schemas.microsoft.com/office/drawing/2014/main" id="{00000000-0008-0000-1200-00003D080000}"/>
            </a:ext>
          </a:extLst>
        </xdr:cNvPr>
        <xdr:cNvCxnSpPr/>
      </xdr:nvCxnSpPr>
      <xdr:spPr>
        <a:xfrm>
          <a:off x="10551583" y="18212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2110" name="Straight Arrow Connector 2109">
          <a:extLst>
            <a:ext uri="{FF2B5EF4-FFF2-40B4-BE49-F238E27FC236}">
              <a16:creationId xmlns:a16="http://schemas.microsoft.com/office/drawing/2014/main" id="{00000000-0008-0000-1200-00003E080000}"/>
            </a:ext>
          </a:extLst>
        </xdr:cNvPr>
        <xdr:cNvCxnSpPr/>
      </xdr:nvCxnSpPr>
      <xdr:spPr>
        <a:xfrm>
          <a:off x="10583333" y="182149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2111" name="Straight Arrow Connector 2110">
          <a:extLst>
            <a:ext uri="{FF2B5EF4-FFF2-40B4-BE49-F238E27FC236}">
              <a16:creationId xmlns:a16="http://schemas.microsoft.com/office/drawing/2014/main" id="{00000000-0008-0000-1200-00003F080000}"/>
            </a:ext>
          </a:extLst>
        </xdr:cNvPr>
        <xdr:cNvCxnSpPr/>
      </xdr:nvCxnSpPr>
      <xdr:spPr>
        <a:xfrm>
          <a:off x="10562166" y="184785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2112" name="Straight Arrow Connector 2111">
          <a:extLst>
            <a:ext uri="{FF2B5EF4-FFF2-40B4-BE49-F238E27FC236}">
              <a16:creationId xmlns:a16="http://schemas.microsoft.com/office/drawing/2014/main" id="{00000000-0008-0000-1200-000040080000}"/>
            </a:ext>
          </a:extLst>
        </xdr:cNvPr>
        <xdr:cNvCxnSpPr/>
      </xdr:nvCxnSpPr>
      <xdr:spPr>
        <a:xfrm>
          <a:off x="10615083" y="18480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2113" name="Straight Arrow Connector 2112">
          <a:extLst>
            <a:ext uri="{FF2B5EF4-FFF2-40B4-BE49-F238E27FC236}">
              <a16:creationId xmlns:a16="http://schemas.microsoft.com/office/drawing/2014/main" id="{00000000-0008-0000-1200-000041080000}"/>
            </a:ext>
          </a:extLst>
        </xdr:cNvPr>
        <xdr:cNvCxnSpPr/>
      </xdr:nvCxnSpPr>
      <xdr:spPr>
        <a:xfrm>
          <a:off x="10572750" y="18483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2114" name="Straight Arrow Connector 2113">
          <a:extLst>
            <a:ext uri="{FF2B5EF4-FFF2-40B4-BE49-F238E27FC236}">
              <a16:creationId xmlns:a16="http://schemas.microsoft.com/office/drawing/2014/main" id="{00000000-0008-0000-1200-000042080000}"/>
            </a:ext>
          </a:extLst>
        </xdr:cNvPr>
        <xdr:cNvCxnSpPr/>
      </xdr:nvCxnSpPr>
      <xdr:spPr>
        <a:xfrm flipV="1">
          <a:off x="10562166" y="187568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2115" name="Straight Arrow Connector 2114">
          <a:extLst>
            <a:ext uri="{FF2B5EF4-FFF2-40B4-BE49-F238E27FC236}">
              <a16:creationId xmlns:a16="http://schemas.microsoft.com/office/drawing/2014/main" id="{00000000-0008-0000-1200-000043080000}"/>
            </a:ext>
          </a:extLst>
        </xdr:cNvPr>
        <xdr:cNvCxnSpPr/>
      </xdr:nvCxnSpPr>
      <xdr:spPr>
        <a:xfrm flipV="1">
          <a:off x="10604500" y="187928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2116" name="Straight Arrow Connector 2115">
          <a:extLst>
            <a:ext uri="{FF2B5EF4-FFF2-40B4-BE49-F238E27FC236}">
              <a16:creationId xmlns:a16="http://schemas.microsoft.com/office/drawing/2014/main" id="{00000000-0008-0000-1200-000044080000}"/>
            </a:ext>
          </a:extLst>
        </xdr:cNvPr>
        <xdr:cNvCxnSpPr/>
      </xdr:nvCxnSpPr>
      <xdr:spPr>
        <a:xfrm>
          <a:off x="10593916" y="188330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2117" name="Straight Arrow Connector 2116">
          <a:extLst>
            <a:ext uri="{FF2B5EF4-FFF2-40B4-BE49-F238E27FC236}">
              <a16:creationId xmlns:a16="http://schemas.microsoft.com/office/drawing/2014/main" id="{00000000-0008-0000-1200-000045080000}"/>
            </a:ext>
          </a:extLst>
        </xdr:cNvPr>
        <xdr:cNvCxnSpPr/>
      </xdr:nvCxnSpPr>
      <xdr:spPr>
        <a:xfrm>
          <a:off x="10572750" y="190425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2118" name="Straight Arrow Connector 2117">
          <a:extLst>
            <a:ext uri="{FF2B5EF4-FFF2-40B4-BE49-F238E27FC236}">
              <a16:creationId xmlns:a16="http://schemas.microsoft.com/office/drawing/2014/main" id="{00000000-0008-0000-1200-000046080000}"/>
            </a:ext>
          </a:extLst>
        </xdr:cNvPr>
        <xdr:cNvCxnSpPr/>
      </xdr:nvCxnSpPr>
      <xdr:spPr>
        <a:xfrm flipV="1">
          <a:off x="10583333" y="18426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2119" name="Straight Arrow Connector 2118">
          <a:extLst>
            <a:ext uri="{FF2B5EF4-FFF2-40B4-BE49-F238E27FC236}">
              <a16:creationId xmlns:a16="http://schemas.microsoft.com/office/drawing/2014/main" id="{00000000-0008-0000-1200-000047080000}"/>
            </a:ext>
          </a:extLst>
        </xdr:cNvPr>
        <xdr:cNvCxnSpPr/>
      </xdr:nvCxnSpPr>
      <xdr:spPr>
        <a:xfrm>
          <a:off x="7598834" y="190923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2120" name="Straight Arrow Connector 2119">
          <a:extLst>
            <a:ext uri="{FF2B5EF4-FFF2-40B4-BE49-F238E27FC236}">
              <a16:creationId xmlns:a16="http://schemas.microsoft.com/office/drawing/2014/main" id="{00000000-0008-0000-1200-000048080000}"/>
            </a:ext>
          </a:extLst>
        </xdr:cNvPr>
        <xdr:cNvCxnSpPr/>
      </xdr:nvCxnSpPr>
      <xdr:spPr>
        <a:xfrm flipV="1">
          <a:off x="8794750" y="188997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2121" name="Straight Arrow Connector 2120">
          <a:extLst>
            <a:ext uri="{FF2B5EF4-FFF2-40B4-BE49-F238E27FC236}">
              <a16:creationId xmlns:a16="http://schemas.microsoft.com/office/drawing/2014/main" id="{00000000-0008-0000-1200-000049080000}"/>
            </a:ext>
          </a:extLst>
        </xdr:cNvPr>
        <xdr:cNvCxnSpPr/>
      </xdr:nvCxnSpPr>
      <xdr:spPr>
        <a:xfrm>
          <a:off x="8784166" y="189949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2122" name="Straight Arrow Connector 2121">
          <a:extLst>
            <a:ext uri="{FF2B5EF4-FFF2-40B4-BE49-F238E27FC236}">
              <a16:creationId xmlns:a16="http://schemas.microsoft.com/office/drawing/2014/main" id="{00000000-0008-0000-1200-00004A080000}"/>
            </a:ext>
          </a:extLst>
        </xdr:cNvPr>
        <xdr:cNvCxnSpPr/>
      </xdr:nvCxnSpPr>
      <xdr:spPr>
        <a:xfrm flipV="1">
          <a:off x="8794750" y="192997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2123" name="Straight Arrow Connector 2122">
          <a:extLst>
            <a:ext uri="{FF2B5EF4-FFF2-40B4-BE49-F238E27FC236}">
              <a16:creationId xmlns:a16="http://schemas.microsoft.com/office/drawing/2014/main" id="{00000000-0008-0000-1200-00004B080000}"/>
            </a:ext>
          </a:extLst>
        </xdr:cNvPr>
        <xdr:cNvCxnSpPr/>
      </xdr:nvCxnSpPr>
      <xdr:spPr>
        <a:xfrm>
          <a:off x="8805333" y="193929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2124" name="Straight Arrow Connector 2123">
          <a:extLst>
            <a:ext uri="{FF2B5EF4-FFF2-40B4-BE49-F238E27FC236}">
              <a16:creationId xmlns:a16="http://schemas.microsoft.com/office/drawing/2014/main" id="{00000000-0008-0000-1200-00004C080000}"/>
            </a:ext>
          </a:extLst>
        </xdr:cNvPr>
        <xdr:cNvCxnSpPr/>
      </xdr:nvCxnSpPr>
      <xdr:spPr>
        <a:xfrm>
          <a:off x="10593916" y="188309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1437</xdr:row>
      <xdr:rowOff>52916</xdr:rowOff>
    </xdr:from>
    <xdr:to>
      <xdr:col>16</xdr:col>
      <xdr:colOff>0</xdr:colOff>
      <xdr:row>1439</xdr:row>
      <xdr:rowOff>0</xdr:rowOff>
    </xdr:to>
    <xdr:cxnSp macro="">
      <xdr:nvCxnSpPr>
        <xdr:cNvPr id="2125" name="Straight Arrow Connector 2124">
          <a:extLst>
            <a:ext uri="{FF2B5EF4-FFF2-40B4-BE49-F238E27FC236}">
              <a16:creationId xmlns:a16="http://schemas.microsoft.com/office/drawing/2014/main" id="{00000000-0008-0000-1200-00004D080000}"/>
            </a:ext>
          </a:extLst>
        </xdr:cNvPr>
        <xdr:cNvCxnSpPr/>
      </xdr:nvCxnSpPr>
      <xdr:spPr>
        <a:xfrm flipV="1">
          <a:off x="10541000" y="189981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2126" name="Straight Arrow Connector 2125">
          <a:extLst>
            <a:ext uri="{FF2B5EF4-FFF2-40B4-BE49-F238E27FC236}">
              <a16:creationId xmlns:a16="http://schemas.microsoft.com/office/drawing/2014/main" id="{00000000-0008-0000-1200-00004E080000}"/>
            </a:ext>
          </a:extLst>
        </xdr:cNvPr>
        <xdr:cNvCxnSpPr/>
      </xdr:nvCxnSpPr>
      <xdr:spPr>
        <a:xfrm>
          <a:off x="10530417" y="190330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2127" name="Straight Arrow Connector 2126">
          <a:extLst>
            <a:ext uri="{FF2B5EF4-FFF2-40B4-BE49-F238E27FC236}">
              <a16:creationId xmlns:a16="http://schemas.microsoft.com/office/drawing/2014/main" id="{00000000-0008-0000-1200-00004F080000}"/>
            </a:ext>
          </a:extLst>
        </xdr:cNvPr>
        <xdr:cNvCxnSpPr/>
      </xdr:nvCxnSpPr>
      <xdr:spPr>
        <a:xfrm>
          <a:off x="10530417" y="190309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2128" name="Straight Arrow Connector 2127">
          <a:extLst>
            <a:ext uri="{FF2B5EF4-FFF2-40B4-BE49-F238E27FC236}">
              <a16:creationId xmlns:a16="http://schemas.microsoft.com/office/drawing/2014/main" id="{00000000-0008-0000-1200-000050080000}"/>
            </a:ext>
          </a:extLst>
        </xdr:cNvPr>
        <xdr:cNvCxnSpPr/>
      </xdr:nvCxnSpPr>
      <xdr:spPr>
        <a:xfrm flipV="1">
          <a:off x="10530417" y="192595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2129" name="Straight Arrow Connector 2128">
          <a:extLst>
            <a:ext uri="{FF2B5EF4-FFF2-40B4-BE49-F238E27FC236}">
              <a16:creationId xmlns:a16="http://schemas.microsoft.com/office/drawing/2014/main" id="{00000000-0008-0000-1200-000051080000}"/>
            </a:ext>
          </a:extLst>
        </xdr:cNvPr>
        <xdr:cNvCxnSpPr/>
      </xdr:nvCxnSpPr>
      <xdr:spPr>
        <a:xfrm>
          <a:off x="10572750" y="192987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2130" name="Straight Arrow Connector 2129">
          <a:extLst>
            <a:ext uri="{FF2B5EF4-FFF2-40B4-BE49-F238E27FC236}">
              <a16:creationId xmlns:a16="http://schemas.microsoft.com/office/drawing/2014/main" id="{00000000-0008-0000-1200-000052080000}"/>
            </a:ext>
          </a:extLst>
        </xdr:cNvPr>
        <xdr:cNvCxnSpPr/>
      </xdr:nvCxnSpPr>
      <xdr:spPr>
        <a:xfrm>
          <a:off x="10551583" y="192987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2131" name="Straight Arrow Connector 2130">
          <a:extLst>
            <a:ext uri="{FF2B5EF4-FFF2-40B4-BE49-F238E27FC236}">
              <a16:creationId xmlns:a16="http://schemas.microsoft.com/office/drawing/2014/main" id="{00000000-0008-0000-1200-000053080000}"/>
            </a:ext>
          </a:extLst>
        </xdr:cNvPr>
        <xdr:cNvCxnSpPr/>
      </xdr:nvCxnSpPr>
      <xdr:spPr>
        <a:xfrm>
          <a:off x="10583333" y="193008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2136" name="Straight Arrow Connector 2135">
          <a:extLst>
            <a:ext uri="{FF2B5EF4-FFF2-40B4-BE49-F238E27FC236}">
              <a16:creationId xmlns:a16="http://schemas.microsoft.com/office/drawing/2014/main" id="{00000000-0008-0000-1200-000058080000}"/>
            </a:ext>
          </a:extLst>
        </xdr:cNvPr>
        <xdr:cNvCxnSpPr/>
      </xdr:nvCxnSpPr>
      <xdr:spPr>
        <a:xfrm>
          <a:off x="5080000" y="203739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2137" name="Straight Arrow Connector 2136">
          <a:extLst>
            <a:ext uri="{FF2B5EF4-FFF2-40B4-BE49-F238E27FC236}">
              <a16:creationId xmlns:a16="http://schemas.microsoft.com/office/drawing/2014/main" id="{00000000-0008-0000-1200-000059080000}"/>
            </a:ext>
          </a:extLst>
        </xdr:cNvPr>
        <xdr:cNvCxnSpPr/>
      </xdr:nvCxnSpPr>
      <xdr:spPr>
        <a:xfrm flipV="1">
          <a:off x="6381750" y="198067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2138" name="Straight Arrow Connector 2137">
          <a:extLst>
            <a:ext uri="{FF2B5EF4-FFF2-40B4-BE49-F238E27FC236}">
              <a16:creationId xmlns:a16="http://schemas.microsoft.com/office/drawing/2014/main" id="{00000000-0008-0000-1200-00005A080000}"/>
            </a:ext>
          </a:extLst>
        </xdr:cNvPr>
        <xdr:cNvCxnSpPr/>
      </xdr:nvCxnSpPr>
      <xdr:spPr>
        <a:xfrm>
          <a:off x="6413500" y="199644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2139" name="Straight Arrow Connector 2138">
          <a:extLst>
            <a:ext uri="{FF2B5EF4-FFF2-40B4-BE49-F238E27FC236}">
              <a16:creationId xmlns:a16="http://schemas.microsoft.com/office/drawing/2014/main" id="{00000000-0008-0000-1200-00005B080000}"/>
            </a:ext>
          </a:extLst>
        </xdr:cNvPr>
        <xdr:cNvCxnSpPr/>
      </xdr:nvCxnSpPr>
      <xdr:spPr>
        <a:xfrm flipV="1">
          <a:off x="7609417" y="200765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2140" name="Straight Arrow Connector 2139">
          <a:extLst>
            <a:ext uri="{FF2B5EF4-FFF2-40B4-BE49-F238E27FC236}">
              <a16:creationId xmlns:a16="http://schemas.microsoft.com/office/drawing/2014/main" id="{00000000-0008-0000-1200-00005C080000}"/>
            </a:ext>
          </a:extLst>
        </xdr:cNvPr>
        <xdr:cNvCxnSpPr/>
      </xdr:nvCxnSpPr>
      <xdr:spPr>
        <a:xfrm>
          <a:off x="7598834" y="201781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2141" name="Straight Arrow Connector 2140">
          <a:extLst>
            <a:ext uri="{FF2B5EF4-FFF2-40B4-BE49-F238E27FC236}">
              <a16:creationId xmlns:a16="http://schemas.microsoft.com/office/drawing/2014/main" id="{00000000-0008-0000-1200-00005D080000}"/>
            </a:ext>
          </a:extLst>
        </xdr:cNvPr>
        <xdr:cNvCxnSpPr/>
      </xdr:nvCxnSpPr>
      <xdr:spPr>
        <a:xfrm flipV="1">
          <a:off x="8794750" y="199855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2142" name="Straight Arrow Connector 2141">
          <a:extLst>
            <a:ext uri="{FF2B5EF4-FFF2-40B4-BE49-F238E27FC236}">
              <a16:creationId xmlns:a16="http://schemas.microsoft.com/office/drawing/2014/main" id="{00000000-0008-0000-1200-00005E080000}"/>
            </a:ext>
          </a:extLst>
        </xdr:cNvPr>
        <xdr:cNvCxnSpPr/>
      </xdr:nvCxnSpPr>
      <xdr:spPr>
        <a:xfrm>
          <a:off x="8784166" y="200808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2143" name="Straight Arrow Connector 2142">
          <a:extLst>
            <a:ext uri="{FF2B5EF4-FFF2-40B4-BE49-F238E27FC236}">
              <a16:creationId xmlns:a16="http://schemas.microsoft.com/office/drawing/2014/main" id="{00000000-0008-0000-1200-00005F080000}"/>
            </a:ext>
          </a:extLst>
        </xdr:cNvPr>
        <xdr:cNvCxnSpPr/>
      </xdr:nvCxnSpPr>
      <xdr:spPr>
        <a:xfrm flipV="1">
          <a:off x="8794750" y="203856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2144" name="Straight Arrow Connector 2143">
          <a:extLst>
            <a:ext uri="{FF2B5EF4-FFF2-40B4-BE49-F238E27FC236}">
              <a16:creationId xmlns:a16="http://schemas.microsoft.com/office/drawing/2014/main" id="{00000000-0008-0000-1200-000060080000}"/>
            </a:ext>
          </a:extLst>
        </xdr:cNvPr>
        <xdr:cNvCxnSpPr/>
      </xdr:nvCxnSpPr>
      <xdr:spPr>
        <a:xfrm>
          <a:off x="8805333" y="204787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1480</xdr:row>
      <xdr:rowOff>0</xdr:rowOff>
    </xdr:from>
    <xdr:to>
      <xdr:col>15</xdr:col>
      <xdr:colOff>603250</xdr:colOff>
      <xdr:row>1485</xdr:row>
      <xdr:rowOff>31750</xdr:rowOff>
    </xdr:to>
    <xdr:cxnSp macro="">
      <xdr:nvCxnSpPr>
        <xdr:cNvPr id="2145" name="Straight Arrow Connector 2144">
          <a:extLst>
            <a:ext uri="{FF2B5EF4-FFF2-40B4-BE49-F238E27FC236}">
              <a16:creationId xmlns:a16="http://schemas.microsoft.com/office/drawing/2014/main" id="{00000000-0008-0000-1200-000061080000}"/>
            </a:ext>
          </a:extLst>
        </xdr:cNvPr>
        <xdr:cNvCxnSpPr/>
      </xdr:nvCxnSpPr>
      <xdr:spPr>
        <a:xfrm flipV="1">
          <a:off x="10541000" y="198310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2146" name="Straight Arrow Connector 2145">
          <a:extLst>
            <a:ext uri="{FF2B5EF4-FFF2-40B4-BE49-F238E27FC236}">
              <a16:creationId xmlns:a16="http://schemas.microsoft.com/office/drawing/2014/main" id="{00000000-0008-0000-1200-000062080000}"/>
            </a:ext>
          </a:extLst>
        </xdr:cNvPr>
        <xdr:cNvCxnSpPr/>
      </xdr:nvCxnSpPr>
      <xdr:spPr>
        <a:xfrm flipV="1">
          <a:off x="10583333" y="198934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2147" name="Straight Arrow Connector 2146">
          <a:extLst>
            <a:ext uri="{FF2B5EF4-FFF2-40B4-BE49-F238E27FC236}">
              <a16:creationId xmlns:a16="http://schemas.microsoft.com/office/drawing/2014/main" id="{00000000-0008-0000-1200-000063080000}"/>
            </a:ext>
          </a:extLst>
        </xdr:cNvPr>
        <xdr:cNvCxnSpPr/>
      </xdr:nvCxnSpPr>
      <xdr:spPr>
        <a:xfrm>
          <a:off x="10604500" y="199421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2148" name="Straight Arrow Connector 2147">
          <a:extLst>
            <a:ext uri="{FF2B5EF4-FFF2-40B4-BE49-F238E27FC236}">
              <a16:creationId xmlns:a16="http://schemas.microsoft.com/office/drawing/2014/main" id="{00000000-0008-0000-1200-000064080000}"/>
            </a:ext>
          </a:extLst>
        </xdr:cNvPr>
        <xdr:cNvCxnSpPr/>
      </xdr:nvCxnSpPr>
      <xdr:spPr>
        <a:xfrm>
          <a:off x="10519834" y="199368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1493</xdr:row>
      <xdr:rowOff>52916</xdr:rowOff>
    </xdr:from>
    <xdr:to>
      <xdr:col>16</xdr:col>
      <xdr:colOff>0</xdr:colOff>
      <xdr:row>1495</xdr:row>
      <xdr:rowOff>0</xdr:rowOff>
    </xdr:to>
    <xdr:cxnSp macro="">
      <xdr:nvCxnSpPr>
        <xdr:cNvPr id="2149" name="Straight Arrow Connector 2148">
          <a:extLst>
            <a:ext uri="{FF2B5EF4-FFF2-40B4-BE49-F238E27FC236}">
              <a16:creationId xmlns:a16="http://schemas.microsoft.com/office/drawing/2014/main" id="{00000000-0008-0000-1200-000065080000}"/>
            </a:ext>
          </a:extLst>
        </xdr:cNvPr>
        <xdr:cNvCxnSpPr/>
      </xdr:nvCxnSpPr>
      <xdr:spPr>
        <a:xfrm flipV="1">
          <a:off x="10541000" y="200839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2150" name="Straight Arrow Connector 2149">
          <a:extLst>
            <a:ext uri="{FF2B5EF4-FFF2-40B4-BE49-F238E27FC236}">
              <a16:creationId xmlns:a16="http://schemas.microsoft.com/office/drawing/2014/main" id="{00000000-0008-0000-1200-000066080000}"/>
            </a:ext>
          </a:extLst>
        </xdr:cNvPr>
        <xdr:cNvCxnSpPr/>
      </xdr:nvCxnSpPr>
      <xdr:spPr>
        <a:xfrm>
          <a:off x="10551583" y="201189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2151" name="Straight Arrow Connector 2150">
          <a:extLst>
            <a:ext uri="{FF2B5EF4-FFF2-40B4-BE49-F238E27FC236}">
              <a16:creationId xmlns:a16="http://schemas.microsoft.com/office/drawing/2014/main" id="{00000000-0008-0000-1200-000067080000}"/>
            </a:ext>
          </a:extLst>
        </xdr:cNvPr>
        <xdr:cNvCxnSpPr/>
      </xdr:nvCxnSpPr>
      <xdr:spPr>
        <a:xfrm>
          <a:off x="10530417" y="201189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2152" name="Straight Arrow Connector 2151">
          <a:extLst>
            <a:ext uri="{FF2B5EF4-FFF2-40B4-BE49-F238E27FC236}">
              <a16:creationId xmlns:a16="http://schemas.microsoft.com/office/drawing/2014/main" id="{00000000-0008-0000-1200-000068080000}"/>
            </a:ext>
          </a:extLst>
        </xdr:cNvPr>
        <xdr:cNvCxnSpPr/>
      </xdr:nvCxnSpPr>
      <xdr:spPr>
        <a:xfrm>
          <a:off x="10541000" y="201199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2153" name="Straight Arrow Connector 2152">
          <a:extLst>
            <a:ext uri="{FF2B5EF4-FFF2-40B4-BE49-F238E27FC236}">
              <a16:creationId xmlns:a16="http://schemas.microsoft.com/office/drawing/2014/main" id="{00000000-0008-0000-1200-000069080000}"/>
            </a:ext>
          </a:extLst>
        </xdr:cNvPr>
        <xdr:cNvCxnSpPr/>
      </xdr:nvCxnSpPr>
      <xdr:spPr>
        <a:xfrm flipV="1">
          <a:off x="6392333" y="208449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2154" name="Straight Arrow Connector 2153">
          <a:extLst>
            <a:ext uri="{FF2B5EF4-FFF2-40B4-BE49-F238E27FC236}">
              <a16:creationId xmlns:a16="http://schemas.microsoft.com/office/drawing/2014/main" id="{00000000-0008-0000-1200-00006A080000}"/>
            </a:ext>
          </a:extLst>
        </xdr:cNvPr>
        <xdr:cNvCxnSpPr/>
      </xdr:nvCxnSpPr>
      <xdr:spPr>
        <a:xfrm>
          <a:off x="6413500" y="210481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2155" name="Straight Arrow Connector 2154">
          <a:extLst>
            <a:ext uri="{FF2B5EF4-FFF2-40B4-BE49-F238E27FC236}">
              <a16:creationId xmlns:a16="http://schemas.microsoft.com/office/drawing/2014/main" id="{00000000-0008-0000-1200-00006B080000}"/>
            </a:ext>
          </a:extLst>
        </xdr:cNvPr>
        <xdr:cNvCxnSpPr/>
      </xdr:nvCxnSpPr>
      <xdr:spPr>
        <a:xfrm flipV="1">
          <a:off x="7556500" y="211613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2156" name="Straight Arrow Connector 2155">
          <a:extLst>
            <a:ext uri="{FF2B5EF4-FFF2-40B4-BE49-F238E27FC236}">
              <a16:creationId xmlns:a16="http://schemas.microsoft.com/office/drawing/2014/main" id="{00000000-0008-0000-1200-00006C080000}"/>
            </a:ext>
          </a:extLst>
        </xdr:cNvPr>
        <xdr:cNvCxnSpPr/>
      </xdr:nvCxnSpPr>
      <xdr:spPr>
        <a:xfrm flipV="1">
          <a:off x="10530417" y="203454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2157" name="Straight Arrow Connector 2156">
          <a:extLst>
            <a:ext uri="{FF2B5EF4-FFF2-40B4-BE49-F238E27FC236}">
              <a16:creationId xmlns:a16="http://schemas.microsoft.com/office/drawing/2014/main" id="{00000000-0008-0000-1200-00006D080000}"/>
            </a:ext>
          </a:extLst>
        </xdr:cNvPr>
        <xdr:cNvCxnSpPr/>
      </xdr:nvCxnSpPr>
      <xdr:spPr>
        <a:xfrm>
          <a:off x="10572750" y="203845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2158" name="Straight Arrow Connector 2157">
          <a:extLst>
            <a:ext uri="{FF2B5EF4-FFF2-40B4-BE49-F238E27FC236}">
              <a16:creationId xmlns:a16="http://schemas.microsoft.com/office/drawing/2014/main" id="{00000000-0008-0000-1200-00006E080000}"/>
            </a:ext>
          </a:extLst>
        </xdr:cNvPr>
        <xdr:cNvCxnSpPr/>
      </xdr:nvCxnSpPr>
      <xdr:spPr>
        <a:xfrm>
          <a:off x="10551583" y="203845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2159" name="Straight Arrow Connector 2158">
          <a:extLst>
            <a:ext uri="{FF2B5EF4-FFF2-40B4-BE49-F238E27FC236}">
              <a16:creationId xmlns:a16="http://schemas.microsoft.com/office/drawing/2014/main" id="{00000000-0008-0000-1200-00006F080000}"/>
            </a:ext>
          </a:extLst>
        </xdr:cNvPr>
        <xdr:cNvCxnSpPr/>
      </xdr:nvCxnSpPr>
      <xdr:spPr>
        <a:xfrm>
          <a:off x="10583333" y="203866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2160" name="Straight Arrow Connector 2159">
          <a:extLst>
            <a:ext uri="{FF2B5EF4-FFF2-40B4-BE49-F238E27FC236}">
              <a16:creationId xmlns:a16="http://schemas.microsoft.com/office/drawing/2014/main" id="{00000000-0008-0000-1200-000070080000}"/>
            </a:ext>
          </a:extLst>
        </xdr:cNvPr>
        <xdr:cNvCxnSpPr/>
      </xdr:nvCxnSpPr>
      <xdr:spPr>
        <a:xfrm>
          <a:off x="10562166" y="206502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2161" name="Straight Arrow Connector 2160">
          <a:extLst>
            <a:ext uri="{FF2B5EF4-FFF2-40B4-BE49-F238E27FC236}">
              <a16:creationId xmlns:a16="http://schemas.microsoft.com/office/drawing/2014/main" id="{00000000-0008-0000-1200-000071080000}"/>
            </a:ext>
          </a:extLst>
        </xdr:cNvPr>
        <xdr:cNvCxnSpPr/>
      </xdr:nvCxnSpPr>
      <xdr:spPr>
        <a:xfrm>
          <a:off x="10615083" y="206523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2162" name="Straight Arrow Connector 2161">
          <a:extLst>
            <a:ext uri="{FF2B5EF4-FFF2-40B4-BE49-F238E27FC236}">
              <a16:creationId xmlns:a16="http://schemas.microsoft.com/office/drawing/2014/main" id="{00000000-0008-0000-1200-000072080000}"/>
            </a:ext>
          </a:extLst>
        </xdr:cNvPr>
        <xdr:cNvCxnSpPr/>
      </xdr:nvCxnSpPr>
      <xdr:spPr>
        <a:xfrm>
          <a:off x="10572750" y="206554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2163" name="Straight Arrow Connector 2162">
          <a:extLst>
            <a:ext uri="{FF2B5EF4-FFF2-40B4-BE49-F238E27FC236}">
              <a16:creationId xmlns:a16="http://schemas.microsoft.com/office/drawing/2014/main" id="{00000000-0008-0000-1200-000073080000}"/>
            </a:ext>
          </a:extLst>
        </xdr:cNvPr>
        <xdr:cNvCxnSpPr/>
      </xdr:nvCxnSpPr>
      <xdr:spPr>
        <a:xfrm flipV="1">
          <a:off x="10562166" y="209285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2164" name="Straight Arrow Connector 2163">
          <a:extLst>
            <a:ext uri="{FF2B5EF4-FFF2-40B4-BE49-F238E27FC236}">
              <a16:creationId xmlns:a16="http://schemas.microsoft.com/office/drawing/2014/main" id="{00000000-0008-0000-1200-000074080000}"/>
            </a:ext>
          </a:extLst>
        </xdr:cNvPr>
        <xdr:cNvCxnSpPr/>
      </xdr:nvCxnSpPr>
      <xdr:spPr>
        <a:xfrm flipV="1">
          <a:off x="10604500" y="209645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2165" name="Straight Arrow Connector 2164">
          <a:extLst>
            <a:ext uri="{FF2B5EF4-FFF2-40B4-BE49-F238E27FC236}">
              <a16:creationId xmlns:a16="http://schemas.microsoft.com/office/drawing/2014/main" id="{00000000-0008-0000-1200-000075080000}"/>
            </a:ext>
          </a:extLst>
        </xdr:cNvPr>
        <xdr:cNvCxnSpPr/>
      </xdr:nvCxnSpPr>
      <xdr:spPr>
        <a:xfrm>
          <a:off x="10593916" y="210047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2166" name="Straight Arrow Connector 2165">
          <a:extLst>
            <a:ext uri="{FF2B5EF4-FFF2-40B4-BE49-F238E27FC236}">
              <a16:creationId xmlns:a16="http://schemas.microsoft.com/office/drawing/2014/main" id="{00000000-0008-0000-1200-000076080000}"/>
            </a:ext>
          </a:extLst>
        </xdr:cNvPr>
        <xdr:cNvCxnSpPr/>
      </xdr:nvCxnSpPr>
      <xdr:spPr>
        <a:xfrm>
          <a:off x="10572750" y="212142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2167" name="Straight Arrow Connector 2166">
          <a:extLst>
            <a:ext uri="{FF2B5EF4-FFF2-40B4-BE49-F238E27FC236}">
              <a16:creationId xmlns:a16="http://schemas.microsoft.com/office/drawing/2014/main" id="{00000000-0008-0000-1200-000077080000}"/>
            </a:ext>
          </a:extLst>
        </xdr:cNvPr>
        <xdr:cNvCxnSpPr/>
      </xdr:nvCxnSpPr>
      <xdr:spPr>
        <a:xfrm flipV="1">
          <a:off x="10583333" y="205983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2168" name="Straight Arrow Connector 2167">
          <a:extLst>
            <a:ext uri="{FF2B5EF4-FFF2-40B4-BE49-F238E27FC236}">
              <a16:creationId xmlns:a16="http://schemas.microsoft.com/office/drawing/2014/main" id="{00000000-0008-0000-1200-000078080000}"/>
            </a:ext>
          </a:extLst>
        </xdr:cNvPr>
        <xdr:cNvCxnSpPr/>
      </xdr:nvCxnSpPr>
      <xdr:spPr>
        <a:xfrm>
          <a:off x="7598834" y="212640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2169" name="Straight Arrow Connector 2168">
          <a:extLst>
            <a:ext uri="{FF2B5EF4-FFF2-40B4-BE49-F238E27FC236}">
              <a16:creationId xmlns:a16="http://schemas.microsoft.com/office/drawing/2014/main" id="{00000000-0008-0000-1200-000079080000}"/>
            </a:ext>
          </a:extLst>
        </xdr:cNvPr>
        <xdr:cNvCxnSpPr/>
      </xdr:nvCxnSpPr>
      <xdr:spPr>
        <a:xfrm flipV="1">
          <a:off x="8794750" y="210714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2170" name="Straight Arrow Connector 2169">
          <a:extLst>
            <a:ext uri="{FF2B5EF4-FFF2-40B4-BE49-F238E27FC236}">
              <a16:creationId xmlns:a16="http://schemas.microsoft.com/office/drawing/2014/main" id="{00000000-0008-0000-1200-00007A080000}"/>
            </a:ext>
          </a:extLst>
        </xdr:cNvPr>
        <xdr:cNvCxnSpPr/>
      </xdr:nvCxnSpPr>
      <xdr:spPr>
        <a:xfrm>
          <a:off x="8784166" y="211666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2171" name="Straight Arrow Connector 2170">
          <a:extLst>
            <a:ext uri="{FF2B5EF4-FFF2-40B4-BE49-F238E27FC236}">
              <a16:creationId xmlns:a16="http://schemas.microsoft.com/office/drawing/2014/main" id="{00000000-0008-0000-1200-00007B080000}"/>
            </a:ext>
          </a:extLst>
        </xdr:cNvPr>
        <xdr:cNvCxnSpPr/>
      </xdr:nvCxnSpPr>
      <xdr:spPr>
        <a:xfrm flipV="1">
          <a:off x="8794750" y="214714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2172" name="Straight Arrow Connector 2171">
          <a:extLst>
            <a:ext uri="{FF2B5EF4-FFF2-40B4-BE49-F238E27FC236}">
              <a16:creationId xmlns:a16="http://schemas.microsoft.com/office/drawing/2014/main" id="{00000000-0008-0000-1200-00007C080000}"/>
            </a:ext>
          </a:extLst>
        </xdr:cNvPr>
        <xdr:cNvCxnSpPr/>
      </xdr:nvCxnSpPr>
      <xdr:spPr>
        <a:xfrm>
          <a:off x="8805333" y="215646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2173" name="Straight Arrow Connector 2172">
          <a:extLst>
            <a:ext uri="{FF2B5EF4-FFF2-40B4-BE49-F238E27FC236}">
              <a16:creationId xmlns:a16="http://schemas.microsoft.com/office/drawing/2014/main" id="{00000000-0008-0000-1200-00007D080000}"/>
            </a:ext>
          </a:extLst>
        </xdr:cNvPr>
        <xdr:cNvCxnSpPr/>
      </xdr:nvCxnSpPr>
      <xdr:spPr>
        <a:xfrm>
          <a:off x="10593916" y="210026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1549</xdr:row>
      <xdr:rowOff>52916</xdr:rowOff>
    </xdr:from>
    <xdr:to>
      <xdr:col>16</xdr:col>
      <xdr:colOff>0</xdr:colOff>
      <xdr:row>1551</xdr:row>
      <xdr:rowOff>0</xdr:rowOff>
    </xdr:to>
    <xdr:cxnSp macro="">
      <xdr:nvCxnSpPr>
        <xdr:cNvPr id="2174" name="Straight Arrow Connector 2173">
          <a:extLst>
            <a:ext uri="{FF2B5EF4-FFF2-40B4-BE49-F238E27FC236}">
              <a16:creationId xmlns:a16="http://schemas.microsoft.com/office/drawing/2014/main" id="{00000000-0008-0000-1200-00007E080000}"/>
            </a:ext>
          </a:extLst>
        </xdr:cNvPr>
        <xdr:cNvCxnSpPr/>
      </xdr:nvCxnSpPr>
      <xdr:spPr>
        <a:xfrm flipV="1">
          <a:off x="10541000" y="211698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2175" name="Straight Arrow Connector 2174">
          <a:extLst>
            <a:ext uri="{FF2B5EF4-FFF2-40B4-BE49-F238E27FC236}">
              <a16:creationId xmlns:a16="http://schemas.microsoft.com/office/drawing/2014/main" id="{00000000-0008-0000-1200-00007F080000}"/>
            </a:ext>
          </a:extLst>
        </xdr:cNvPr>
        <xdr:cNvCxnSpPr/>
      </xdr:nvCxnSpPr>
      <xdr:spPr>
        <a:xfrm>
          <a:off x="10530417" y="212047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2176" name="Straight Arrow Connector 2175">
          <a:extLst>
            <a:ext uri="{FF2B5EF4-FFF2-40B4-BE49-F238E27FC236}">
              <a16:creationId xmlns:a16="http://schemas.microsoft.com/office/drawing/2014/main" id="{00000000-0008-0000-1200-000080080000}"/>
            </a:ext>
          </a:extLst>
        </xdr:cNvPr>
        <xdr:cNvCxnSpPr/>
      </xdr:nvCxnSpPr>
      <xdr:spPr>
        <a:xfrm>
          <a:off x="10530417" y="212026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2177" name="Straight Arrow Connector 2176">
          <a:extLst>
            <a:ext uri="{FF2B5EF4-FFF2-40B4-BE49-F238E27FC236}">
              <a16:creationId xmlns:a16="http://schemas.microsoft.com/office/drawing/2014/main" id="{00000000-0008-0000-1200-000081080000}"/>
            </a:ext>
          </a:extLst>
        </xdr:cNvPr>
        <xdr:cNvCxnSpPr/>
      </xdr:nvCxnSpPr>
      <xdr:spPr>
        <a:xfrm flipV="1">
          <a:off x="10530417" y="214312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2178" name="Straight Arrow Connector 2177">
          <a:extLst>
            <a:ext uri="{FF2B5EF4-FFF2-40B4-BE49-F238E27FC236}">
              <a16:creationId xmlns:a16="http://schemas.microsoft.com/office/drawing/2014/main" id="{00000000-0008-0000-1200-000082080000}"/>
            </a:ext>
          </a:extLst>
        </xdr:cNvPr>
        <xdr:cNvCxnSpPr/>
      </xdr:nvCxnSpPr>
      <xdr:spPr>
        <a:xfrm>
          <a:off x="10572750" y="214704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2179" name="Straight Arrow Connector 2178">
          <a:extLst>
            <a:ext uri="{FF2B5EF4-FFF2-40B4-BE49-F238E27FC236}">
              <a16:creationId xmlns:a16="http://schemas.microsoft.com/office/drawing/2014/main" id="{00000000-0008-0000-1200-000083080000}"/>
            </a:ext>
          </a:extLst>
        </xdr:cNvPr>
        <xdr:cNvCxnSpPr/>
      </xdr:nvCxnSpPr>
      <xdr:spPr>
        <a:xfrm>
          <a:off x="10551583" y="214704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2180" name="Straight Arrow Connector 2179">
          <a:extLst>
            <a:ext uri="{FF2B5EF4-FFF2-40B4-BE49-F238E27FC236}">
              <a16:creationId xmlns:a16="http://schemas.microsoft.com/office/drawing/2014/main" id="{00000000-0008-0000-1200-000084080000}"/>
            </a:ext>
          </a:extLst>
        </xdr:cNvPr>
        <xdr:cNvCxnSpPr/>
      </xdr:nvCxnSpPr>
      <xdr:spPr>
        <a:xfrm>
          <a:off x="10583333" y="214725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2181" name="Straight Arrow Connector 2180">
          <a:extLst>
            <a:ext uri="{FF2B5EF4-FFF2-40B4-BE49-F238E27FC236}">
              <a16:creationId xmlns:a16="http://schemas.microsoft.com/office/drawing/2014/main" id="{00000000-0008-0000-1200-000085080000}"/>
            </a:ext>
          </a:extLst>
        </xdr:cNvPr>
        <xdr:cNvCxnSpPr/>
      </xdr:nvCxnSpPr>
      <xdr:spPr>
        <a:xfrm>
          <a:off x="10562166" y="217360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2182" name="Straight Arrow Connector 2181">
          <a:extLst>
            <a:ext uri="{FF2B5EF4-FFF2-40B4-BE49-F238E27FC236}">
              <a16:creationId xmlns:a16="http://schemas.microsoft.com/office/drawing/2014/main" id="{00000000-0008-0000-1200-000086080000}"/>
            </a:ext>
          </a:extLst>
        </xdr:cNvPr>
        <xdr:cNvCxnSpPr/>
      </xdr:nvCxnSpPr>
      <xdr:spPr>
        <a:xfrm>
          <a:off x="10615083" y="217381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2183" name="Straight Arrow Connector 2182">
          <a:extLst>
            <a:ext uri="{FF2B5EF4-FFF2-40B4-BE49-F238E27FC236}">
              <a16:creationId xmlns:a16="http://schemas.microsoft.com/office/drawing/2014/main" id="{00000000-0008-0000-1200-000087080000}"/>
            </a:ext>
          </a:extLst>
        </xdr:cNvPr>
        <xdr:cNvCxnSpPr/>
      </xdr:nvCxnSpPr>
      <xdr:spPr>
        <a:xfrm>
          <a:off x="10572750" y="217413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2184" name="Straight Arrow Connector 2183">
          <a:extLst>
            <a:ext uri="{FF2B5EF4-FFF2-40B4-BE49-F238E27FC236}">
              <a16:creationId xmlns:a16="http://schemas.microsoft.com/office/drawing/2014/main" id="{00000000-0008-0000-1200-000088080000}"/>
            </a:ext>
          </a:extLst>
        </xdr:cNvPr>
        <xdr:cNvCxnSpPr/>
      </xdr:nvCxnSpPr>
      <xdr:spPr>
        <a:xfrm flipV="1">
          <a:off x="10583333" y="216841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2185" name="Straight Arrow Connector 2184">
          <a:extLst>
            <a:ext uri="{FF2B5EF4-FFF2-40B4-BE49-F238E27FC236}">
              <a16:creationId xmlns:a16="http://schemas.microsoft.com/office/drawing/2014/main" id="{00000000-0008-0000-1200-000089080000}"/>
            </a:ext>
          </a:extLst>
        </xdr:cNvPr>
        <xdr:cNvCxnSpPr/>
      </xdr:nvCxnSpPr>
      <xdr:spPr>
        <a:xfrm flipV="1">
          <a:off x="5207000" y="199580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2186" name="Straight Arrow Connector 2185">
          <a:extLst>
            <a:ext uri="{FF2B5EF4-FFF2-40B4-BE49-F238E27FC236}">
              <a16:creationId xmlns:a16="http://schemas.microsoft.com/office/drawing/2014/main" id="{00000000-0008-0000-1200-00008A080000}"/>
            </a:ext>
          </a:extLst>
        </xdr:cNvPr>
        <xdr:cNvCxnSpPr/>
      </xdr:nvCxnSpPr>
      <xdr:spPr>
        <a:xfrm flipV="1">
          <a:off x="3714750" y="226123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2187" name="Straight Arrow Connector 2186">
          <a:extLst>
            <a:ext uri="{FF2B5EF4-FFF2-40B4-BE49-F238E27FC236}">
              <a16:creationId xmlns:a16="http://schemas.microsoft.com/office/drawing/2014/main" id="{00000000-0008-0000-1200-00008B080000}"/>
            </a:ext>
          </a:extLst>
        </xdr:cNvPr>
        <xdr:cNvCxnSpPr/>
      </xdr:nvCxnSpPr>
      <xdr:spPr>
        <a:xfrm>
          <a:off x="3799417" y="233341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2188" name="Straight Arrow Connector 2187">
          <a:extLst>
            <a:ext uri="{FF2B5EF4-FFF2-40B4-BE49-F238E27FC236}">
              <a16:creationId xmlns:a16="http://schemas.microsoft.com/office/drawing/2014/main" id="{00000000-0008-0000-1200-00008C080000}"/>
            </a:ext>
          </a:extLst>
        </xdr:cNvPr>
        <xdr:cNvCxnSpPr/>
      </xdr:nvCxnSpPr>
      <xdr:spPr>
        <a:xfrm flipV="1">
          <a:off x="5175250" y="221318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2189" name="Straight Arrow Connector 2188">
          <a:extLst>
            <a:ext uri="{FF2B5EF4-FFF2-40B4-BE49-F238E27FC236}">
              <a16:creationId xmlns:a16="http://schemas.microsoft.com/office/drawing/2014/main" id="{00000000-0008-0000-1200-00008D080000}"/>
            </a:ext>
          </a:extLst>
        </xdr:cNvPr>
        <xdr:cNvCxnSpPr/>
      </xdr:nvCxnSpPr>
      <xdr:spPr>
        <a:xfrm>
          <a:off x="5175250" y="226134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2190" name="Straight Arrow Connector 2189">
          <a:extLst>
            <a:ext uri="{FF2B5EF4-FFF2-40B4-BE49-F238E27FC236}">
              <a16:creationId xmlns:a16="http://schemas.microsoft.com/office/drawing/2014/main" id="{00000000-0008-0000-1200-00008E080000}"/>
            </a:ext>
          </a:extLst>
        </xdr:cNvPr>
        <xdr:cNvCxnSpPr/>
      </xdr:nvCxnSpPr>
      <xdr:spPr>
        <a:xfrm flipV="1">
          <a:off x="6381750" y="219784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2191" name="Straight Arrow Connector 2190">
          <a:extLst>
            <a:ext uri="{FF2B5EF4-FFF2-40B4-BE49-F238E27FC236}">
              <a16:creationId xmlns:a16="http://schemas.microsoft.com/office/drawing/2014/main" id="{00000000-0008-0000-1200-00008F080000}"/>
            </a:ext>
          </a:extLst>
        </xdr:cNvPr>
        <xdr:cNvCxnSpPr/>
      </xdr:nvCxnSpPr>
      <xdr:spPr>
        <a:xfrm>
          <a:off x="6413500" y="221361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2192" name="Straight Arrow Connector 2191">
          <a:extLst>
            <a:ext uri="{FF2B5EF4-FFF2-40B4-BE49-F238E27FC236}">
              <a16:creationId xmlns:a16="http://schemas.microsoft.com/office/drawing/2014/main" id="{00000000-0008-0000-1200-000090080000}"/>
            </a:ext>
          </a:extLst>
        </xdr:cNvPr>
        <xdr:cNvCxnSpPr/>
      </xdr:nvCxnSpPr>
      <xdr:spPr>
        <a:xfrm flipV="1">
          <a:off x="7609417" y="222482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2193" name="Straight Arrow Connector 2192">
          <a:extLst>
            <a:ext uri="{FF2B5EF4-FFF2-40B4-BE49-F238E27FC236}">
              <a16:creationId xmlns:a16="http://schemas.microsoft.com/office/drawing/2014/main" id="{00000000-0008-0000-1200-000091080000}"/>
            </a:ext>
          </a:extLst>
        </xdr:cNvPr>
        <xdr:cNvCxnSpPr/>
      </xdr:nvCxnSpPr>
      <xdr:spPr>
        <a:xfrm>
          <a:off x="7598834" y="223498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2194" name="Straight Arrow Connector 2193">
          <a:extLst>
            <a:ext uri="{FF2B5EF4-FFF2-40B4-BE49-F238E27FC236}">
              <a16:creationId xmlns:a16="http://schemas.microsoft.com/office/drawing/2014/main" id="{00000000-0008-0000-1200-000092080000}"/>
            </a:ext>
          </a:extLst>
        </xdr:cNvPr>
        <xdr:cNvCxnSpPr/>
      </xdr:nvCxnSpPr>
      <xdr:spPr>
        <a:xfrm flipV="1">
          <a:off x="8794750" y="221572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2195" name="Straight Arrow Connector 2194">
          <a:extLst>
            <a:ext uri="{FF2B5EF4-FFF2-40B4-BE49-F238E27FC236}">
              <a16:creationId xmlns:a16="http://schemas.microsoft.com/office/drawing/2014/main" id="{00000000-0008-0000-1200-000093080000}"/>
            </a:ext>
          </a:extLst>
        </xdr:cNvPr>
        <xdr:cNvCxnSpPr/>
      </xdr:nvCxnSpPr>
      <xdr:spPr>
        <a:xfrm>
          <a:off x="8784166" y="222525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2196" name="Straight Arrow Connector 2195">
          <a:extLst>
            <a:ext uri="{FF2B5EF4-FFF2-40B4-BE49-F238E27FC236}">
              <a16:creationId xmlns:a16="http://schemas.microsoft.com/office/drawing/2014/main" id="{00000000-0008-0000-1200-000094080000}"/>
            </a:ext>
          </a:extLst>
        </xdr:cNvPr>
        <xdr:cNvCxnSpPr/>
      </xdr:nvCxnSpPr>
      <xdr:spPr>
        <a:xfrm flipV="1">
          <a:off x="8794750" y="225573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2197" name="Straight Arrow Connector 2196">
          <a:extLst>
            <a:ext uri="{FF2B5EF4-FFF2-40B4-BE49-F238E27FC236}">
              <a16:creationId xmlns:a16="http://schemas.microsoft.com/office/drawing/2014/main" id="{00000000-0008-0000-1200-000095080000}"/>
            </a:ext>
          </a:extLst>
        </xdr:cNvPr>
        <xdr:cNvCxnSpPr/>
      </xdr:nvCxnSpPr>
      <xdr:spPr>
        <a:xfrm>
          <a:off x="8805333" y="226504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1592</xdr:row>
      <xdr:rowOff>0</xdr:rowOff>
    </xdr:from>
    <xdr:to>
      <xdr:col>15</xdr:col>
      <xdr:colOff>603250</xdr:colOff>
      <xdr:row>1597</xdr:row>
      <xdr:rowOff>31750</xdr:rowOff>
    </xdr:to>
    <xdr:cxnSp macro="">
      <xdr:nvCxnSpPr>
        <xdr:cNvPr id="2198" name="Straight Arrow Connector 2197">
          <a:extLst>
            <a:ext uri="{FF2B5EF4-FFF2-40B4-BE49-F238E27FC236}">
              <a16:creationId xmlns:a16="http://schemas.microsoft.com/office/drawing/2014/main" id="{00000000-0008-0000-1200-000096080000}"/>
            </a:ext>
          </a:extLst>
        </xdr:cNvPr>
        <xdr:cNvCxnSpPr/>
      </xdr:nvCxnSpPr>
      <xdr:spPr>
        <a:xfrm flipV="1">
          <a:off x="10541000" y="220027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2199" name="Straight Arrow Connector 2198">
          <a:extLst>
            <a:ext uri="{FF2B5EF4-FFF2-40B4-BE49-F238E27FC236}">
              <a16:creationId xmlns:a16="http://schemas.microsoft.com/office/drawing/2014/main" id="{00000000-0008-0000-1200-000097080000}"/>
            </a:ext>
          </a:extLst>
        </xdr:cNvPr>
        <xdr:cNvCxnSpPr/>
      </xdr:nvCxnSpPr>
      <xdr:spPr>
        <a:xfrm flipV="1">
          <a:off x="10583333" y="220651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2200" name="Straight Arrow Connector 2199">
          <a:extLst>
            <a:ext uri="{FF2B5EF4-FFF2-40B4-BE49-F238E27FC236}">
              <a16:creationId xmlns:a16="http://schemas.microsoft.com/office/drawing/2014/main" id="{00000000-0008-0000-1200-000098080000}"/>
            </a:ext>
          </a:extLst>
        </xdr:cNvPr>
        <xdr:cNvCxnSpPr/>
      </xdr:nvCxnSpPr>
      <xdr:spPr>
        <a:xfrm>
          <a:off x="10604500" y="221138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2201" name="Straight Arrow Connector 2200">
          <a:extLst>
            <a:ext uri="{FF2B5EF4-FFF2-40B4-BE49-F238E27FC236}">
              <a16:creationId xmlns:a16="http://schemas.microsoft.com/office/drawing/2014/main" id="{00000000-0008-0000-1200-000099080000}"/>
            </a:ext>
          </a:extLst>
        </xdr:cNvPr>
        <xdr:cNvCxnSpPr/>
      </xdr:nvCxnSpPr>
      <xdr:spPr>
        <a:xfrm>
          <a:off x="10519834" y="221085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1605</xdr:row>
      <xdr:rowOff>52916</xdr:rowOff>
    </xdr:from>
    <xdr:to>
      <xdr:col>16</xdr:col>
      <xdr:colOff>0</xdr:colOff>
      <xdr:row>1607</xdr:row>
      <xdr:rowOff>0</xdr:rowOff>
    </xdr:to>
    <xdr:cxnSp macro="">
      <xdr:nvCxnSpPr>
        <xdr:cNvPr id="2202" name="Straight Arrow Connector 2201">
          <a:extLst>
            <a:ext uri="{FF2B5EF4-FFF2-40B4-BE49-F238E27FC236}">
              <a16:creationId xmlns:a16="http://schemas.microsoft.com/office/drawing/2014/main" id="{00000000-0008-0000-1200-00009A080000}"/>
            </a:ext>
          </a:extLst>
        </xdr:cNvPr>
        <xdr:cNvCxnSpPr/>
      </xdr:nvCxnSpPr>
      <xdr:spPr>
        <a:xfrm flipV="1">
          <a:off x="10541000" y="222556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2203" name="Straight Arrow Connector 2202">
          <a:extLst>
            <a:ext uri="{FF2B5EF4-FFF2-40B4-BE49-F238E27FC236}">
              <a16:creationId xmlns:a16="http://schemas.microsoft.com/office/drawing/2014/main" id="{00000000-0008-0000-1200-00009B080000}"/>
            </a:ext>
          </a:extLst>
        </xdr:cNvPr>
        <xdr:cNvCxnSpPr/>
      </xdr:nvCxnSpPr>
      <xdr:spPr>
        <a:xfrm>
          <a:off x="10551583" y="222906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2204" name="Straight Arrow Connector 2203">
          <a:extLst>
            <a:ext uri="{FF2B5EF4-FFF2-40B4-BE49-F238E27FC236}">
              <a16:creationId xmlns:a16="http://schemas.microsoft.com/office/drawing/2014/main" id="{00000000-0008-0000-1200-00009C080000}"/>
            </a:ext>
          </a:extLst>
        </xdr:cNvPr>
        <xdr:cNvCxnSpPr/>
      </xdr:nvCxnSpPr>
      <xdr:spPr>
        <a:xfrm>
          <a:off x="10530417" y="222906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2205" name="Straight Arrow Connector 2204">
          <a:extLst>
            <a:ext uri="{FF2B5EF4-FFF2-40B4-BE49-F238E27FC236}">
              <a16:creationId xmlns:a16="http://schemas.microsoft.com/office/drawing/2014/main" id="{00000000-0008-0000-1200-00009D080000}"/>
            </a:ext>
          </a:extLst>
        </xdr:cNvPr>
        <xdr:cNvCxnSpPr/>
      </xdr:nvCxnSpPr>
      <xdr:spPr>
        <a:xfrm>
          <a:off x="10541000" y="222916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2206" name="Straight Arrow Connector 2205">
          <a:extLst>
            <a:ext uri="{FF2B5EF4-FFF2-40B4-BE49-F238E27FC236}">
              <a16:creationId xmlns:a16="http://schemas.microsoft.com/office/drawing/2014/main" id="{00000000-0008-0000-1200-00009E080000}"/>
            </a:ext>
          </a:extLst>
        </xdr:cNvPr>
        <xdr:cNvCxnSpPr/>
      </xdr:nvCxnSpPr>
      <xdr:spPr>
        <a:xfrm flipV="1">
          <a:off x="6392333" y="230166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2207" name="Straight Arrow Connector 2206">
          <a:extLst>
            <a:ext uri="{FF2B5EF4-FFF2-40B4-BE49-F238E27FC236}">
              <a16:creationId xmlns:a16="http://schemas.microsoft.com/office/drawing/2014/main" id="{00000000-0008-0000-1200-00009F080000}"/>
            </a:ext>
          </a:extLst>
        </xdr:cNvPr>
        <xdr:cNvCxnSpPr/>
      </xdr:nvCxnSpPr>
      <xdr:spPr>
        <a:xfrm>
          <a:off x="6413500" y="232198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2208" name="Straight Arrow Connector 2207">
          <a:extLst>
            <a:ext uri="{FF2B5EF4-FFF2-40B4-BE49-F238E27FC236}">
              <a16:creationId xmlns:a16="http://schemas.microsoft.com/office/drawing/2014/main" id="{00000000-0008-0000-1200-0000A0080000}"/>
            </a:ext>
          </a:extLst>
        </xdr:cNvPr>
        <xdr:cNvCxnSpPr/>
      </xdr:nvCxnSpPr>
      <xdr:spPr>
        <a:xfrm flipV="1">
          <a:off x="7556500" y="233330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2209" name="Straight Arrow Connector 2208">
          <a:extLst>
            <a:ext uri="{FF2B5EF4-FFF2-40B4-BE49-F238E27FC236}">
              <a16:creationId xmlns:a16="http://schemas.microsoft.com/office/drawing/2014/main" id="{00000000-0008-0000-1200-0000A1080000}"/>
            </a:ext>
          </a:extLst>
        </xdr:cNvPr>
        <xdr:cNvCxnSpPr/>
      </xdr:nvCxnSpPr>
      <xdr:spPr>
        <a:xfrm flipV="1">
          <a:off x="10530417" y="225171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2210" name="Straight Arrow Connector 2209">
          <a:extLst>
            <a:ext uri="{FF2B5EF4-FFF2-40B4-BE49-F238E27FC236}">
              <a16:creationId xmlns:a16="http://schemas.microsoft.com/office/drawing/2014/main" id="{00000000-0008-0000-1200-0000A2080000}"/>
            </a:ext>
          </a:extLst>
        </xdr:cNvPr>
        <xdr:cNvCxnSpPr/>
      </xdr:nvCxnSpPr>
      <xdr:spPr>
        <a:xfrm>
          <a:off x="10572750" y="225562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2211" name="Straight Arrow Connector 2210">
          <a:extLst>
            <a:ext uri="{FF2B5EF4-FFF2-40B4-BE49-F238E27FC236}">
              <a16:creationId xmlns:a16="http://schemas.microsoft.com/office/drawing/2014/main" id="{00000000-0008-0000-1200-0000A3080000}"/>
            </a:ext>
          </a:extLst>
        </xdr:cNvPr>
        <xdr:cNvCxnSpPr/>
      </xdr:nvCxnSpPr>
      <xdr:spPr>
        <a:xfrm>
          <a:off x="10551583" y="225562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2212" name="Straight Arrow Connector 2211">
          <a:extLst>
            <a:ext uri="{FF2B5EF4-FFF2-40B4-BE49-F238E27FC236}">
              <a16:creationId xmlns:a16="http://schemas.microsoft.com/office/drawing/2014/main" id="{00000000-0008-0000-1200-0000A4080000}"/>
            </a:ext>
          </a:extLst>
        </xdr:cNvPr>
        <xdr:cNvCxnSpPr/>
      </xdr:nvCxnSpPr>
      <xdr:spPr>
        <a:xfrm>
          <a:off x="10583333" y="225583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2213" name="Straight Arrow Connector 2212">
          <a:extLst>
            <a:ext uri="{FF2B5EF4-FFF2-40B4-BE49-F238E27FC236}">
              <a16:creationId xmlns:a16="http://schemas.microsoft.com/office/drawing/2014/main" id="{00000000-0008-0000-1200-0000A5080000}"/>
            </a:ext>
          </a:extLst>
        </xdr:cNvPr>
        <xdr:cNvCxnSpPr/>
      </xdr:nvCxnSpPr>
      <xdr:spPr>
        <a:xfrm>
          <a:off x="10562166" y="228219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2214" name="Straight Arrow Connector 2213">
          <a:extLst>
            <a:ext uri="{FF2B5EF4-FFF2-40B4-BE49-F238E27FC236}">
              <a16:creationId xmlns:a16="http://schemas.microsoft.com/office/drawing/2014/main" id="{00000000-0008-0000-1200-0000A6080000}"/>
            </a:ext>
          </a:extLst>
        </xdr:cNvPr>
        <xdr:cNvCxnSpPr/>
      </xdr:nvCxnSpPr>
      <xdr:spPr>
        <a:xfrm>
          <a:off x="10615083" y="228240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2215" name="Straight Arrow Connector 2214">
          <a:extLst>
            <a:ext uri="{FF2B5EF4-FFF2-40B4-BE49-F238E27FC236}">
              <a16:creationId xmlns:a16="http://schemas.microsoft.com/office/drawing/2014/main" id="{00000000-0008-0000-1200-0000A7080000}"/>
            </a:ext>
          </a:extLst>
        </xdr:cNvPr>
        <xdr:cNvCxnSpPr/>
      </xdr:nvCxnSpPr>
      <xdr:spPr>
        <a:xfrm>
          <a:off x="10572750" y="228271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2216" name="Straight Arrow Connector 2215">
          <a:extLst>
            <a:ext uri="{FF2B5EF4-FFF2-40B4-BE49-F238E27FC236}">
              <a16:creationId xmlns:a16="http://schemas.microsoft.com/office/drawing/2014/main" id="{00000000-0008-0000-1200-0000A8080000}"/>
            </a:ext>
          </a:extLst>
        </xdr:cNvPr>
        <xdr:cNvCxnSpPr/>
      </xdr:nvCxnSpPr>
      <xdr:spPr>
        <a:xfrm flipV="1">
          <a:off x="10562166" y="231002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2217" name="Straight Arrow Connector 2216">
          <a:extLst>
            <a:ext uri="{FF2B5EF4-FFF2-40B4-BE49-F238E27FC236}">
              <a16:creationId xmlns:a16="http://schemas.microsoft.com/office/drawing/2014/main" id="{00000000-0008-0000-1200-0000A9080000}"/>
            </a:ext>
          </a:extLst>
        </xdr:cNvPr>
        <xdr:cNvCxnSpPr/>
      </xdr:nvCxnSpPr>
      <xdr:spPr>
        <a:xfrm flipV="1">
          <a:off x="10604500" y="231362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2218" name="Straight Arrow Connector 2217">
          <a:extLst>
            <a:ext uri="{FF2B5EF4-FFF2-40B4-BE49-F238E27FC236}">
              <a16:creationId xmlns:a16="http://schemas.microsoft.com/office/drawing/2014/main" id="{00000000-0008-0000-1200-0000AA080000}"/>
            </a:ext>
          </a:extLst>
        </xdr:cNvPr>
        <xdr:cNvCxnSpPr/>
      </xdr:nvCxnSpPr>
      <xdr:spPr>
        <a:xfrm>
          <a:off x="10593916" y="231764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2219" name="Straight Arrow Connector 2218">
          <a:extLst>
            <a:ext uri="{FF2B5EF4-FFF2-40B4-BE49-F238E27FC236}">
              <a16:creationId xmlns:a16="http://schemas.microsoft.com/office/drawing/2014/main" id="{00000000-0008-0000-1200-0000AB080000}"/>
            </a:ext>
          </a:extLst>
        </xdr:cNvPr>
        <xdr:cNvCxnSpPr/>
      </xdr:nvCxnSpPr>
      <xdr:spPr>
        <a:xfrm>
          <a:off x="10572750" y="233859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2220" name="Straight Arrow Connector 2219">
          <a:extLst>
            <a:ext uri="{FF2B5EF4-FFF2-40B4-BE49-F238E27FC236}">
              <a16:creationId xmlns:a16="http://schemas.microsoft.com/office/drawing/2014/main" id="{00000000-0008-0000-1200-0000AC080000}"/>
            </a:ext>
          </a:extLst>
        </xdr:cNvPr>
        <xdr:cNvCxnSpPr/>
      </xdr:nvCxnSpPr>
      <xdr:spPr>
        <a:xfrm flipV="1">
          <a:off x="10583333" y="227700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2221" name="Straight Arrow Connector 2220">
          <a:extLst>
            <a:ext uri="{FF2B5EF4-FFF2-40B4-BE49-F238E27FC236}">
              <a16:creationId xmlns:a16="http://schemas.microsoft.com/office/drawing/2014/main" id="{00000000-0008-0000-1200-0000AD080000}"/>
            </a:ext>
          </a:extLst>
        </xdr:cNvPr>
        <xdr:cNvCxnSpPr/>
      </xdr:nvCxnSpPr>
      <xdr:spPr>
        <a:xfrm>
          <a:off x="7598834" y="234357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2222" name="Straight Arrow Connector 2221">
          <a:extLst>
            <a:ext uri="{FF2B5EF4-FFF2-40B4-BE49-F238E27FC236}">
              <a16:creationId xmlns:a16="http://schemas.microsoft.com/office/drawing/2014/main" id="{00000000-0008-0000-1200-0000AE080000}"/>
            </a:ext>
          </a:extLst>
        </xdr:cNvPr>
        <xdr:cNvCxnSpPr/>
      </xdr:nvCxnSpPr>
      <xdr:spPr>
        <a:xfrm flipV="1">
          <a:off x="8794750" y="232431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2223" name="Straight Arrow Connector 2222">
          <a:extLst>
            <a:ext uri="{FF2B5EF4-FFF2-40B4-BE49-F238E27FC236}">
              <a16:creationId xmlns:a16="http://schemas.microsoft.com/office/drawing/2014/main" id="{00000000-0008-0000-1200-0000AF080000}"/>
            </a:ext>
          </a:extLst>
        </xdr:cNvPr>
        <xdr:cNvCxnSpPr/>
      </xdr:nvCxnSpPr>
      <xdr:spPr>
        <a:xfrm>
          <a:off x="8784166" y="233383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2224" name="Straight Arrow Connector 2223">
          <a:extLst>
            <a:ext uri="{FF2B5EF4-FFF2-40B4-BE49-F238E27FC236}">
              <a16:creationId xmlns:a16="http://schemas.microsoft.com/office/drawing/2014/main" id="{00000000-0008-0000-1200-0000B0080000}"/>
            </a:ext>
          </a:extLst>
        </xdr:cNvPr>
        <xdr:cNvCxnSpPr/>
      </xdr:nvCxnSpPr>
      <xdr:spPr>
        <a:xfrm flipV="1">
          <a:off x="8794750" y="236431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2225" name="Straight Arrow Connector 2224">
          <a:extLst>
            <a:ext uri="{FF2B5EF4-FFF2-40B4-BE49-F238E27FC236}">
              <a16:creationId xmlns:a16="http://schemas.microsoft.com/office/drawing/2014/main" id="{00000000-0008-0000-1200-0000B1080000}"/>
            </a:ext>
          </a:extLst>
        </xdr:cNvPr>
        <xdr:cNvCxnSpPr/>
      </xdr:nvCxnSpPr>
      <xdr:spPr>
        <a:xfrm>
          <a:off x="8805333" y="237363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2226" name="Straight Arrow Connector 2225">
          <a:extLst>
            <a:ext uri="{FF2B5EF4-FFF2-40B4-BE49-F238E27FC236}">
              <a16:creationId xmlns:a16="http://schemas.microsoft.com/office/drawing/2014/main" id="{00000000-0008-0000-1200-0000B2080000}"/>
            </a:ext>
          </a:extLst>
        </xdr:cNvPr>
        <xdr:cNvCxnSpPr/>
      </xdr:nvCxnSpPr>
      <xdr:spPr>
        <a:xfrm>
          <a:off x="10593916" y="231743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1661</xdr:row>
      <xdr:rowOff>52916</xdr:rowOff>
    </xdr:from>
    <xdr:to>
      <xdr:col>16</xdr:col>
      <xdr:colOff>0</xdr:colOff>
      <xdr:row>1663</xdr:row>
      <xdr:rowOff>0</xdr:rowOff>
    </xdr:to>
    <xdr:cxnSp macro="">
      <xdr:nvCxnSpPr>
        <xdr:cNvPr id="2227" name="Straight Arrow Connector 2226">
          <a:extLst>
            <a:ext uri="{FF2B5EF4-FFF2-40B4-BE49-F238E27FC236}">
              <a16:creationId xmlns:a16="http://schemas.microsoft.com/office/drawing/2014/main" id="{00000000-0008-0000-1200-0000B3080000}"/>
            </a:ext>
          </a:extLst>
        </xdr:cNvPr>
        <xdr:cNvCxnSpPr/>
      </xdr:nvCxnSpPr>
      <xdr:spPr>
        <a:xfrm flipV="1">
          <a:off x="10541000" y="233415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2228" name="Straight Arrow Connector 2227">
          <a:extLst>
            <a:ext uri="{FF2B5EF4-FFF2-40B4-BE49-F238E27FC236}">
              <a16:creationId xmlns:a16="http://schemas.microsoft.com/office/drawing/2014/main" id="{00000000-0008-0000-1200-0000B4080000}"/>
            </a:ext>
          </a:extLst>
        </xdr:cNvPr>
        <xdr:cNvCxnSpPr/>
      </xdr:nvCxnSpPr>
      <xdr:spPr>
        <a:xfrm>
          <a:off x="10530417" y="233764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2229" name="Straight Arrow Connector 2228">
          <a:extLst>
            <a:ext uri="{FF2B5EF4-FFF2-40B4-BE49-F238E27FC236}">
              <a16:creationId xmlns:a16="http://schemas.microsoft.com/office/drawing/2014/main" id="{00000000-0008-0000-1200-0000B5080000}"/>
            </a:ext>
          </a:extLst>
        </xdr:cNvPr>
        <xdr:cNvCxnSpPr/>
      </xdr:nvCxnSpPr>
      <xdr:spPr>
        <a:xfrm>
          <a:off x="10530417" y="233743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2230" name="Straight Arrow Connector 2229">
          <a:extLst>
            <a:ext uri="{FF2B5EF4-FFF2-40B4-BE49-F238E27FC236}">
              <a16:creationId xmlns:a16="http://schemas.microsoft.com/office/drawing/2014/main" id="{00000000-0008-0000-1200-0000B6080000}"/>
            </a:ext>
          </a:extLst>
        </xdr:cNvPr>
        <xdr:cNvCxnSpPr/>
      </xdr:nvCxnSpPr>
      <xdr:spPr>
        <a:xfrm flipV="1">
          <a:off x="10530417" y="236029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2231" name="Straight Arrow Connector 2230">
          <a:extLst>
            <a:ext uri="{FF2B5EF4-FFF2-40B4-BE49-F238E27FC236}">
              <a16:creationId xmlns:a16="http://schemas.microsoft.com/office/drawing/2014/main" id="{00000000-0008-0000-1200-0000B7080000}"/>
            </a:ext>
          </a:extLst>
        </xdr:cNvPr>
        <xdr:cNvCxnSpPr/>
      </xdr:nvCxnSpPr>
      <xdr:spPr>
        <a:xfrm>
          <a:off x="10572750" y="236421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2232" name="Straight Arrow Connector 2231">
          <a:extLst>
            <a:ext uri="{FF2B5EF4-FFF2-40B4-BE49-F238E27FC236}">
              <a16:creationId xmlns:a16="http://schemas.microsoft.com/office/drawing/2014/main" id="{00000000-0008-0000-1200-0000B8080000}"/>
            </a:ext>
          </a:extLst>
        </xdr:cNvPr>
        <xdr:cNvCxnSpPr/>
      </xdr:nvCxnSpPr>
      <xdr:spPr>
        <a:xfrm>
          <a:off x="10551583" y="236421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2233" name="Straight Arrow Connector 2232">
          <a:extLst>
            <a:ext uri="{FF2B5EF4-FFF2-40B4-BE49-F238E27FC236}">
              <a16:creationId xmlns:a16="http://schemas.microsoft.com/office/drawing/2014/main" id="{00000000-0008-0000-1200-0000B9080000}"/>
            </a:ext>
          </a:extLst>
        </xdr:cNvPr>
        <xdr:cNvCxnSpPr/>
      </xdr:nvCxnSpPr>
      <xdr:spPr>
        <a:xfrm>
          <a:off x="10583333" y="236442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2234" name="Straight Arrow Connector 2233">
          <a:extLst>
            <a:ext uri="{FF2B5EF4-FFF2-40B4-BE49-F238E27FC236}">
              <a16:creationId xmlns:a16="http://schemas.microsoft.com/office/drawing/2014/main" id="{00000000-0008-0000-1200-0000BA080000}"/>
            </a:ext>
          </a:extLst>
        </xdr:cNvPr>
        <xdr:cNvCxnSpPr/>
      </xdr:nvCxnSpPr>
      <xdr:spPr>
        <a:xfrm>
          <a:off x="10562166" y="239077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2235" name="Straight Arrow Connector 2234">
          <a:extLst>
            <a:ext uri="{FF2B5EF4-FFF2-40B4-BE49-F238E27FC236}">
              <a16:creationId xmlns:a16="http://schemas.microsoft.com/office/drawing/2014/main" id="{00000000-0008-0000-1200-0000BB080000}"/>
            </a:ext>
          </a:extLst>
        </xdr:cNvPr>
        <xdr:cNvCxnSpPr/>
      </xdr:nvCxnSpPr>
      <xdr:spPr>
        <a:xfrm>
          <a:off x="10615083" y="239098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2236" name="Straight Arrow Connector 2235">
          <a:extLst>
            <a:ext uri="{FF2B5EF4-FFF2-40B4-BE49-F238E27FC236}">
              <a16:creationId xmlns:a16="http://schemas.microsoft.com/office/drawing/2014/main" id="{00000000-0008-0000-1200-0000BC080000}"/>
            </a:ext>
          </a:extLst>
        </xdr:cNvPr>
        <xdr:cNvCxnSpPr/>
      </xdr:nvCxnSpPr>
      <xdr:spPr>
        <a:xfrm>
          <a:off x="10572750" y="239130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2237" name="Straight Arrow Connector 2236">
          <a:extLst>
            <a:ext uri="{FF2B5EF4-FFF2-40B4-BE49-F238E27FC236}">
              <a16:creationId xmlns:a16="http://schemas.microsoft.com/office/drawing/2014/main" id="{00000000-0008-0000-1200-0000BD080000}"/>
            </a:ext>
          </a:extLst>
        </xdr:cNvPr>
        <xdr:cNvCxnSpPr/>
      </xdr:nvCxnSpPr>
      <xdr:spPr>
        <a:xfrm flipV="1">
          <a:off x="10583333" y="238558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2238" name="Straight Arrow Connector 2237">
          <a:extLst>
            <a:ext uri="{FF2B5EF4-FFF2-40B4-BE49-F238E27FC236}">
              <a16:creationId xmlns:a16="http://schemas.microsoft.com/office/drawing/2014/main" id="{00000000-0008-0000-1200-0000BE080000}"/>
            </a:ext>
          </a:extLst>
        </xdr:cNvPr>
        <xdr:cNvCxnSpPr/>
      </xdr:nvCxnSpPr>
      <xdr:spPr>
        <a:xfrm>
          <a:off x="5080000" y="247173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2239" name="Straight Arrow Connector 2238">
          <a:extLst>
            <a:ext uri="{FF2B5EF4-FFF2-40B4-BE49-F238E27FC236}">
              <a16:creationId xmlns:a16="http://schemas.microsoft.com/office/drawing/2014/main" id="{00000000-0008-0000-1200-0000BF080000}"/>
            </a:ext>
          </a:extLst>
        </xdr:cNvPr>
        <xdr:cNvCxnSpPr/>
      </xdr:nvCxnSpPr>
      <xdr:spPr>
        <a:xfrm flipV="1">
          <a:off x="6381750" y="24150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2240" name="Straight Arrow Connector 2239">
          <a:extLst>
            <a:ext uri="{FF2B5EF4-FFF2-40B4-BE49-F238E27FC236}">
              <a16:creationId xmlns:a16="http://schemas.microsoft.com/office/drawing/2014/main" id="{00000000-0008-0000-1200-0000C0080000}"/>
            </a:ext>
          </a:extLst>
        </xdr:cNvPr>
        <xdr:cNvCxnSpPr/>
      </xdr:nvCxnSpPr>
      <xdr:spPr>
        <a:xfrm>
          <a:off x="6413500" y="24307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2241" name="Straight Arrow Connector 2240">
          <a:extLst>
            <a:ext uri="{FF2B5EF4-FFF2-40B4-BE49-F238E27FC236}">
              <a16:creationId xmlns:a16="http://schemas.microsoft.com/office/drawing/2014/main" id="{00000000-0008-0000-1200-0000C1080000}"/>
            </a:ext>
          </a:extLst>
        </xdr:cNvPr>
        <xdr:cNvCxnSpPr/>
      </xdr:nvCxnSpPr>
      <xdr:spPr>
        <a:xfrm flipV="1">
          <a:off x="7609417" y="24419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2242" name="Straight Arrow Connector 2241">
          <a:extLst>
            <a:ext uri="{FF2B5EF4-FFF2-40B4-BE49-F238E27FC236}">
              <a16:creationId xmlns:a16="http://schemas.microsoft.com/office/drawing/2014/main" id="{00000000-0008-0000-1200-0000C2080000}"/>
            </a:ext>
          </a:extLst>
        </xdr:cNvPr>
        <xdr:cNvCxnSpPr/>
      </xdr:nvCxnSpPr>
      <xdr:spPr>
        <a:xfrm>
          <a:off x="7598834" y="24521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2243" name="Straight Arrow Connector 2242">
          <a:extLst>
            <a:ext uri="{FF2B5EF4-FFF2-40B4-BE49-F238E27FC236}">
              <a16:creationId xmlns:a16="http://schemas.microsoft.com/office/drawing/2014/main" id="{00000000-0008-0000-1200-0000C3080000}"/>
            </a:ext>
          </a:extLst>
        </xdr:cNvPr>
        <xdr:cNvCxnSpPr/>
      </xdr:nvCxnSpPr>
      <xdr:spPr>
        <a:xfrm flipV="1">
          <a:off x="8794750" y="24328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2244" name="Straight Arrow Connector 2243">
          <a:extLst>
            <a:ext uri="{FF2B5EF4-FFF2-40B4-BE49-F238E27FC236}">
              <a16:creationId xmlns:a16="http://schemas.microsoft.com/office/drawing/2014/main" id="{00000000-0008-0000-1200-0000C4080000}"/>
            </a:ext>
          </a:extLst>
        </xdr:cNvPr>
        <xdr:cNvCxnSpPr/>
      </xdr:nvCxnSpPr>
      <xdr:spPr>
        <a:xfrm>
          <a:off x="8784166" y="24424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2245" name="Straight Arrow Connector 2244">
          <a:extLst>
            <a:ext uri="{FF2B5EF4-FFF2-40B4-BE49-F238E27FC236}">
              <a16:creationId xmlns:a16="http://schemas.microsoft.com/office/drawing/2014/main" id="{00000000-0008-0000-1200-0000C5080000}"/>
            </a:ext>
          </a:extLst>
        </xdr:cNvPr>
        <xdr:cNvCxnSpPr/>
      </xdr:nvCxnSpPr>
      <xdr:spPr>
        <a:xfrm flipV="1">
          <a:off x="8794750" y="24729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2246" name="Straight Arrow Connector 2245">
          <a:extLst>
            <a:ext uri="{FF2B5EF4-FFF2-40B4-BE49-F238E27FC236}">
              <a16:creationId xmlns:a16="http://schemas.microsoft.com/office/drawing/2014/main" id="{00000000-0008-0000-1200-0000C6080000}"/>
            </a:ext>
          </a:extLst>
        </xdr:cNvPr>
        <xdr:cNvCxnSpPr/>
      </xdr:nvCxnSpPr>
      <xdr:spPr>
        <a:xfrm>
          <a:off x="8805333" y="24822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1704</xdr:row>
      <xdr:rowOff>0</xdr:rowOff>
    </xdr:from>
    <xdr:to>
      <xdr:col>15</xdr:col>
      <xdr:colOff>603250</xdr:colOff>
      <xdr:row>1709</xdr:row>
      <xdr:rowOff>31750</xdr:rowOff>
    </xdr:to>
    <xdr:cxnSp macro="">
      <xdr:nvCxnSpPr>
        <xdr:cNvPr id="2247" name="Straight Arrow Connector 2246">
          <a:extLst>
            <a:ext uri="{FF2B5EF4-FFF2-40B4-BE49-F238E27FC236}">
              <a16:creationId xmlns:a16="http://schemas.microsoft.com/office/drawing/2014/main" id="{00000000-0008-0000-1200-0000C7080000}"/>
            </a:ext>
          </a:extLst>
        </xdr:cNvPr>
        <xdr:cNvCxnSpPr/>
      </xdr:nvCxnSpPr>
      <xdr:spPr>
        <a:xfrm flipV="1">
          <a:off x="10541000" y="24174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2248" name="Straight Arrow Connector 2247">
          <a:extLst>
            <a:ext uri="{FF2B5EF4-FFF2-40B4-BE49-F238E27FC236}">
              <a16:creationId xmlns:a16="http://schemas.microsoft.com/office/drawing/2014/main" id="{00000000-0008-0000-1200-0000C8080000}"/>
            </a:ext>
          </a:extLst>
        </xdr:cNvPr>
        <xdr:cNvCxnSpPr/>
      </xdr:nvCxnSpPr>
      <xdr:spPr>
        <a:xfrm flipV="1">
          <a:off x="10583333" y="24236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2249" name="Straight Arrow Connector 2248">
          <a:extLst>
            <a:ext uri="{FF2B5EF4-FFF2-40B4-BE49-F238E27FC236}">
              <a16:creationId xmlns:a16="http://schemas.microsoft.com/office/drawing/2014/main" id="{00000000-0008-0000-1200-0000C9080000}"/>
            </a:ext>
          </a:extLst>
        </xdr:cNvPr>
        <xdr:cNvCxnSpPr/>
      </xdr:nvCxnSpPr>
      <xdr:spPr>
        <a:xfrm>
          <a:off x="10604500" y="24285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2250" name="Straight Arrow Connector 2249">
          <a:extLst>
            <a:ext uri="{FF2B5EF4-FFF2-40B4-BE49-F238E27FC236}">
              <a16:creationId xmlns:a16="http://schemas.microsoft.com/office/drawing/2014/main" id="{00000000-0008-0000-1200-0000CA080000}"/>
            </a:ext>
          </a:extLst>
        </xdr:cNvPr>
        <xdr:cNvCxnSpPr/>
      </xdr:nvCxnSpPr>
      <xdr:spPr>
        <a:xfrm>
          <a:off x="10519834" y="24280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1717</xdr:row>
      <xdr:rowOff>52916</xdr:rowOff>
    </xdr:from>
    <xdr:to>
      <xdr:col>16</xdr:col>
      <xdr:colOff>0</xdr:colOff>
      <xdr:row>1719</xdr:row>
      <xdr:rowOff>0</xdr:rowOff>
    </xdr:to>
    <xdr:cxnSp macro="">
      <xdr:nvCxnSpPr>
        <xdr:cNvPr id="2251" name="Straight Arrow Connector 2250">
          <a:extLst>
            <a:ext uri="{FF2B5EF4-FFF2-40B4-BE49-F238E27FC236}">
              <a16:creationId xmlns:a16="http://schemas.microsoft.com/office/drawing/2014/main" id="{00000000-0008-0000-1200-0000CB080000}"/>
            </a:ext>
          </a:extLst>
        </xdr:cNvPr>
        <xdr:cNvCxnSpPr/>
      </xdr:nvCxnSpPr>
      <xdr:spPr>
        <a:xfrm flipV="1">
          <a:off x="10541000" y="24427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2252" name="Straight Arrow Connector 2251">
          <a:extLst>
            <a:ext uri="{FF2B5EF4-FFF2-40B4-BE49-F238E27FC236}">
              <a16:creationId xmlns:a16="http://schemas.microsoft.com/office/drawing/2014/main" id="{00000000-0008-0000-1200-0000CC080000}"/>
            </a:ext>
          </a:extLst>
        </xdr:cNvPr>
        <xdr:cNvCxnSpPr/>
      </xdr:nvCxnSpPr>
      <xdr:spPr>
        <a:xfrm>
          <a:off x="10551583" y="24462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2253" name="Straight Arrow Connector 2252">
          <a:extLst>
            <a:ext uri="{FF2B5EF4-FFF2-40B4-BE49-F238E27FC236}">
              <a16:creationId xmlns:a16="http://schemas.microsoft.com/office/drawing/2014/main" id="{00000000-0008-0000-1200-0000CD080000}"/>
            </a:ext>
          </a:extLst>
        </xdr:cNvPr>
        <xdr:cNvCxnSpPr/>
      </xdr:nvCxnSpPr>
      <xdr:spPr>
        <a:xfrm>
          <a:off x="10530417" y="24462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2254" name="Straight Arrow Connector 2253">
          <a:extLst>
            <a:ext uri="{FF2B5EF4-FFF2-40B4-BE49-F238E27FC236}">
              <a16:creationId xmlns:a16="http://schemas.microsoft.com/office/drawing/2014/main" id="{00000000-0008-0000-1200-0000CE080000}"/>
            </a:ext>
          </a:extLst>
        </xdr:cNvPr>
        <xdr:cNvCxnSpPr/>
      </xdr:nvCxnSpPr>
      <xdr:spPr>
        <a:xfrm>
          <a:off x="10541000" y="24463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2255" name="Straight Arrow Connector 2254">
          <a:extLst>
            <a:ext uri="{FF2B5EF4-FFF2-40B4-BE49-F238E27FC236}">
              <a16:creationId xmlns:a16="http://schemas.microsoft.com/office/drawing/2014/main" id="{00000000-0008-0000-1200-0000CF080000}"/>
            </a:ext>
          </a:extLst>
        </xdr:cNvPr>
        <xdr:cNvCxnSpPr/>
      </xdr:nvCxnSpPr>
      <xdr:spPr>
        <a:xfrm flipV="1">
          <a:off x="6392333" y="25188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2256" name="Straight Arrow Connector 2255">
          <a:extLst>
            <a:ext uri="{FF2B5EF4-FFF2-40B4-BE49-F238E27FC236}">
              <a16:creationId xmlns:a16="http://schemas.microsoft.com/office/drawing/2014/main" id="{00000000-0008-0000-1200-0000D0080000}"/>
            </a:ext>
          </a:extLst>
        </xdr:cNvPr>
        <xdr:cNvCxnSpPr/>
      </xdr:nvCxnSpPr>
      <xdr:spPr>
        <a:xfrm>
          <a:off x="6413500" y="25391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2257" name="Straight Arrow Connector 2256">
          <a:extLst>
            <a:ext uri="{FF2B5EF4-FFF2-40B4-BE49-F238E27FC236}">
              <a16:creationId xmlns:a16="http://schemas.microsoft.com/office/drawing/2014/main" id="{00000000-0008-0000-1200-0000D1080000}"/>
            </a:ext>
          </a:extLst>
        </xdr:cNvPr>
        <xdr:cNvCxnSpPr/>
      </xdr:nvCxnSpPr>
      <xdr:spPr>
        <a:xfrm flipV="1">
          <a:off x="7556500" y="25504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2258" name="Straight Arrow Connector 2257">
          <a:extLst>
            <a:ext uri="{FF2B5EF4-FFF2-40B4-BE49-F238E27FC236}">
              <a16:creationId xmlns:a16="http://schemas.microsoft.com/office/drawing/2014/main" id="{00000000-0008-0000-1200-0000D2080000}"/>
            </a:ext>
          </a:extLst>
        </xdr:cNvPr>
        <xdr:cNvCxnSpPr/>
      </xdr:nvCxnSpPr>
      <xdr:spPr>
        <a:xfrm flipV="1">
          <a:off x="10530417" y="24688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2259" name="Straight Arrow Connector 2258">
          <a:extLst>
            <a:ext uri="{FF2B5EF4-FFF2-40B4-BE49-F238E27FC236}">
              <a16:creationId xmlns:a16="http://schemas.microsoft.com/office/drawing/2014/main" id="{00000000-0008-0000-1200-0000D3080000}"/>
            </a:ext>
          </a:extLst>
        </xdr:cNvPr>
        <xdr:cNvCxnSpPr/>
      </xdr:nvCxnSpPr>
      <xdr:spPr>
        <a:xfrm>
          <a:off x="10572750" y="24727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2260" name="Straight Arrow Connector 2259">
          <a:extLst>
            <a:ext uri="{FF2B5EF4-FFF2-40B4-BE49-F238E27FC236}">
              <a16:creationId xmlns:a16="http://schemas.microsoft.com/office/drawing/2014/main" id="{00000000-0008-0000-1200-0000D4080000}"/>
            </a:ext>
          </a:extLst>
        </xdr:cNvPr>
        <xdr:cNvCxnSpPr/>
      </xdr:nvCxnSpPr>
      <xdr:spPr>
        <a:xfrm>
          <a:off x="10551583" y="24727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2261" name="Straight Arrow Connector 2260">
          <a:extLst>
            <a:ext uri="{FF2B5EF4-FFF2-40B4-BE49-F238E27FC236}">
              <a16:creationId xmlns:a16="http://schemas.microsoft.com/office/drawing/2014/main" id="{00000000-0008-0000-1200-0000D5080000}"/>
            </a:ext>
          </a:extLst>
        </xdr:cNvPr>
        <xdr:cNvCxnSpPr/>
      </xdr:nvCxnSpPr>
      <xdr:spPr>
        <a:xfrm>
          <a:off x="10583333" y="24730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2262" name="Straight Arrow Connector 2261">
          <a:extLst>
            <a:ext uri="{FF2B5EF4-FFF2-40B4-BE49-F238E27FC236}">
              <a16:creationId xmlns:a16="http://schemas.microsoft.com/office/drawing/2014/main" id="{00000000-0008-0000-1200-0000D6080000}"/>
            </a:ext>
          </a:extLst>
        </xdr:cNvPr>
        <xdr:cNvCxnSpPr/>
      </xdr:nvCxnSpPr>
      <xdr:spPr>
        <a:xfrm>
          <a:off x="10562166" y="24993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2263" name="Straight Arrow Connector 2262">
          <a:extLst>
            <a:ext uri="{FF2B5EF4-FFF2-40B4-BE49-F238E27FC236}">
              <a16:creationId xmlns:a16="http://schemas.microsoft.com/office/drawing/2014/main" id="{00000000-0008-0000-1200-0000D7080000}"/>
            </a:ext>
          </a:extLst>
        </xdr:cNvPr>
        <xdr:cNvCxnSpPr/>
      </xdr:nvCxnSpPr>
      <xdr:spPr>
        <a:xfrm>
          <a:off x="10615083" y="24995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2264" name="Straight Arrow Connector 2263">
          <a:extLst>
            <a:ext uri="{FF2B5EF4-FFF2-40B4-BE49-F238E27FC236}">
              <a16:creationId xmlns:a16="http://schemas.microsoft.com/office/drawing/2014/main" id="{00000000-0008-0000-1200-0000D8080000}"/>
            </a:ext>
          </a:extLst>
        </xdr:cNvPr>
        <xdr:cNvCxnSpPr/>
      </xdr:nvCxnSpPr>
      <xdr:spPr>
        <a:xfrm>
          <a:off x="10572750" y="24998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2265" name="Straight Arrow Connector 2264">
          <a:extLst>
            <a:ext uri="{FF2B5EF4-FFF2-40B4-BE49-F238E27FC236}">
              <a16:creationId xmlns:a16="http://schemas.microsoft.com/office/drawing/2014/main" id="{00000000-0008-0000-1200-0000D9080000}"/>
            </a:ext>
          </a:extLst>
        </xdr:cNvPr>
        <xdr:cNvCxnSpPr/>
      </xdr:nvCxnSpPr>
      <xdr:spPr>
        <a:xfrm flipV="1">
          <a:off x="10562166" y="25271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2266" name="Straight Arrow Connector 2265">
          <a:extLst>
            <a:ext uri="{FF2B5EF4-FFF2-40B4-BE49-F238E27FC236}">
              <a16:creationId xmlns:a16="http://schemas.microsoft.com/office/drawing/2014/main" id="{00000000-0008-0000-1200-0000DA080000}"/>
            </a:ext>
          </a:extLst>
        </xdr:cNvPr>
        <xdr:cNvCxnSpPr/>
      </xdr:nvCxnSpPr>
      <xdr:spPr>
        <a:xfrm flipV="1">
          <a:off x="10604500" y="25307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2267" name="Straight Arrow Connector 2266">
          <a:extLst>
            <a:ext uri="{FF2B5EF4-FFF2-40B4-BE49-F238E27FC236}">
              <a16:creationId xmlns:a16="http://schemas.microsoft.com/office/drawing/2014/main" id="{00000000-0008-0000-1200-0000DB080000}"/>
            </a:ext>
          </a:extLst>
        </xdr:cNvPr>
        <xdr:cNvCxnSpPr/>
      </xdr:nvCxnSpPr>
      <xdr:spPr>
        <a:xfrm>
          <a:off x="10593916" y="25348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2268" name="Straight Arrow Connector 2267">
          <a:extLst>
            <a:ext uri="{FF2B5EF4-FFF2-40B4-BE49-F238E27FC236}">
              <a16:creationId xmlns:a16="http://schemas.microsoft.com/office/drawing/2014/main" id="{00000000-0008-0000-1200-0000DC080000}"/>
            </a:ext>
          </a:extLst>
        </xdr:cNvPr>
        <xdr:cNvCxnSpPr/>
      </xdr:nvCxnSpPr>
      <xdr:spPr>
        <a:xfrm>
          <a:off x="10572750" y="25557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2269" name="Straight Arrow Connector 2268">
          <a:extLst>
            <a:ext uri="{FF2B5EF4-FFF2-40B4-BE49-F238E27FC236}">
              <a16:creationId xmlns:a16="http://schemas.microsoft.com/office/drawing/2014/main" id="{00000000-0008-0000-1200-0000DD080000}"/>
            </a:ext>
          </a:extLst>
        </xdr:cNvPr>
        <xdr:cNvCxnSpPr/>
      </xdr:nvCxnSpPr>
      <xdr:spPr>
        <a:xfrm flipV="1">
          <a:off x="10583333" y="24941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2270" name="Straight Arrow Connector 2269">
          <a:extLst>
            <a:ext uri="{FF2B5EF4-FFF2-40B4-BE49-F238E27FC236}">
              <a16:creationId xmlns:a16="http://schemas.microsoft.com/office/drawing/2014/main" id="{00000000-0008-0000-1200-0000DE080000}"/>
            </a:ext>
          </a:extLst>
        </xdr:cNvPr>
        <xdr:cNvCxnSpPr/>
      </xdr:nvCxnSpPr>
      <xdr:spPr>
        <a:xfrm>
          <a:off x="7598834" y="25607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2271" name="Straight Arrow Connector 2270">
          <a:extLst>
            <a:ext uri="{FF2B5EF4-FFF2-40B4-BE49-F238E27FC236}">
              <a16:creationId xmlns:a16="http://schemas.microsoft.com/office/drawing/2014/main" id="{00000000-0008-0000-1200-0000DF080000}"/>
            </a:ext>
          </a:extLst>
        </xdr:cNvPr>
        <xdr:cNvCxnSpPr/>
      </xdr:nvCxnSpPr>
      <xdr:spPr>
        <a:xfrm flipV="1">
          <a:off x="8794750" y="25414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2272" name="Straight Arrow Connector 2271">
          <a:extLst>
            <a:ext uri="{FF2B5EF4-FFF2-40B4-BE49-F238E27FC236}">
              <a16:creationId xmlns:a16="http://schemas.microsoft.com/office/drawing/2014/main" id="{00000000-0008-0000-1200-0000E0080000}"/>
            </a:ext>
          </a:extLst>
        </xdr:cNvPr>
        <xdr:cNvCxnSpPr/>
      </xdr:nvCxnSpPr>
      <xdr:spPr>
        <a:xfrm>
          <a:off x="8784166" y="25510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2273" name="Straight Arrow Connector 2272">
          <a:extLst>
            <a:ext uri="{FF2B5EF4-FFF2-40B4-BE49-F238E27FC236}">
              <a16:creationId xmlns:a16="http://schemas.microsoft.com/office/drawing/2014/main" id="{00000000-0008-0000-1200-0000E1080000}"/>
            </a:ext>
          </a:extLst>
        </xdr:cNvPr>
        <xdr:cNvCxnSpPr/>
      </xdr:nvCxnSpPr>
      <xdr:spPr>
        <a:xfrm flipV="1">
          <a:off x="8794750" y="25814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2274" name="Straight Arrow Connector 2273">
          <a:extLst>
            <a:ext uri="{FF2B5EF4-FFF2-40B4-BE49-F238E27FC236}">
              <a16:creationId xmlns:a16="http://schemas.microsoft.com/office/drawing/2014/main" id="{00000000-0008-0000-1200-0000E2080000}"/>
            </a:ext>
          </a:extLst>
        </xdr:cNvPr>
        <xdr:cNvCxnSpPr/>
      </xdr:nvCxnSpPr>
      <xdr:spPr>
        <a:xfrm>
          <a:off x="8805333" y="25908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2275" name="Straight Arrow Connector 2274">
          <a:extLst>
            <a:ext uri="{FF2B5EF4-FFF2-40B4-BE49-F238E27FC236}">
              <a16:creationId xmlns:a16="http://schemas.microsoft.com/office/drawing/2014/main" id="{00000000-0008-0000-1200-0000E3080000}"/>
            </a:ext>
          </a:extLst>
        </xdr:cNvPr>
        <xdr:cNvCxnSpPr/>
      </xdr:nvCxnSpPr>
      <xdr:spPr>
        <a:xfrm>
          <a:off x="10593916" y="25346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1773</xdr:row>
      <xdr:rowOff>52916</xdr:rowOff>
    </xdr:from>
    <xdr:to>
      <xdr:col>16</xdr:col>
      <xdr:colOff>0</xdr:colOff>
      <xdr:row>1775</xdr:row>
      <xdr:rowOff>0</xdr:rowOff>
    </xdr:to>
    <xdr:cxnSp macro="">
      <xdr:nvCxnSpPr>
        <xdr:cNvPr id="2276" name="Straight Arrow Connector 2275">
          <a:extLst>
            <a:ext uri="{FF2B5EF4-FFF2-40B4-BE49-F238E27FC236}">
              <a16:creationId xmlns:a16="http://schemas.microsoft.com/office/drawing/2014/main" id="{00000000-0008-0000-1200-0000E4080000}"/>
            </a:ext>
          </a:extLst>
        </xdr:cNvPr>
        <xdr:cNvCxnSpPr/>
      </xdr:nvCxnSpPr>
      <xdr:spPr>
        <a:xfrm flipV="1">
          <a:off x="10541000" y="25513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2277" name="Straight Arrow Connector 2276">
          <a:extLst>
            <a:ext uri="{FF2B5EF4-FFF2-40B4-BE49-F238E27FC236}">
              <a16:creationId xmlns:a16="http://schemas.microsoft.com/office/drawing/2014/main" id="{00000000-0008-0000-1200-0000E5080000}"/>
            </a:ext>
          </a:extLst>
        </xdr:cNvPr>
        <xdr:cNvCxnSpPr/>
      </xdr:nvCxnSpPr>
      <xdr:spPr>
        <a:xfrm>
          <a:off x="10530417" y="25548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2278" name="Straight Arrow Connector 2277">
          <a:extLst>
            <a:ext uri="{FF2B5EF4-FFF2-40B4-BE49-F238E27FC236}">
              <a16:creationId xmlns:a16="http://schemas.microsoft.com/office/drawing/2014/main" id="{00000000-0008-0000-1200-0000E6080000}"/>
            </a:ext>
          </a:extLst>
        </xdr:cNvPr>
        <xdr:cNvCxnSpPr/>
      </xdr:nvCxnSpPr>
      <xdr:spPr>
        <a:xfrm>
          <a:off x="10530417" y="25546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2279" name="Straight Arrow Connector 2278">
          <a:extLst>
            <a:ext uri="{FF2B5EF4-FFF2-40B4-BE49-F238E27FC236}">
              <a16:creationId xmlns:a16="http://schemas.microsoft.com/office/drawing/2014/main" id="{00000000-0008-0000-1200-0000E7080000}"/>
            </a:ext>
          </a:extLst>
        </xdr:cNvPr>
        <xdr:cNvCxnSpPr/>
      </xdr:nvCxnSpPr>
      <xdr:spPr>
        <a:xfrm flipV="1">
          <a:off x="10530417" y="25774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2280" name="Straight Arrow Connector 2279">
          <a:extLst>
            <a:ext uri="{FF2B5EF4-FFF2-40B4-BE49-F238E27FC236}">
              <a16:creationId xmlns:a16="http://schemas.microsoft.com/office/drawing/2014/main" id="{00000000-0008-0000-1200-0000E8080000}"/>
            </a:ext>
          </a:extLst>
        </xdr:cNvPr>
        <xdr:cNvCxnSpPr/>
      </xdr:nvCxnSpPr>
      <xdr:spPr>
        <a:xfrm>
          <a:off x="10572750" y="25813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2281" name="Straight Arrow Connector 2280">
          <a:extLst>
            <a:ext uri="{FF2B5EF4-FFF2-40B4-BE49-F238E27FC236}">
              <a16:creationId xmlns:a16="http://schemas.microsoft.com/office/drawing/2014/main" id="{00000000-0008-0000-1200-0000E9080000}"/>
            </a:ext>
          </a:extLst>
        </xdr:cNvPr>
        <xdr:cNvCxnSpPr/>
      </xdr:nvCxnSpPr>
      <xdr:spPr>
        <a:xfrm>
          <a:off x="10551583" y="25813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2282" name="Straight Arrow Connector 2281">
          <a:extLst>
            <a:ext uri="{FF2B5EF4-FFF2-40B4-BE49-F238E27FC236}">
              <a16:creationId xmlns:a16="http://schemas.microsoft.com/office/drawing/2014/main" id="{00000000-0008-0000-1200-0000EA080000}"/>
            </a:ext>
          </a:extLst>
        </xdr:cNvPr>
        <xdr:cNvCxnSpPr/>
      </xdr:nvCxnSpPr>
      <xdr:spPr>
        <a:xfrm>
          <a:off x="10583333" y="25815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2283" name="Straight Arrow Connector 2282">
          <a:extLst>
            <a:ext uri="{FF2B5EF4-FFF2-40B4-BE49-F238E27FC236}">
              <a16:creationId xmlns:a16="http://schemas.microsoft.com/office/drawing/2014/main" id="{00000000-0008-0000-1200-0000EB080000}"/>
            </a:ext>
          </a:extLst>
        </xdr:cNvPr>
        <xdr:cNvCxnSpPr/>
      </xdr:nvCxnSpPr>
      <xdr:spPr>
        <a:xfrm>
          <a:off x="10562166" y="26079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2284" name="Straight Arrow Connector 2283">
          <a:extLst>
            <a:ext uri="{FF2B5EF4-FFF2-40B4-BE49-F238E27FC236}">
              <a16:creationId xmlns:a16="http://schemas.microsoft.com/office/drawing/2014/main" id="{00000000-0008-0000-1200-0000EC080000}"/>
            </a:ext>
          </a:extLst>
        </xdr:cNvPr>
        <xdr:cNvCxnSpPr/>
      </xdr:nvCxnSpPr>
      <xdr:spPr>
        <a:xfrm>
          <a:off x="10615083" y="26081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2285" name="Straight Arrow Connector 2284">
          <a:extLst>
            <a:ext uri="{FF2B5EF4-FFF2-40B4-BE49-F238E27FC236}">
              <a16:creationId xmlns:a16="http://schemas.microsoft.com/office/drawing/2014/main" id="{00000000-0008-0000-1200-0000ED080000}"/>
            </a:ext>
          </a:extLst>
        </xdr:cNvPr>
        <xdr:cNvCxnSpPr/>
      </xdr:nvCxnSpPr>
      <xdr:spPr>
        <a:xfrm>
          <a:off x="10572750" y="26084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2286" name="Straight Arrow Connector 2285">
          <a:extLst>
            <a:ext uri="{FF2B5EF4-FFF2-40B4-BE49-F238E27FC236}">
              <a16:creationId xmlns:a16="http://schemas.microsoft.com/office/drawing/2014/main" id="{00000000-0008-0000-1200-0000EE080000}"/>
            </a:ext>
          </a:extLst>
        </xdr:cNvPr>
        <xdr:cNvCxnSpPr/>
      </xdr:nvCxnSpPr>
      <xdr:spPr>
        <a:xfrm flipV="1">
          <a:off x="10583333" y="26027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2287" name="Straight Arrow Connector 2286">
          <a:extLst>
            <a:ext uri="{FF2B5EF4-FFF2-40B4-BE49-F238E27FC236}">
              <a16:creationId xmlns:a16="http://schemas.microsoft.com/office/drawing/2014/main" id="{00000000-0008-0000-1200-0000EF080000}"/>
            </a:ext>
          </a:extLst>
        </xdr:cNvPr>
        <xdr:cNvCxnSpPr/>
      </xdr:nvCxnSpPr>
      <xdr:spPr>
        <a:xfrm flipV="1">
          <a:off x="5207000" y="243014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2288" name="Straight Arrow Connector 2287">
          <a:extLst>
            <a:ext uri="{FF2B5EF4-FFF2-40B4-BE49-F238E27FC236}">
              <a16:creationId xmlns:a16="http://schemas.microsoft.com/office/drawing/2014/main" id="{00000000-0008-0000-1200-0000F0080000}"/>
            </a:ext>
          </a:extLst>
        </xdr:cNvPr>
        <xdr:cNvCxnSpPr/>
      </xdr:nvCxnSpPr>
      <xdr:spPr>
        <a:xfrm flipV="1">
          <a:off x="603250" y="175842084"/>
          <a:ext cx="603250"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2289" name="Straight Arrow Connector 2288">
          <a:extLst>
            <a:ext uri="{FF2B5EF4-FFF2-40B4-BE49-F238E27FC236}">
              <a16:creationId xmlns:a16="http://schemas.microsoft.com/office/drawing/2014/main" id="{00000000-0008-0000-1200-0000F1080000}"/>
            </a:ext>
          </a:extLst>
        </xdr:cNvPr>
        <xdr:cNvCxnSpPr/>
      </xdr:nvCxnSpPr>
      <xdr:spPr>
        <a:xfrm>
          <a:off x="603250" y="194669833"/>
          <a:ext cx="603250"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2290" name="Straight Arrow Connector 2289">
          <a:extLst>
            <a:ext uri="{FF2B5EF4-FFF2-40B4-BE49-F238E27FC236}">
              <a16:creationId xmlns:a16="http://schemas.microsoft.com/office/drawing/2014/main" id="{00000000-0008-0000-1200-0000F2080000}"/>
            </a:ext>
          </a:extLst>
        </xdr:cNvPr>
        <xdr:cNvCxnSpPr/>
      </xdr:nvCxnSpPr>
      <xdr:spPr>
        <a:xfrm flipV="1">
          <a:off x="2296584" y="189896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2291" name="Straight Arrow Connector 2290">
          <a:extLst>
            <a:ext uri="{FF2B5EF4-FFF2-40B4-BE49-F238E27FC236}">
              <a16:creationId xmlns:a16="http://schemas.microsoft.com/office/drawing/2014/main" id="{00000000-0008-0000-1200-0000F3080000}"/>
            </a:ext>
          </a:extLst>
        </xdr:cNvPr>
        <xdr:cNvCxnSpPr/>
      </xdr:nvCxnSpPr>
      <xdr:spPr>
        <a:xfrm>
          <a:off x="2307167" y="203274083"/>
          <a:ext cx="645583"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2292" name="Straight Arrow Connector 2291">
          <a:extLst>
            <a:ext uri="{FF2B5EF4-FFF2-40B4-BE49-F238E27FC236}">
              <a16:creationId xmlns:a16="http://schemas.microsoft.com/office/drawing/2014/main" id="{00000000-0008-0000-1200-0000F4080000}"/>
            </a:ext>
          </a:extLst>
        </xdr:cNvPr>
        <xdr:cNvCxnSpPr/>
      </xdr:nvCxnSpPr>
      <xdr:spPr>
        <a:xfrm flipV="1">
          <a:off x="3714750" y="182689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2293" name="Straight Arrow Connector 2292">
          <a:extLst>
            <a:ext uri="{FF2B5EF4-FFF2-40B4-BE49-F238E27FC236}">
              <a16:creationId xmlns:a16="http://schemas.microsoft.com/office/drawing/2014/main" id="{00000000-0008-0000-1200-0000F5080000}"/>
            </a:ext>
          </a:extLst>
        </xdr:cNvPr>
        <xdr:cNvCxnSpPr/>
      </xdr:nvCxnSpPr>
      <xdr:spPr>
        <a:xfrm>
          <a:off x="3799417" y="189907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2294" name="Straight Arrow Connector 2293">
          <a:extLst>
            <a:ext uri="{FF2B5EF4-FFF2-40B4-BE49-F238E27FC236}">
              <a16:creationId xmlns:a16="http://schemas.microsoft.com/office/drawing/2014/main" id="{00000000-0008-0000-1200-0000F6080000}"/>
            </a:ext>
          </a:extLst>
        </xdr:cNvPr>
        <xdr:cNvCxnSpPr/>
      </xdr:nvCxnSpPr>
      <xdr:spPr>
        <a:xfrm flipV="1">
          <a:off x="5175250" y="177884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2295" name="Straight Arrow Connector 2294">
          <a:extLst>
            <a:ext uri="{FF2B5EF4-FFF2-40B4-BE49-F238E27FC236}">
              <a16:creationId xmlns:a16="http://schemas.microsoft.com/office/drawing/2014/main" id="{00000000-0008-0000-1200-0000F7080000}"/>
            </a:ext>
          </a:extLst>
        </xdr:cNvPr>
        <xdr:cNvCxnSpPr/>
      </xdr:nvCxnSpPr>
      <xdr:spPr>
        <a:xfrm>
          <a:off x="5175250" y="182700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2296" name="Straight Arrow Connector 2295">
          <a:extLst>
            <a:ext uri="{FF2B5EF4-FFF2-40B4-BE49-F238E27FC236}">
              <a16:creationId xmlns:a16="http://schemas.microsoft.com/office/drawing/2014/main" id="{00000000-0008-0000-1200-0000F8080000}"/>
            </a:ext>
          </a:extLst>
        </xdr:cNvPr>
        <xdr:cNvCxnSpPr/>
      </xdr:nvCxnSpPr>
      <xdr:spPr>
        <a:xfrm flipV="1">
          <a:off x="6381750" y="176350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2297" name="Straight Arrow Connector 2296">
          <a:extLst>
            <a:ext uri="{FF2B5EF4-FFF2-40B4-BE49-F238E27FC236}">
              <a16:creationId xmlns:a16="http://schemas.microsoft.com/office/drawing/2014/main" id="{00000000-0008-0000-1200-0000F9080000}"/>
            </a:ext>
          </a:extLst>
        </xdr:cNvPr>
        <xdr:cNvCxnSpPr/>
      </xdr:nvCxnSpPr>
      <xdr:spPr>
        <a:xfrm>
          <a:off x="6413500" y="177927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2298" name="Straight Arrow Connector 2297">
          <a:extLst>
            <a:ext uri="{FF2B5EF4-FFF2-40B4-BE49-F238E27FC236}">
              <a16:creationId xmlns:a16="http://schemas.microsoft.com/office/drawing/2014/main" id="{00000000-0008-0000-1200-0000FA080000}"/>
            </a:ext>
          </a:extLst>
        </xdr:cNvPr>
        <xdr:cNvCxnSpPr/>
      </xdr:nvCxnSpPr>
      <xdr:spPr>
        <a:xfrm flipV="1">
          <a:off x="7609417" y="179048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2299" name="Straight Arrow Connector 2298">
          <a:extLst>
            <a:ext uri="{FF2B5EF4-FFF2-40B4-BE49-F238E27FC236}">
              <a16:creationId xmlns:a16="http://schemas.microsoft.com/office/drawing/2014/main" id="{00000000-0008-0000-1200-0000FB080000}"/>
            </a:ext>
          </a:extLst>
        </xdr:cNvPr>
        <xdr:cNvCxnSpPr/>
      </xdr:nvCxnSpPr>
      <xdr:spPr>
        <a:xfrm>
          <a:off x="7598834" y="18006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2300" name="Straight Arrow Connector 2299">
          <a:extLst>
            <a:ext uri="{FF2B5EF4-FFF2-40B4-BE49-F238E27FC236}">
              <a16:creationId xmlns:a16="http://schemas.microsoft.com/office/drawing/2014/main" id="{00000000-0008-0000-1200-0000FC080000}"/>
            </a:ext>
          </a:extLst>
        </xdr:cNvPr>
        <xdr:cNvCxnSpPr/>
      </xdr:nvCxnSpPr>
      <xdr:spPr>
        <a:xfrm flipV="1">
          <a:off x="8794750" y="178138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2301" name="Straight Arrow Connector 2300">
          <a:extLst>
            <a:ext uri="{FF2B5EF4-FFF2-40B4-BE49-F238E27FC236}">
              <a16:creationId xmlns:a16="http://schemas.microsoft.com/office/drawing/2014/main" id="{00000000-0008-0000-1200-0000FD080000}"/>
            </a:ext>
          </a:extLst>
        </xdr:cNvPr>
        <xdr:cNvCxnSpPr/>
      </xdr:nvCxnSpPr>
      <xdr:spPr>
        <a:xfrm>
          <a:off x="8784166" y="179091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2302" name="Straight Arrow Connector 2301">
          <a:extLst>
            <a:ext uri="{FF2B5EF4-FFF2-40B4-BE49-F238E27FC236}">
              <a16:creationId xmlns:a16="http://schemas.microsoft.com/office/drawing/2014/main" id="{00000000-0008-0000-1200-0000FE080000}"/>
            </a:ext>
          </a:extLst>
        </xdr:cNvPr>
        <xdr:cNvCxnSpPr/>
      </xdr:nvCxnSpPr>
      <xdr:spPr>
        <a:xfrm flipV="1">
          <a:off x="8794750" y="18213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2303" name="Straight Arrow Connector 2302">
          <a:extLst>
            <a:ext uri="{FF2B5EF4-FFF2-40B4-BE49-F238E27FC236}">
              <a16:creationId xmlns:a16="http://schemas.microsoft.com/office/drawing/2014/main" id="{00000000-0008-0000-1200-0000FF080000}"/>
            </a:ext>
          </a:extLst>
        </xdr:cNvPr>
        <xdr:cNvCxnSpPr/>
      </xdr:nvCxnSpPr>
      <xdr:spPr>
        <a:xfrm>
          <a:off x="8805333" y="183070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1368</xdr:row>
      <xdr:rowOff>0</xdr:rowOff>
    </xdr:from>
    <xdr:to>
      <xdr:col>15</xdr:col>
      <xdr:colOff>603250</xdr:colOff>
      <xdr:row>1373</xdr:row>
      <xdr:rowOff>31750</xdr:rowOff>
    </xdr:to>
    <xdr:cxnSp macro="">
      <xdr:nvCxnSpPr>
        <xdr:cNvPr id="2304" name="Straight Arrow Connector 2303">
          <a:extLst>
            <a:ext uri="{FF2B5EF4-FFF2-40B4-BE49-F238E27FC236}">
              <a16:creationId xmlns:a16="http://schemas.microsoft.com/office/drawing/2014/main" id="{00000000-0008-0000-1200-000000090000}"/>
            </a:ext>
          </a:extLst>
        </xdr:cNvPr>
        <xdr:cNvCxnSpPr/>
      </xdr:nvCxnSpPr>
      <xdr:spPr>
        <a:xfrm flipV="1">
          <a:off x="10541000" y="176593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2305" name="Straight Arrow Connector 2304">
          <a:extLst>
            <a:ext uri="{FF2B5EF4-FFF2-40B4-BE49-F238E27FC236}">
              <a16:creationId xmlns:a16="http://schemas.microsoft.com/office/drawing/2014/main" id="{00000000-0008-0000-1200-000001090000}"/>
            </a:ext>
          </a:extLst>
        </xdr:cNvPr>
        <xdr:cNvCxnSpPr/>
      </xdr:nvCxnSpPr>
      <xdr:spPr>
        <a:xfrm flipV="1">
          <a:off x="10583333" y="177217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2306" name="Straight Arrow Connector 2305">
          <a:extLst>
            <a:ext uri="{FF2B5EF4-FFF2-40B4-BE49-F238E27FC236}">
              <a16:creationId xmlns:a16="http://schemas.microsoft.com/office/drawing/2014/main" id="{00000000-0008-0000-1200-000002090000}"/>
            </a:ext>
          </a:extLst>
        </xdr:cNvPr>
        <xdr:cNvCxnSpPr/>
      </xdr:nvCxnSpPr>
      <xdr:spPr>
        <a:xfrm>
          <a:off x="10604500" y="177704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2307" name="Straight Arrow Connector 2306">
          <a:extLst>
            <a:ext uri="{FF2B5EF4-FFF2-40B4-BE49-F238E27FC236}">
              <a16:creationId xmlns:a16="http://schemas.microsoft.com/office/drawing/2014/main" id="{00000000-0008-0000-1200-000003090000}"/>
            </a:ext>
          </a:extLst>
        </xdr:cNvPr>
        <xdr:cNvCxnSpPr/>
      </xdr:nvCxnSpPr>
      <xdr:spPr>
        <a:xfrm>
          <a:off x="10519834" y="177651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1381</xdr:row>
      <xdr:rowOff>52916</xdr:rowOff>
    </xdr:from>
    <xdr:to>
      <xdr:col>16</xdr:col>
      <xdr:colOff>0</xdr:colOff>
      <xdr:row>1383</xdr:row>
      <xdr:rowOff>0</xdr:rowOff>
    </xdr:to>
    <xdr:cxnSp macro="">
      <xdr:nvCxnSpPr>
        <xdr:cNvPr id="2308" name="Straight Arrow Connector 2307">
          <a:extLst>
            <a:ext uri="{FF2B5EF4-FFF2-40B4-BE49-F238E27FC236}">
              <a16:creationId xmlns:a16="http://schemas.microsoft.com/office/drawing/2014/main" id="{00000000-0008-0000-1200-000004090000}"/>
            </a:ext>
          </a:extLst>
        </xdr:cNvPr>
        <xdr:cNvCxnSpPr/>
      </xdr:nvCxnSpPr>
      <xdr:spPr>
        <a:xfrm flipV="1">
          <a:off x="10541000" y="179122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2309" name="Straight Arrow Connector 2308">
          <a:extLst>
            <a:ext uri="{FF2B5EF4-FFF2-40B4-BE49-F238E27FC236}">
              <a16:creationId xmlns:a16="http://schemas.microsoft.com/office/drawing/2014/main" id="{00000000-0008-0000-1200-000005090000}"/>
            </a:ext>
          </a:extLst>
        </xdr:cNvPr>
        <xdr:cNvCxnSpPr/>
      </xdr:nvCxnSpPr>
      <xdr:spPr>
        <a:xfrm>
          <a:off x="10551583" y="179472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2310" name="Straight Arrow Connector 2309">
          <a:extLst>
            <a:ext uri="{FF2B5EF4-FFF2-40B4-BE49-F238E27FC236}">
              <a16:creationId xmlns:a16="http://schemas.microsoft.com/office/drawing/2014/main" id="{00000000-0008-0000-1200-000006090000}"/>
            </a:ext>
          </a:extLst>
        </xdr:cNvPr>
        <xdr:cNvCxnSpPr/>
      </xdr:nvCxnSpPr>
      <xdr:spPr>
        <a:xfrm>
          <a:off x="10530417" y="179472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1383</xdr:row>
      <xdr:rowOff>31750</xdr:rowOff>
    </xdr:from>
    <xdr:to>
      <xdr:col>16</xdr:col>
      <xdr:colOff>42334</xdr:colOff>
      <xdr:row>1390</xdr:row>
      <xdr:rowOff>63501</xdr:rowOff>
    </xdr:to>
    <xdr:cxnSp macro="">
      <xdr:nvCxnSpPr>
        <xdr:cNvPr id="2311" name="Straight Arrow Connector 2310">
          <a:extLst>
            <a:ext uri="{FF2B5EF4-FFF2-40B4-BE49-F238E27FC236}">
              <a16:creationId xmlns:a16="http://schemas.microsoft.com/office/drawing/2014/main" id="{00000000-0008-0000-1200-000007090000}"/>
            </a:ext>
          </a:extLst>
        </xdr:cNvPr>
        <xdr:cNvCxnSpPr/>
      </xdr:nvCxnSpPr>
      <xdr:spPr>
        <a:xfrm>
          <a:off x="10541000" y="179482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2312" name="Straight Arrow Connector 2311">
          <a:extLst>
            <a:ext uri="{FF2B5EF4-FFF2-40B4-BE49-F238E27FC236}">
              <a16:creationId xmlns:a16="http://schemas.microsoft.com/office/drawing/2014/main" id="{00000000-0008-0000-1200-000008090000}"/>
            </a:ext>
          </a:extLst>
        </xdr:cNvPr>
        <xdr:cNvCxnSpPr/>
      </xdr:nvCxnSpPr>
      <xdr:spPr>
        <a:xfrm flipV="1">
          <a:off x="6392333" y="186732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2313" name="Straight Arrow Connector 2312">
          <a:extLst>
            <a:ext uri="{FF2B5EF4-FFF2-40B4-BE49-F238E27FC236}">
              <a16:creationId xmlns:a16="http://schemas.microsoft.com/office/drawing/2014/main" id="{00000000-0008-0000-1200-000009090000}"/>
            </a:ext>
          </a:extLst>
        </xdr:cNvPr>
        <xdr:cNvCxnSpPr/>
      </xdr:nvCxnSpPr>
      <xdr:spPr>
        <a:xfrm>
          <a:off x="6413500" y="188764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2314" name="Straight Arrow Connector 2313">
          <a:extLst>
            <a:ext uri="{FF2B5EF4-FFF2-40B4-BE49-F238E27FC236}">
              <a16:creationId xmlns:a16="http://schemas.microsoft.com/office/drawing/2014/main" id="{00000000-0008-0000-1200-00000A090000}"/>
            </a:ext>
          </a:extLst>
        </xdr:cNvPr>
        <xdr:cNvCxnSpPr/>
      </xdr:nvCxnSpPr>
      <xdr:spPr>
        <a:xfrm flipV="1">
          <a:off x="7556500" y="189896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2315" name="Straight Arrow Connector 2314">
          <a:extLst>
            <a:ext uri="{FF2B5EF4-FFF2-40B4-BE49-F238E27FC236}">
              <a16:creationId xmlns:a16="http://schemas.microsoft.com/office/drawing/2014/main" id="{00000000-0008-0000-1200-00000B090000}"/>
            </a:ext>
          </a:extLst>
        </xdr:cNvPr>
        <xdr:cNvCxnSpPr/>
      </xdr:nvCxnSpPr>
      <xdr:spPr>
        <a:xfrm flipV="1">
          <a:off x="10530417" y="18173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2316" name="Straight Arrow Connector 2315">
          <a:extLst>
            <a:ext uri="{FF2B5EF4-FFF2-40B4-BE49-F238E27FC236}">
              <a16:creationId xmlns:a16="http://schemas.microsoft.com/office/drawing/2014/main" id="{00000000-0008-0000-1200-00000C090000}"/>
            </a:ext>
          </a:extLst>
        </xdr:cNvPr>
        <xdr:cNvCxnSpPr/>
      </xdr:nvCxnSpPr>
      <xdr:spPr>
        <a:xfrm>
          <a:off x="10572750" y="18212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2317" name="Straight Arrow Connector 2316">
          <a:extLst>
            <a:ext uri="{FF2B5EF4-FFF2-40B4-BE49-F238E27FC236}">
              <a16:creationId xmlns:a16="http://schemas.microsoft.com/office/drawing/2014/main" id="{00000000-0008-0000-1200-00000D090000}"/>
            </a:ext>
          </a:extLst>
        </xdr:cNvPr>
        <xdr:cNvCxnSpPr/>
      </xdr:nvCxnSpPr>
      <xdr:spPr>
        <a:xfrm>
          <a:off x="10551583" y="18212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2318" name="Straight Arrow Connector 2317">
          <a:extLst>
            <a:ext uri="{FF2B5EF4-FFF2-40B4-BE49-F238E27FC236}">
              <a16:creationId xmlns:a16="http://schemas.microsoft.com/office/drawing/2014/main" id="{00000000-0008-0000-1200-00000E090000}"/>
            </a:ext>
          </a:extLst>
        </xdr:cNvPr>
        <xdr:cNvCxnSpPr/>
      </xdr:nvCxnSpPr>
      <xdr:spPr>
        <a:xfrm>
          <a:off x="10583333" y="182149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2319" name="Straight Arrow Connector 2318">
          <a:extLst>
            <a:ext uri="{FF2B5EF4-FFF2-40B4-BE49-F238E27FC236}">
              <a16:creationId xmlns:a16="http://schemas.microsoft.com/office/drawing/2014/main" id="{00000000-0008-0000-1200-00000F090000}"/>
            </a:ext>
          </a:extLst>
        </xdr:cNvPr>
        <xdr:cNvCxnSpPr/>
      </xdr:nvCxnSpPr>
      <xdr:spPr>
        <a:xfrm>
          <a:off x="10562166" y="184785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2320" name="Straight Arrow Connector 2319">
          <a:extLst>
            <a:ext uri="{FF2B5EF4-FFF2-40B4-BE49-F238E27FC236}">
              <a16:creationId xmlns:a16="http://schemas.microsoft.com/office/drawing/2014/main" id="{00000000-0008-0000-1200-000010090000}"/>
            </a:ext>
          </a:extLst>
        </xdr:cNvPr>
        <xdr:cNvCxnSpPr/>
      </xdr:nvCxnSpPr>
      <xdr:spPr>
        <a:xfrm>
          <a:off x="10615083" y="18480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2321" name="Straight Arrow Connector 2320">
          <a:extLst>
            <a:ext uri="{FF2B5EF4-FFF2-40B4-BE49-F238E27FC236}">
              <a16:creationId xmlns:a16="http://schemas.microsoft.com/office/drawing/2014/main" id="{00000000-0008-0000-1200-000011090000}"/>
            </a:ext>
          </a:extLst>
        </xdr:cNvPr>
        <xdr:cNvCxnSpPr/>
      </xdr:nvCxnSpPr>
      <xdr:spPr>
        <a:xfrm>
          <a:off x="10572750" y="18483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2322" name="Straight Arrow Connector 2321">
          <a:extLst>
            <a:ext uri="{FF2B5EF4-FFF2-40B4-BE49-F238E27FC236}">
              <a16:creationId xmlns:a16="http://schemas.microsoft.com/office/drawing/2014/main" id="{00000000-0008-0000-1200-000012090000}"/>
            </a:ext>
          </a:extLst>
        </xdr:cNvPr>
        <xdr:cNvCxnSpPr/>
      </xdr:nvCxnSpPr>
      <xdr:spPr>
        <a:xfrm flipV="1">
          <a:off x="10562166" y="187568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2323" name="Straight Arrow Connector 2322">
          <a:extLst>
            <a:ext uri="{FF2B5EF4-FFF2-40B4-BE49-F238E27FC236}">
              <a16:creationId xmlns:a16="http://schemas.microsoft.com/office/drawing/2014/main" id="{00000000-0008-0000-1200-000013090000}"/>
            </a:ext>
          </a:extLst>
        </xdr:cNvPr>
        <xdr:cNvCxnSpPr/>
      </xdr:nvCxnSpPr>
      <xdr:spPr>
        <a:xfrm flipV="1">
          <a:off x="10604500" y="187928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2324" name="Straight Arrow Connector 2323">
          <a:extLst>
            <a:ext uri="{FF2B5EF4-FFF2-40B4-BE49-F238E27FC236}">
              <a16:creationId xmlns:a16="http://schemas.microsoft.com/office/drawing/2014/main" id="{00000000-0008-0000-1200-000014090000}"/>
            </a:ext>
          </a:extLst>
        </xdr:cNvPr>
        <xdr:cNvCxnSpPr/>
      </xdr:nvCxnSpPr>
      <xdr:spPr>
        <a:xfrm>
          <a:off x="10593916" y="188330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2325" name="Straight Arrow Connector 2324">
          <a:extLst>
            <a:ext uri="{FF2B5EF4-FFF2-40B4-BE49-F238E27FC236}">
              <a16:creationId xmlns:a16="http://schemas.microsoft.com/office/drawing/2014/main" id="{00000000-0008-0000-1200-000015090000}"/>
            </a:ext>
          </a:extLst>
        </xdr:cNvPr>
        <xdr:cNvCxnSpPr/>
      </xdr:nvCxnSpPr>
      <xdr:spPr>
        <a:xfrm>
          <a:off x="10572750" y="190425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2326" name="Straight Arrow Connector 2325">
          <a:extLst>
            <a:ext uri="{FF2B5EF4-FFF2-40B4-BE49-F238E27FC236}">
              <a16:creationId xmlns:a16="http://schemas.microsoft.com/office/drawing/2014/main" id="{00000000-0008-0000-1200-000016090000}"/>
            </a:ext>
          </a:extLst>
        </xdr:cNvPr>
        <xdr:cNvCxnSpPr/>
      </xdr:nvCxnSpPr>
      <xdr:spPr>
        <a:xfrm flipV="1">
          <a:off x="10583333" y="18426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2327" name="Straight Arrow Connector 2326">
          <a:extLst>
            <a:ext uri="{FF2B5EF4-FFF2-40B4-BE49-F238E27FC236}">
              <a16:creationId xmlns:a16="http://schemas.microsoft.com/office/drawing/2014/main" id="{00000000-0008-0000-1200-000017090000}"/>
            </a:ext>
          </a:extLst>
        </xdr:cNvPr>
        <xdr:cNvCxnSpPr/>
      </xdr:nvCxnSpPr>
      <xdr:spPr>
        <a:xfrm>
          <a:off x="7598834" y="190923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2328" name="Straight Arrow Connector 2327">
          <a:extLst>
            <a:ext uri="{FF2B5EF4-FFF2-40B4-BE49-F238E27FC236}">
              <a16:creationId xmlns:a16="http://schemas.microsoft.com/office/drawing/2014/main" id="{00000000-0008-0000-1200-000018090000}"/>
            </a:ext>
          </a:extLst>
        </xdr:cNvPr>
        <xdr:cNvCxnSpPr/>
      </xdr:nvCxnSpPr>
      <xdr:spPr>
        <a:xfrm flipV="1">
          <a:off x="8794750" y="188997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2329" name="Straight Arrow Connector 2328">
          <a:extLst>
            <a:ext uri="{FF2B5EF4-FFF2-40B4-BE49-F238E27FC236}">
              <a16:creationId xmlns:a16="http://schemas.microsoft.com/office/drawing/2014/main" id="{00000000-0008-0000-1200-000019090000}"/>
            </a:ext>
          </a:extLst>
        </xdr:cNvPr>
        <xdr:cNvCxnSpPr/>
      </xdr:nvCxnSpPr>
      <xdr:spPr>
        <a:xfrm>
          <a:off x="8784166" y="189949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2330" name="Straight Arrow Connector 2329">
          <a:extLst>
            <a:ext uri="{FF2B5EF4-FFF2-40B4-BE49-F238E27FC236}">
              <a16:creationId xmlns:a16="http://schemas.microsoft.com/office/drawing/2014/main" id="{00000000-0008-0000-1200-00001A090000}"/>
            </a:ext>
          </a:extLst>
        </xdr:cNvPr>
        <xdr:cNvCxnSpPr/>
      </xdr:nvCxnSpPr>
      <xdr:spPr>
        <a:xfrm flipV="1">
          <a:off x="8794750" y="192997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2331" name="Straight Arrow Connector 2330">
          <a:extLst>
            <a:ext uri="{FF2B5EF4-FFF2-40B4-BE49-F238E27FC236}">
              <a16:creationId xmlns:a16="http://schemas.microsoft.com/office/drawing/2014/main" id="{00000000-0008-0000-1200-00001B090000}"/>
            </a:ext>
          </a:extLst>
        </xdr:cNvPr>
        <xdr:cNvCxnSpPr/>
      </xdr:nvCxnSpPr>
      <xdr:spPr>
        <a:xfrm>
          <a:off x="8805333" y="193929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2332" name="Straight Arrow Connector 2331">
          <a:extLst>
            <a:ext uri="{FF2B5EF4-FFF2-40B4-BE49-F238E27FC236}">
              <a16:creationId xmlns:a16="http://schemas.microsoft.com/office/drawing/2014/main" id="{00000000-0008-0000-1200-00001C090000}"/>
            </a:ext>
          </a:extLst>
        </xdr:cNvPr>
        <xdr:cNvCxnSpPr/>
      </xdr:nvCxnSpPr>
      <xdr:spPr>
        <a:xfrm>
          <a:off x="10593916" y="188309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1437</xdr:row>
      <xdr:rowOff>52916</xdr:rowOff>
    </xdr:from>
    <xdr:to>
      <xdr:col>16</xdr:col>
      <xdr:colOff>0</xdr:colOff>
      <xdr:row>1439</xdr:row>
      <xdr:rowOff>0</xdr:rowOff>
    </xdr:to>
    <xdr:cxnSp macro="">
      <xdr:nvCxnSpPr>
        <xdr:cNvPr id="2333" name="Straight Arrow Connector 2332">
          <a:extLst>
            <a:ext uri="{FF2B5EF4-FFF2-40B4-BE49-F238E27FC236}">
              <a16:creationId xmlns:a16="http://schemas.microsoft.com/office/drawing/2014/main" id="{00000000-0008-0000-1200-00001D090000}"/>
            </a:ext>
          </a:extLst>
        </xdr:cNvPr>
        <xdr:cNvCxnSpPr/>
      </xdr:nvCxnSpPr>
      <xdr:spPr>
        <a:xfrm flipV="1">
          <a:off x="10541000" y="189981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2334" name="Straight Arrow Connector 2333">
          <a:extLst>
            <a:ext uri="{FF2B5EF4-FFF2-40B4-BE49-F238E27FC236}">
              <a16:creationId xmlns:a16="http://schemas.microsoft.com/office/drawing/2014/main" id="{00000000-0008-0000-1200-00001E090000}"/>
            </a:ext>
          </a:extLst>
        </xdr:cNvPr>
        <xdr:cNvCxnSpPr/>
      </xdr:nvCxnSpPr>
      <xdr:spPr>
        <a:xfrm>
          <a:off x="10530417" y="190330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2335" name="Straight Arrow Connector 2334">
          <a:extLst>
            <a:ext uri="{FF2B5EF4-FFF2-40B4-BE49-F238E27FC236}">
              <a16:creationId xmlns:a16="http://schemas.microsoft.com/office/drawing/2014/main" id="{00000000-0008-0000-1200-00001F090000}"/>
            </a:ext>
          </a:extLst>
        </xdr:cNvPr>
        <xdr:cNvCxnSpPr/>
      </xdr:nvCxnSpPr>
      <xdr:spPr>
        <a:xfrm>
          <a:off x="10530417" y="190309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2336" name="Straight Arrow Connector 2335">
          <a:extLst>
            <a:ext uri="{FF2B5EF4-FFF2-40B4-BE49-F238E27FC236}">
              <a16:creationId xmlns:a16="http://schemas.microsoft.com/office/drawing/2014/main" id="{00000000-0008-0000-1200-000020090000}"/>
            </a:ext>
          </a:extLst>
        </xdr:cNvPr>
        <xdr:cNvCxnSpPr/>
      </xdr:nvCxnSpPr>
      <xdr:spPr>
        <a:xfrm flipV="1">
          <a:off x="10530417" y="192595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2337" name="Straight Arrow Connector 2336">
          <a:extLst>
            <a:ext uri="{FF2B5EF4-FFF2-40B4-BE49-F238E27FC236}">
              <a16:creationId xmlns:a16="http://schemas.microsoft.com/office/drawing/2014/main" id="{00000000-0008-0000-1200-000021090000}"/>
            </a:ext>
          </a:extLst>
        </xdr:cNvPr>
        <xdr:cNvCxnSpPr/>
      </xdr:nvCxnSpPr>
      <xdr:spPr>
        <a:xfrm>
          <a:off x="10572750" y="192987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2338" name="Straight Arrow Connector 2337">
          <a:extLst>
            <a:ext uri="{FF2B5EF4-FFF2-40B4-BE49-F238E27FC236}">
              <a16:creationId xmlns:a16="http://schemas.microsoft.com/office/drawing/2014/main" id="{00000000-0008-0000-1200-000022090000}"/>
            </a:ext>
          </a:extLst>
        </xdr:cNvPr>
        <xdr:cNvCxnSpPr/>
      </xdr:nvCxnSpPr>
      <xdr:spPr>
        <a:xfrm>
          <a:off x="10551583" y="192987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2339" name="Straight Arrow Connector 2338">
          <a:extLst>
            <a:ext uri="{FF2B5EF4-FFF2-40B4-BE49-F238E27FC236}">
              <a16:creationId xmlns:a16="http://schemas.microsoft.com/office/drawing/2014/main" id="{00000000-0008-0000-1200-000023090000}"/>
            </a:ext>
          </a:extLst>
        </xdr:cNvPr>
        <xdr:cNvCxnSpPr/>
      </xdr:nvCxnSpPr>
      <xdr:spPr>
        <a:xfrm>
          <a:off x="10583333" y="193008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2344" name="Straight Arrow Connector 2343">
          <a:extLst>
            <a:ext uri="{FF2B5EF4-FFF2-40B4-BE49-F238E27FC236}">
              <a16:creationId xmlns:a16="http://schemas.microsoft.com/office/drawing/2014/main" id="{00000000-0008-0000-1200-000028090000}"/>
            </a:ext>
          </a:extLst>
        </xdr:cNvPr>
        <xdr:cNvCxnSpPr/>
      </xdr:nvCxnSpPr>
      <xdr:spPr>
        <a:xfrm>
          <a:off x="5080000" y="203739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2345" name="Straight Arrow Connector 2344">
          <a:extLst>
            <a:ext uri="{FF2B5EF4-FFF2-40B4-BE49-F238E27FC236}">
              <a16:creationId xmlns:a16="http://schemas.microsoft.com/office/drawing/2014/main" id="{00000000-0008-0000-1200-000029090000}"/>
            </a:ext>
          </a:extLst>
        </xdr:cNvPr>
        <xdr:cNvCxnSpPr/>
      </xdr:nvCxnSpPr>
      <xdr:spPr>
        <a:xfrm flipV="1">
          <a:off x="6381750" y="198067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2346" name="Straight Arrow Connector 2345">
          <a:extLst>
            <a:ext uri="{FF2B5EF4-FFF2-40B4-BE49-F238E27FC236}">
              <a16:creationId xmlns:a16="http://schemas.microsoft.com/office/drawing/2014/main" id="{00000000-0008-0000-1200-00002A090000}"/>
            </a:ext>
          </a:extLst>
        </xdr:cNvPr>
        <xdr:cNvCxnSpPr/>
      </xdr:nvCxnSpPr>
      <xdr:spPr>
        <a:xfrm>
          <a:off x="6413500" y="199644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2347" name="Straight Arrow Connector 2346">
          <a:extLst>
            <a:ext uri="{FF2B5EF4-FFF2-40B4-BE49-F238E27FC236}">
              <a16:creationId xmlns:a16="http://schemas.microsoft.com/office/drawing/2014/main" id="{00000000-0008-0000-1200-00002B090000}"/>
            </a:ext>
          </a:extLst>
        </xdr:cNvPr>
        <xdr:cNvCxnSpPr/>
      </xdr:nvCxnSpPr>
      <xdr:spPr>
        <a:xfrm flipV="1">
          <a:off x="7609417" y="200765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2348" name="Straight Arrow Connector 2347">
          <a:extLst>
            <a:ext uri="{FF2B5EF4-FFF2-40B4-BE49-F238E27FC236}">
              <a16:creationId xmlns:a16="http://schemas.microsoft.com/office/drawing/2014/main" id="{00000000-0008-0000-1200-00002C090000}"/>
            </a:ext>
          </a:extLst>
        </xdr:cNvPr>
        <xdr:cNvCxnSpPr/>
      </xdr:nvCxnSpPr>
      <xdr:spPr>
        <a:xfrm>
          <a:off x="7598834" y="201781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2349" name="Straight Arrow Connector 2348">
          <a:extLst>
            <a:ext uri="{FF2B5EF4-FFF2-40B4-BE49-F238E27FC236}">
              <a16:creationId xmlns:a16="http://schemas.microsoft.com/office/drawing/2014/main" id="{00000000-0008-0000-1200-00002D090000}"/>
            </a:ext>
          </a:extLst>
        </xdr:cNvPr>
        <xdr:cNvCxnSpPr/>
      </xdr:nvCxnSpPr>
      <xdr:spPr>
        <a:xfrm flipV="1">
          <a:off x="8794750" y="199855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2350" name="Straight Arrow Connector 2349">
          <a:extLst>
            <a:ext uri="{FF2B5EF4-FFF2-40B4-BE49-F238E27FC236}">
              <a16:creationId xmlns:a16="http://schemas.microsoft.com/office/drawing/2014/main" id="{00000000-0008-0000-1200-00002E090000}"/>
            </a:ext>
          </a:extLst>
        </xdr:cNvPr>
        <xdr:cNvCxnSpPr/>
      </xdr:nvCxnSpPr>
      <xdr:spPr>
        <a:xfrm>
          <a:off x="8784166" y="200808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2351" name="Straight Arrow Connector 2350">
          <a:extLst>
            <a:ext uri="{FF2B5EF4-FFF2-40B4-BE49-F238E27FC236}">
              <a16:creationId xmlns:a16="http://schemas.microsoft.com/office/drawing/2014/main" id="{00000000-0008-0000-1200-00002F090000}"/>
            </a:ext>
          </a:extLst>
        </xdr:cNvPr>
        <xdr:cNvCxnSpPr/>
      </xdr:nvCxnSpPr>
      <xdr:spPr>
        <a:xfrm flipV="1">
          <a:off x="8794750" y="203856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2352" name="Straight Arrow Connector 2351">
          <a:extLst>
            <a:ext uri="{FF2B5EF4-FFF2-40B4-BE49-F238E27FC236}">
              <a16:creationId xmlns:a16="http://schemas.microsoft.com/office/drawing/2014/main" id="{00000000-0008-0000-1200-000030090000}"/>
            </a:ext>
          </a:extLst>
        </xdr:cNvPr>
        <xdr:cNvCxnSpPr/>
      </xdr:nvCxnSpPr>
      <xdr:spPr>
        <a:xfrm>
          <a:off x="8805333" y="204787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1480</xdr:row>
      <xdr:rowOff>0</xdr:rowOff>
    </xdr:from>
    <xdr:to>
      <xdr:col>15</xdr:col>
      <xdr:colOff>603250</xdr:colOff>
      <xdr:row>1485</xdr:row>
      <xdr:rowOff>31750</xdr:rowOff>
    </xdr:to>
    <xdr:cxnSp macro="">
      <xdr:nvCxnSpPr>
        <xdr:cNvPr id="2353" name="Straight Arrow Connector 2352">
          <a:extLst>
            <a:ext uri="{FF2B5EF4-FFF2-40B4-BE49-F238E27FC236}">
              <a16:creationId xmlns:a16="http://schemas.microsoft.com/office/drawing/2014/main" id="{00000000-0008-0000-1200-000031090000}"/>
            </a:ext>
          </a:extLst>
        </xdr:cNvPr>
        <xdr:cNvCxnSpPr/>
      </xdr:nvCxnSpPr>
      <xdr:spPr>
        <a:xfrm flipV="1">
          <a:off x="10541000" y="198310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2354" name="Straight Arrow Connector 2353">
          <a:extLst>
            <a:ext uri="{FF2B5EF4-FFF2-40B4-BE49-F238E27FC236}">
              <a16:creationId xmlns:a16="http://schemas.microsoft.com/office/drawing/2014/main" id="{00000000-0008-0000-1200-000032090000}"/>
            </a:ext>
          </a:extLst>
        </xdr:cNvPr>
        <xdr:cNvCxnSpPr/>
      </xdr:nvCxnSpPr>
      <xdr:spPr>
        <a:xfrm flipV="1">
          <a:off x="10583333" y="198934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2355" name="Straight Arrow Connector 2354">
          <a:extLst>
            <a:ext uri="{FF2B5EF4-FFF2-40B4-BE49-F238E27FC236}">
              <a16:creationId xmlns:a16="http://schemas.microsoft.com/office/drawing/2014/main" id="{00000000-0008-0000-1200-000033090000}"/>
            </a:ext>
          </a:extLst>
        </xdr:cNvPr>
        <xdr:cNvCxnSpPr/>
      </xdr:nvCxnSpPr>
      <xdr:spPr>
        <a:xfrm>
          <a:off x="10604500" y="199421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2356" name="Straight Arrow Connector 2355">
          <a:extLst>
            <a:ext uri="{FF2B5EF4-FFF2-40B4-BE49-F238E27FC236}">
              <a16:creationId xmlns:a16="http://schemas.microsoft.com/office/drawing/2014/main" id="{00000000-0008-0000-1200-000034090000}"/>
            </a:ext>
          </a:extLst>
        </xdr:cNvPr>
        <xdr:cNvCxnSpPr/>
      </xdr:nvCxnSpPr>
      <xdr:spPr>
        <a:xfrm>
          <a:off x="10519834" y="199368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1493</xdr:row>
      <xdr:rowOff>52916</xdr:rowOff>
    </xdr:from>
    <xdr:to>
      <xdr:col>16</xdr:col>
      <xdr:colOff>0</xdr:colOff>
      <xdr:row>1495</xdr:row>
      <xdr:rowOff>0</xdr:rowOff>
    </xdr:to>
    <xdr:cxnSp macro="">
      <xdr:nvCxnSpPr>
        <xdr:cNvPr id="2357" name="Straight Arrow Connector 2356">
          <a:extLst>
            <a:ext uri="{FF2B5EF4-FFF2-40B4-BE49-F238E27FC236}">
              <a16:creationId xmlns:a16="http://schemas.microsoft.com/office/drawing/2014/main" id="{00000000-0008-0000-1200-000035090000}"/>
            </a:ext>
          </a:extLst>
        </xdr:cNvPr>
        <xdr:cNvCxnSpPr/>
      </xdr:nvCxnSpPr>
      <xdr:spPr>
        <a:xfrm flipV="1">
          <a:off x="10541000" y="200839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2358" name="Straight Arrow Connector 2357">
          <a:extLst>
            <a:ext uri="{FF2B5EF4-FFF2-40B4-BE49-F238E27FC236}">
              <a16:creationId xmlns:a16="http://schemas.microsoft.com/office/drawing/2014/main" id="{00000000-0008-0000-1200-000036090000}"/>
            </a:ext>
          </a:extLst>
        </xdr:cNvPr>
        <xdr:cNvCxnSpPr/>
      </xdr:nvCxnSpPr>
      <xdr:spPr>
        <a:xfrm>
          <a:off x="10551583" y="201189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2359" name="Straight Arrow Connector 2358">
          <a:extLst>
            <a:ext uri="{FF2B5EF4-FFF2-40B4-BE49-F238E27FC236}">
              <a16:creationId xmlns:a16="http://schemas.microsoft.com/office/drawing/2014/main" id="{00000000-0008-0000-1200-000037090000}"/>
            </a:ext>
          </a:extLst>
        </xdr:cNvPr>
        <xdr:cNvCxnSpPr/>
      </xdr:nvCxnSpPr>
      <xdr:spPr>
        <a:xfrm>
          <a:off x="10530417" y="201189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2360" name="Straight Arrow Connector 2359">
          <a:extLst>
            <a:ext uri="{FF2B5EF4-FFF2-40B4-BE49-F238E27FC236}">
              <a16:creationId xmlns:a16="http://schemas.microsoft.com/office/drawing/2014/main" id="{00000000-0008-0000-1200-000038090000}"/>
            </a:ext>
          </a:extLst>
        </xdr:cNvPr>
        <xdr:cNvCxnSpPr/>
      </xdr:nvCxnSpPr>
      <xdr:spPr>
        <a:xfrm>
          <a:off x="10541000" y="201199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2361" name="Straight Arrow Connector 2360">
          <a:extLst>
            <a:ext uri="{FF2B5EF4-FFF2-40B4-BE49-F238E27FC236}">
              <a16:creationId xmlns:a16="http://schemas.microsoft.com/office/drawing/2014/main" id="{00000000-0008-0000-1200-000039090000}"/>
            </a:ext>
          </a:extLst>
        </xdr:cNvPr>
        <xdr:cNvCxnSpPr/>
      </xdr:nvCxnSpPr>
      <xdr:spPr>
        <a:xfrm flipV="1">
          <a:off x="6392333" y="208449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2362" name="Straight Arrow Connector 2361">
          <a:extLst>
            <a:ext uri="{FF2B5EF4-FFF2-40B4-BE49-F238E27FC236}">
              <a16:creationId xmlns:a16="http://schemas.microsoft.com/office/drawing/2014/main" id="{00000000-0008-0000-1200-00003A090000}"/>
            </a:ext>
          </a:extLst>
        </xdr:cNvPr>
        <xdr:cNvCxnSpPr/>
      </xdr:nvCxnSpPr>
      <xdr:spPr>
        <a:xfrm>
          <a:off x="6413500" y="210481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2363" name="Straight Arrow Connector 2362">
          <a:extLst>
            <a:ext uri="{FF2B5EF4-FFF2-40B4-BE49-F238E27FC236}">
              <a16:creationId xmlns:a16="http://schemas.microsoft.com/office/drawing/2014/main" id="{00000000-0008-0000-1200-00003B090000}"/>
            </a:ext>
          </a:extLst>
        </xdr:cNvPr>
        <xdr:cNvCxnSpPr/>
      </xdr:nvCxnSpPr>
      <xdr:spPr>
        <a:xfrm flipV="1">
          <a:off x="7556500" y="211613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2364" name="Straight Arrow Connector 2363">
          <a:extLst>
            <a:ext uri="{FF2B5EF4-FFF2-40B4-BE49-F238E27FC236}">
              <a16:creationId xmlns:a16="http://schemas.microsoft.com/office/drawing/2014/main" id="{00000000-0008-0000-1200-00003C090000}"/>
            </a:ext>
          </a:extLst>
        </xdr:cNvPr>
        <xdr:cNvCxnSpPr/>
      </xdr:nvCxnSpPr>
      <xdr:spPr>
        <a:xfrm flipV="1">
          <a:off x="10530417" y="203454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2365" name="Straight Arrow Connector 2364">
          <a:extLst>
            <a:ext uri="{FF2B5EF4-FFF2-40B4-BE49-F238E27FC236}">
              <a16:creationId xmlns:a16="http://schemas.microsoft.com/office/drawing/2014/main" id="{00000000-0008-0000-1200-00003D090000}"/>
            </a:ext>
          </a:extLst>
        </xdr:cNvPr>
        <xdr:cNvCxnSpPr/>
      </xdr:nvCxnSpPr>
      <xdr:spPr>
        <a:xfrm>
          <a:off x="10572750" y="203845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2366" name="Straight Arrow Connector 2365">
          <a:extLst>
            <a:ext uri="{FF2B5EF4-FFF2-40B4-BE49-F238E27FC236}">
              <a16:creationId xmlns:a16="http://schemas.microsoft.com/office/drawing/2014/main" id="{00000000-0008-0000-1200-00003E090000}"/>
            </a:ext>
          </a:extLst>
        </xdr:cNvPr>
        <xdr:cNvCxnSpPr/>
      </xdr:nvCxnSpPr>
      <xdr:spPr>
        <a:xfrm>
          <a:off x="10551583" y="203845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2367" name="Straight Arrow Connector 2366">
          <a:extLst>
            <a:ext uri="{FF2B5EF4-FFF2-40B4-BE49-F238E27FC236}">
              <a16:creationId xmlns:a16="http://schemas.microsoft.com/office/drawing/2014/main" id="{00000000-0008-0000-1200-00003F090000}"/>
            </a:ext>
          </a:extLst>
        </xdr:cNvPr>
        <xdr:cNvCxnSpPr/>
      </xdr:nvCxnSpPr>
      <xdr:spPr>
        <a:xfrm>
          <a:off x="10583333" y="203866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2368" name="Straight Arrow Connector 2367">
          <a:extLst>
            <a:ext uri="{FF2B5EF4-FFF2-40B4-BE49-F238E27FC236}">
              <a16:creationId xmlns:a16="http://schemas.microsoft.com/office/drawing/2014/main" id="{00000000-0008-0000-1200-000040090000}"/>
            </a:ext>
          </a:extLst>
        </xdr:cNvPr>
        <xdr:cNvCxnSpPr/>
      </xdr:nvCxnSpPr>
      <xdr:spPr>
        <a:xfrm>
          <a:off x="10562166" y="206502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2369" name="Straight Arrow Connector 2368">
          <a:extLst>
            <a:ext uri="{FF2B5EF4-FFF2-40B4-BE49-F238E27FC236}">
              <a16:creationId xmlns:a16="http://schemas.microsoft.com/office/drawing/2014/main" id="{00000000-0008-0000-1200-000041090000}"/>
            </a:ext>
          </a:extLst>
        </xdr:cNvPr>
        <xdr:cNvCxnSpPr/>
      </xdr:nvCxnSpPr>
      <xdr:spPr>
        <a:xfrm>
          <a:off x="10615083" y="206523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2370" name="Straight Arrow Connector 2369">
          <a:extLst>
            <a:ext uri="{FF2B5EF4-FFF2-40B4-BE49-F238E27FC236}">
              <a16:creationId xmlns:a16="http://schemas.microsoft.com/office/drawing/2014/main" id="{00000000-0008-0000-1200-000042090000}"/>
            </a:ext>
          </a:extLst>
        </xdr:cNvPr>
        <xdr:cNvCxnSpPr/>
      </xdr:nvCxnSpPr>
      <xdr:spPr>
        <a:xfrm>
          <a:off x="10572750" y="206554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2371" name="Straight Arrow Connector 2370">
          <a:extLst>
            <a:ext uri="{FF2B5EF4-FFF2-40B4-BE49-F238E27FC236}">
              <a16:creationId xmlns:a16="http://schemas.microsoft.com/office/drawing/2014/main" id="{00000000-0008-0000-1200-000043090000}"/>
            </a:ext>
          </a:extLst>
        </xdr:cNvPr>
        <xdr:cNvCxnSpPr/>
      </xdr:nvCxnSpPr>
      <xdr:spPr>
        <a:xfrm flipV="1">
          <a:off x="10562166" y="209285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2372" name="Straight Arrow Connector 2371">
          <a:extLst>
            <a:ext uri="{FF2B5EF4-FFF2-40B4-BE49-F238E27FC236}">
              <a16:creationId xmlns:a16="http://schemas.microsoft.com/office/drawing/2014/main" id="{00000000-0008-0000-1200-000044090000}"/>
            </a:ext>
          </a:extLst>
        </xdr:cNvPr>
        <xdr:cNvCxnSpPr/>
      </xdr:nvCxnSpPr>
      <xdr:spPr>
        <a:xfrm flipV="1">
          <a:off x="10604500" y="209645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2373" name="Straight Arrow Connector 2372">
          <a:extLst>
            <a:ext uri="{FF2B5EF4-FFF2-40B4-BE49-F238E27FC236}">
              <a16:creationId xmlns:a16="http://schemas.microsoft.com/office/drawing/2014/main" id="{00000000-0008-0000-1200-000045090000}"/>
            </a:ext>
          </a:extLst>
        </xdr:cNvPr>
        <xdr:cNvCxnSpPr/>
      </xdr:nvCxnSpPr>
      <xdr:spPr>
        <a:xfrm>
          <a:off x="10593916" y="210047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2374" name="Straight Arrow Connector 2373">
          <a:extLst>
            <a:ext uri="{FF2B5EF4-FFF2-40B4-BE49-F238E27FC236}">
              <a16:creationId xmlns:a16="http://schemas.microsoft.com/office/drawing/2014/main" id="{00000000-0008-0000-1200-000046090000}"/>
            </a:ext>
          </a:extLst>
        </xdr:cNvPr>
        <xdr:cNvCxnSpPr/>
      </xdr:nvCxnSpPr>
      <xdr:spPr>
        <a:xfrm>
          <a:off x="10572750" y="212142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2375" name="Straight Arrow Connector 2374">
          <a:extLst>
            <a:ext uri="{FF2B5EF4-FFF2-40B4-BE49-F238E27FC236}">
              <a16:creationId xmlns:a16="http://schemas.microsoft.com/office/drawing/2014/main" id="{00000000-0008-0000-1200-000047090000}"/>
            </a:ext>
          </a:extLst>
        </xdr:cNvPr>
        <xdr:cNvCxnSpPr/>
      </xdr:nvCxnSpPr>
      <xdr:spPr>
        <a:xfrm flipV="1">
          <a:off x="10583333" y="205983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2376" name="Straight Arrow Connector 2375">
          <a:extLst>
            <a:ext uri="{FF2B5EF4-FFF2-40B4-BE49-F238E27FC236}">
              <a16:creationId xmlns:a16="http://schemas.microsoft.com/office/drawing/2014/main" id="{00000000-0008-0000-1200-000048090000}"/>
            </a:ext>
          </a:extLst>
        </xdr:cNvPr>
        <xdr:cNvCxnSpPr/>
      </xdr:nvCxnSpPr>
      <xdr:spPr>
        <a:xfrm>
          <a:off x="7598834" y="212640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2377" name="Straight Arrow Connector 2376">
          <a:extLst>
            <a:ext uri="{FF2B5EF4-FFF2-40B4-BE49-F238E27FC236}">
              <a16:creationId xmlns:a16="http://schemas.microsoft.com/office/drawing/2014/main" id="{00000000-0008-0000-1200-000049090000}"/>
            </a:ext>
          </a:extLst>
        </xdr:cNvPr>
        <xdr:cNvCxnSpPr/>
      </xdr:nvCxnSpPr>
      <xdr:spPr>
        <a:xfrm flipV="1">
          <a:off x="8794750" y="210714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2378" name="Straight Arrow Connector 2377">
          <a:extLst>
            <a:ext uri="{FF2B5EF4-FFF2-40B4-BE49-F238E27FC236}">
              <a16:creationId xmlns:a16="http://schemas.microsoft.com/office/drawing/2014/main" id="{00000000-0008-0000-1200-00004A090000}"/>
            </a:ext>
          </a:extLst>
        </xdr:cNvPr>
        <xdr:cNvCxnSpPr/>
      </xdr:nvCxnSpPr>
      <xdr:spPr>
        <a:xfrm>
          <a:off x="8784166" y="211666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2379" name="Straight Arrow Connector 2378">
          <a:extLst>
            <a:ext uri="{FF2B5EF4-FFF2-40B4-BE49-F238E27FC236}">
              <a16:creationId xmlns:a16="http://schemas.microsoft.com/office/drawing/2014/main" id="{00000000-0008-0000-1200-00004B090000}"/>
            </a:ext>
          </a:extLst>
        </xdr:cNvPr>
        <xdr:cNvCxnSpPr/>
      </xdr:nvCxnSpPr>
      <xdr:spPr>
        <a:xfrm flipV="1">
          <a:off x="8794750" y="214714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2380" name="Straight Arrow Connector 2379">
          <a:extLst>
            <a:ext uri="{FF2B5EF4-FFF2-40B4-BE49-F238E27FC236}">
              <a16:creationId xmlns:a16="http://schemas.microsoft.com/office/drawing/2014/main" id="{00000000-0008-0000-1200-00004C090000}"/>
            </a:ext>
          </a:extLst>
        </xdr:cNvPr>
        <xdr:cNvCxnSpPr/>
      </xdr:nvCxnSpPr>
      <xdr:spPr>
        <a:xfrm>
          <a:off x="8805333" y="215646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2381" name="Straight Arrow Connector 2380">
          <a:extLst>
            <a:ext uri="{FF2B5EF4-FFF2-40B4-BE49-F238E27FC236}">
              <a16:creationId xmlns:a16="http://schemas.microsoft.com/office/drawing/2014/main" id="{00000000-0008-0000-1200-00004D090000}"/>
            </a:ext>
          </a:extLst>
        </xdr:cNvPr>
        <xdr:cNvCxnSpPr/>
      </xdr:nvCxnSpPr>
      <xdr:spPr>
        <a:xfrm>
          <a:off x="10593916" y="210026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1549</xdr:row>
      <xdr:rowOff>52916</xdr:rowOff>
    </xdr:from>
    <xdr:to>
      <xdr:col>16</xdr:col>
      <xdr:colOff>0</xdr:colOff>
      <xdr:row>1551</xdr:row>
      <xdr:rowOff>0</xdr:rowOff>
    </xdr:to>
    <xdr:cxnSp macro="">
      <xdr:nvCxnSpPr>
        <xdr:cNvPr id="2382" name="Straight Arrow Connector 2381">
          <a:extLst>
            <a:ext uri="{FF2B5EF4-FFF2-40B4-BE49-F238E27FC236}">
              <a16:creationId xmlns:a16="http://schemas.microsoft.com/office/drawing/2014/main" id="{00000000-0008-0000-1200-00004E090000}"/>
            </a:ext>
          </a:extLst>
        </xdr:cNvPr>
        <xdr:cNvCxnSpPr/>
      </xdr:nvCxnSpPr>
      <xdr:spPr>
        <a:xfrm flipV="1">
          <a:off x="10541000" y="211698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2383" name="Straight Arrow Connector 2382">
          <a:extLst>
            <a:ext uri="{FF2B5EF4-FFF2-40B4-BE49-F238E27FC236}">
              <a16:creationId xmlns:a16="http://schemas.microsoft.com/office/drawing/2014/main" id="{00000000-0008-0000-1200-00004F090000}"/>
            </a:ext>
          </a:extLst>
        </xdr:cNvPr>
        <xdr:cNvCxnSpPr/>
      </xdr:nvCxnSpPr>
      <xdr:spPr>
        <a:xfrm>
          <a:off x="10530417" y="212047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2384" name="Straight Arrow Connector 2383">
          <a:extLst>
            <a:ext uri="{FF2B5EF4-FFF2-40B4-BE49-F238E27FC236}">
              <a16:creationId xmlns:a16="http://schemas.microsoft.com/office/drawing/2014/main" id="{00000000-0008-0000-1200-000050090000}"/>
            </a:ext>
          </a:extLst>
        </xdr:cNvPr>
        <xdr:cNvCxnSpPr/>
      </xdr:nvCxnSpPr>
      <xdr:spPr>
        <a:xfrm>
          <a:off x="10530417" y="212026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2385" name="Straight Arrow Connector 2384">
          <a:extLst>
            <a:ext uri="{FF2B5EF4-FFF2-40B4-BE49-F238E27FC236}">
              <a16:creationId xmlns:a16="http://schemas.microsoft.com/office/drawing/2014/main" id="{00000000-0008-0000-1200-000051090000}"/>
            </a:ext>
          </a:extLst>
        </xdr:cNvPr>
        <xdr:cNvCxnSpPr/>
      </xdr:nvCxnSpPr>
      <xdr:spPr>
        <a:xfrm flipV="1">
          <a:off x="10530417" y="214312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2386" name="Straight Arrow Connector 2385">
          <a:extLst>
            <a:ext uri="{FF2B5EF4-FFF2-40B4-BE49-F238E27FC236}">
              <a16:creationId xmlns:a16="http://schemas.microsoft.com/office/drawing/2014/main" id="{00000000-0008-0000-1200-000052090000}"/>
            </a:ext>
          </a:extLst>
        </xdr:cNvPr>
        <xdr:cNvCxnSpPr/>
      </xdr:nvCxnSpPr>
      <xdr:spPr>
        <a:xfrm>
          <a:off x="10572750" y="214704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2387" name="Straight Arrow Connector 2386">
          <a:extLst>
            <a:ext uri="{FF2B5EF4-FFF2-40B4-BE49-F238E27FC236}">
              <a16:creationId xmlns:a16="http://schemas.microsoft.com/office/drawing/2014/main" id="{00000000-0008-0000-1200-000053090000}"/>
            </a:ext>
          </a:extLst>
        </xdr:cNvPr>
        <xdr:cNvCxnSpPr/>
      </xdr:nvCxnSpPr>
      <xdr:spPr>
        <a:xfrm>
          <a:off x="10551583" y="214704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2388" name="Straight Arrow Connector 2387">
          <a:extLst>
            <a:ext uri="{FF2B5EF4-FFF2-40B4-BE49-F238E27FC236}">
              <a16:creationId xmlns:a16="http://schemas.microsoft.com/office/drawing/2014/main" id="{00000000-0008-0000-1200-000054090000}"/>
            </a:ext>
          </a:extLst>
        </xdr:cNvPr>
        <xdr:cNvCxnSpPr/>
      </xdr:nvCxnSpPr>
      <xdr:spPr>
        <a:xfrm>
          <a:off x="10583333" y="214725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2389" name="Straight Arrow Connector 2388">
          <a:extLst>
            <a:ext uri="{FF2B5EF4-FFF2-40B4-BE49-F238E27FC236}">
              <a16:creationId xmlns:a16="http://schemas.microsoft.com/office/drawing/2014/main" id="{00000000-0008-0000-1200-000055090000}"/>
            </a:ext>
          </a:extLst>
        </xdr:cNvPr>
        <xdr:cNvCxnSpPr/>
      </xdr:nvCxnSpPr>
      <xdr:spPr>
        <a:xfrm>
          <a:off x="10562166" y="217360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2390" name="Straight Arrow Connector 2389">
          <a:extLst>
            <a:ext uri="{FF2B5EF4-FFF2-40B4-BE49-F238E27FC236}">
              <a16:creationId xmlns:a16="http://schemas.microsoft.com/office/drawing/2014/main" id="{00000000-0008-0000-1200-000056090000}"/>
            </a:ext>
          </a:extLst>
        </xdr:cNvPr>
        <xdr:cNvCxnSpPr/>
      </xdr:nvCxnSpPr>
      <xdr:spPr>
        <a:xfrm>
          <a:off x="10615083" y="217381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2391" name="Straight Arrow Connector 2390">
          <a:extLst>
            <a:ext uri="{FF2B5EF4-FFF2-40B4-BE49-F238E27FC236}">
              <a16:creationId xmlns:a16="http://schemas.microsoft.com/office/drawing/2014/main" id="{00000000-0008-0000-1200-000057090000}"/>
            </a:ext>
          </a:extLst>
        </xdr:cNvPr>
        <xdr:cNvCxnSpPr/>
      </xdr:nvCxnSpPr>
      <xdr:spPr>
        <a:xfrm>
          <a:off x="10572750" y="217413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2392" name="Straight Arrow Connector 2391">
          <a:extLst>
            <a:ext uri="{FF2B5EF4-FFF2-40B4-BE49-F238E27FC236}">
              <a16:creationId xmlns:a16="http://schemas.microsoft.com/office/drawing/2014/main" id="{00000000-0008-0000-1200-000058090000}"/>
            </a:ext>
          </a:extLst>
        </xdr:cNvPr>
        <xdr:cNvCxnSpPr/>
      </xdr:nvCxnSpPr>
      <xdr:spPr>
        <a:xfrm flipV="1">
          <a:off x="10583333" y="216841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2393" name="Straight Arrow Connector 2392">
          <a:extLst>
            <a:ext uri="{FF2B5EF4-FFF2-40B4-BE49-F238E27FC236}">
              <a16:creationId xmlns:a16="http://schemas.microsoft.com/office/drawing/2014/main" id="{00000000-0008-0000-1200-000059090000}"/>
            </a:ext>
          </a:extLst>
        </xdr:cNvPr>
        <xdr:cNvCxnSpPr/>
      </xdr:nvCxnSpPr>
      <xdr:spPr>
        <a:xfrm flipV="1">
          <a:off x="5207000" y="199580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2394" name="Straight Arrow Connector 2393">
          <a:extLst>
            <a:ext uri="{FF2B5EF4-FFF2-40B4-BE49-F238E27FC236}">
              <a16:creationId xmlns:a16="http://schemas.microsoft.com/office/drawing/2014/main" id="{00000000-0008-0000-1200-00005A090000}"/>
            </a:ext>
          </a:extLst>
        </xdr:cNvPr>
        <xdr:cNvCxnSpPr/>
      </xdr:nvCxnSpPr>
      <xdr:spPr>
        <a:xfrm flipV="1">
          <a:off x="3714750" y="226123501"/>
          <a:ext cx="666750"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2395" name="Straight Arrow Connector 2394">
          <a:extLst>
            <a:ext uri="{FF2B5EF4-FFF2-40B4-BE49-F238E27FC236}">
              <a16:creationId xmlns:a16="http://schemas.microsoft.com/office/drawing/2014/main" id="{00000000-0008-0000-1200-00005B090000}"/>
            </a:ext>
          </a:extLst>
        </xdr:cNvPr>
        <xdr:cNvCxnSpPr/>
      </xdr:nvCxnSpPr>
      <xdr:spPr>
        <a:xfrm>
          <a:off x="3799417" y="233341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2396" name="Straight Arrow Connector 2395">
          <a:extLst>
            <a:ext uri="{FF2B5EF4-FFF2-40B4-BE49-F238E27FC236}">
              <a16:creationId xmlns:a16="http://schemas.microsoft.com/office/drawing/2014/main" id="{00000000-0008-0000-1200-00005C090000}"/>
            </a:ext>
          </a:extLst>
        </xdr:cNvPr>
        <xdr:cNvCxnSpPr/>
      </xdr:nvCxnSpPr>
      <xdr:spPr>
        <a:xfrm flipV="1">
          <a:off x="5175250" y="221318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2397" name="Straight Arrow Connector 2396">
          <a:extLst>
            <a:ext uri="{FF2B5EF4-FFF2-40B4-BE49-F238E27FC236}">
              <a16:creationId xmlns:a16="http://schemas.microsoft.com/office/drawing/2014/main" id="{00000000-0008-0000-1200-00005D090000}"/>
            </a:ext>
          </a:extLst>
        </xdr:cNvPr>
        <xdr:cNvCxnSpPr/>
      </xdr:nvCxnSpPr>
      <xdr:spPr>
        <a:xfrm>
          <a:off x="5175250" y="226134084"/>
          <a:ext cx="624417"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2398" name="Straight Arrow Connector 2397">
          <a:extLst>
            <a:ext uri="{FF2B5EF4-FFF2-40B4-BE49-F238E27FC236}">
              <a16:creationId xmlns:a16="http://schemas.microsoft.com/office/drawing/2014/main" id="{00000000-0008-0000-1200-00005E090000}"/>
            </a:ext>
          </a:extLst>
        </xdr:cNvPr>
        <xdr:cNvCxnSpPr/>
      </xdr:nvCxnSpPr>
      <xdr:spPr>
        <a:xfrm flipV="1">
          <a:off x="6381750" y="219784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2399" name="Straight Arrow Connector 2398">
          <a:extLst>
            <a:ext uri="{FF2B5EF4-FFF2-40B4-BE49-F238E27FC236}">
              <a16:creationId xmlns:a16="http://schemas.microsoft.com/office/drawing/2014/main" id="{00000000-0008-0000-1200-00005F090000}"/>
            </a:ext>
          </a:extLst>
        </xdr:cNvPr>
        <xdr:cNvCxnSpPr/>
      </xdr:nvCxnSpPr>
      <xdr:spPr>
        <a:xfrm>
          <a:off x="6413500" y="221361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2400" name="Straight Arrow Connector 2399">
          <a:extLst>
            <a:ext uri="{FF2B5EF4-FFF2-40B4-BE49-F238E27FC236}">
              <a16:creationId xmlns:a16="http://schemas.microsoft.com/office/drawing/2014/main" id="{00000000-0008-0000-1200-000060090000}"/>
            </a:ext>
          </a:extLst>
        </xdr:cNvPr>
        <xdr:cNvCxnSpPr/>
      </xdr:nvCxnSpPr>
      <xdr:spPr>
        <a:xfrm flipV="1">
          <a:off x="7609417" y="222482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2401" name="Straight Arrow Connector 2400">
          <a:extLst>
            <a:ext uri="{FF2B5EF4-FFF2-40B4-BE49-F238E27FC236}">
              <a16:creationId xmlns:a16="http://schemas.microsoft.com/office/drawing/2014/main" id="{00000000-0008-0000-1200-000061090000}"/>
            </a:ext>
          </a:extLst>
        </xdr:cNvPr>
        <xdr:cNvCxnSpPr/>
      </xdr:nvCxnSpPr>
      <xdr:spPr>
        <a:xfrm>
          <a:off x="7598834" y="223498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2402" name="Straight Arrow Connector 2401">
          <a:extLst>
            <a:ext uri="{FF2B5EF4-FFF2-40B4-BE49-F238E27FC236}">
              <a16:creationId xmlns:a16="http://schemas.microsoft.com/office/drawing/2014/main" id="{00000000-0008-0000-1200-000062090000}"/>
            </a:ext>
          </a:extLst>
        </xdr:cNvPr>
        <xdr:cNvCxnSpPr/>
      </xdr:nvCxnSpPr>
      <xdr:spPr>
        <a:xfrm flipV="1">
          <a:off x="8794750" y="221572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2403" name="Straight Arrow Connector 2402">
          <a:extLst>
            <a:ext uri="{FF2B5EF4-FFF2-40B4-BE49-F238E27FC236}">
              <a16:creationId xmlns:a16="http://schemas.microsoft.com/office/drawing/2014/main" id="{00000000-0008-0000-1200-000063090000}"/>
            </a:ext>
          </a:extLst>
        </xdr:cNvPr>
        <xdr:cNvCxnSpPr/>
      </xdr:nvCxnSpPr>
      <xdr:spPr>
        <a:xfrm>
          <a:off x="8784166" y="222525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2404" name="Straight Arrow Connector 2403">
          <a:extLst>
            <a:ext uri="{FF2B5EF4-FFF2-40B4-BE49-F238E27FC236}">
              <a16:creationId xmlns:a16="http://schemas.microsoft.com/office/drawing/2014/main" id="{00000000-0008-0000-1200-000064090000}"/>
            </a:ext>
          </a:extLst>
        </xdr:cNvPr>
        <xdr:cNvCxnSpPr/>
      </xdr:nvCxnSpPr>
      <xdr:spPr>
        <a:xfrm flipV="1">
          <a:off x="8794750" y="225573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2405" name="Straight Arrow Connector 2404">
          <a:extLst>
            <a:ext uri="{FF2B5EF4-FFF2-40B4-BE49-F238E27FC236}">
              <a16:creationId xmlns:a16="http://schemas.microsoft.com/office/drawing/2014/main" id="{00000000-0008-0000-1200-000065090000}"/>
            </a:ext>
          </a:extLst>
        </xdr:cNvPr>
        <xdr:cNvCxnSpPr/>
      </xdr:nvCxnSpPr>
      <xdr:spPr>
        <a:xfrm>
          <a:off x="8805333" y="226504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1592</xdr:row>
      <xdr:rowOff>0</xdr:rowOff>
    </xdr:from>
    <xdr:to>
      <xdr:col>15</xdr:col>
      <xdr:colOff>603250</xdr:colOff>
      <xdr:row>1597</xdr:row>
      <xdr:rowOff>31750</xdr:rowOff>
    </xdr:to>
    <xdr:cxnSp macro="">
      <xdr:nvCxnSpPr>
        <xdr:cNvPr id="2406" name="Straight Arrow Connector 2405">
          <a:extLst>
            <a:ext uri="{FF2B5EF4-FFF2-40B4-BE49-F238E27FC236}">
              <a16:creationId xmlns:a16="http://schemas.microsoft.com/office/drawing/2014/main" id="{00000000-0008-0000-1200-000066090000}"/>
            </a:ext>
          </a:extLst>
        </xdr:cNvPr>
        <xdr:cNvCxnSpPr/>
      </xdr:nvCxnSpPr>
      <xdr:spPr>
        <a:xfrm flipV="1">
          <a:off x="10541000" y="220027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2407" name="Straight Arrow Connector 2406">
          <a:extLst>
            <a:ext uri="{FF2B5EF4-FFF2-40B4-BE49-F238E27FC236}">
              <a16:creationId xmlns:a16="http://schemas.microsoft.com/office/drawing/2014/main" id="{00000000-0008-0000-1200-000067090000}"/>
            </a:ext>
          </a:extLst>
        </xdr:cNvPr>
        <xdr:cNvCxnSpPr/>
      </xdr:nvCxnSpPr>
      <xdr:spPr>
        <a:xfrm flipV="1">
          <a:off x="10583333" y="220651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2408" name="Straight Arrow Connector 2407">
          <a:extLst>
            <a:ext uri="{FF2B5EF4-FFF2-40B4-BE49-F238E27FC236}">
              <a16:creationId xmlns:a16="http://schemas.microsoft.com/office/drawing/2014/main" id="{00000000-0008-0000-1200-000068090000}"/>
            </a:ext>
          </a:extLst>
        </xdr:cNvPr>
        <xdr:cNvCxnSpPr/>
      </xdr:nvCxnSpPr>
      <xdr:spPr>
        <a:xfrm>
          <a:off x="10604500" y="221138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2409" name="Straight Arrow Connector 2408">
          <a:extLst>
            <a:ext uri="{FF2B5EF4-FFF2-40B4-BE49-F238E27FC236}">
              <a16:creationId xmlns:a16="http://schemas.microsoft.com/office/drawing/2014/main" id="{00000000-0008-0000-1200-000069090000}"/>
            </a:ext>
          </a:extLst>
        </xdr:cNvPr>
        <xdr:cNvCxnSpPr/>
      </xdr:nvCxnSpPr>
      <xdr:spPr>
        <a:xfrm>
          <a:off x="10519834" y="221085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1605</xdr:row>
      <xdr:rowOff>52916</xdr:rowOff>
    </xdr:from>
    <xdr:to>
      <xdr:col>16</xdr:col>
      <xdr:colOff>0</xdr:colOff>
      <xdr:row>1607</xdr:row>
      <xdr:rowOff>0</xdr:rowOff>
    </xdr:to>
    <xdr:cxnSp macro="">
      <xdr:nvCxnSpPr>
        <xdr:cNvPr id="2410" name="Straight Arrow Connector 2409">
          <a:extLst>
            <a:ext uri="{FF2B5EF4-FFF2-40B4-BE49-F238E27FC236}">
              <a16:creationId xmlns:a16="http://schemas.microsoft.com/office/drawing/2014/main" id="{00000000-0008-0000-1200-00006A090000}"/>
            </a:ext>
          </a:extLst>
        </xdr:cNvPr>
        <xdr:cNvCxnSpPr/>
      </xdr:nvCxnSpPr>
      <xdr:spPr>
        <a:xfrm flipV="1">
          <a:off x="10541000" y="222556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2411" name="Straight Arrow Connector 2410">
          <a:extLst>
            <a:ext uri="{FF2B5EF4-FFF2-40B4-BE49-F238E27FC236}">
              <a16:creationId xmlns:a16="http://schemas.microsoft.com/office/drawing/2014/main" id="{00000000-0008-0000-1200-00006B090000}"/>
            </a:ext>
          </a:extLst>
        </xdr:cNvPr>
        <xdr:cNvCxnSpPr/>
      </xdr:nvCxnSpPr>
      <xdr:spPr>
        <a:xfrm>
          <a:off x="10551583" y="222906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2412" name="Straight Arrow Connector 2411">
          <a:extLst>
            <a:ext uri="{FF2B5EF4-FFF2-40B4-BE49-F238E27FC236}">
              <a16:creationId xmlns:a16="http://schemas.microsoft.com/office/drawing/2014/main" id="{00000000-0008-0000-1200-00006C090000}"/>
            </a:ext>
          </a:extLst>
        </xdr:cNvPr>
        <xdr:cNvCxnSpPr/>
      </xdr:nvCxnSpPr>
      <xdr:spPr>
        <a:xfrm>
          <a:off x="10530417" y="222906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2413" name="Straight Arrow Connector 2412">
          <a:extLst>
            <a:ext uri="{FF2B5EF4-FFF2-40B4-BE49-F238E27FC236}">
              <a16:creationId xmlns:a16="http://schemas.microsoft.com/office/drawing/2014/main" id="{00000000-0008-0000-1200-00006D090000}"/>
            </a:ext>
          </a:extLst>
        </xdr:cNvPr>
        <xdr:cNvCxnSpPr/>
      </xdr:nvCxnSpPr>
      <xdr:spPr>
        <a:xfrm>
          <a:off x="10541000" y="222916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2414" name="Straight Arrow Connector 2413">
          <a:extLst>
            <a:ext uri="{FF2B5EF4-FFF2-40B4-BE49-F238E27FC236}">
              <a16:creationId xmlns:a16="http://schemas.microsoft.com/office/drawing/2014/main" id="{00000000-0008-0000-1200-00006E090000}"/>
            </a:ext>
          </a:extLst>
        </xdr:cNvPr>
        <xdr:cNvCxnSpPr/>
      </xdr:nvCxnSpPr>
      <xdr:spPr>
        <a:xfrm flipV="1">
          <a:off x="6392333" y="230166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2415" name="Straight Arrow Connector 2414">
          <a:extLst>
            <a:ext uri="{FF2B5EF4-FFF2-40B4-BE49-F238E27FC236}">
              <a16:creationId xmlns:a16="http://schemas.microsoft.com/office/drawing/2014/main" id="{00000000-0008-0000-1200-00006F090000}"/>
            </a:ext>
          </a:extLst>
        </xdr:cNvPr>
        <xdr:cNvCxnSpPr/>
      </xdr:nvCxnSpPr>
      <xdr:spPr>
        <a:xfrm>
          <a:off x="6413500" y="232198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2416" name="Straight Arrow Connector 2415">
          <a:extLst>
            <a:ext uri="{FF2B5EF4-FFF2-40B4-BE49-F238E27FC236}">
              <a16:creationId xmlns:a16="http://schemas.microsoft.com/office/drawing/2014/main" id="{00000000-0008-0000-1200-000070090000}"/>
            </a:ext>
          </a:extLst>
        </xdr:cNvPr>
        <xdr:cNvCxnSpPr/>
      </xdr:nvCxnSpPr>
      <xdr:spPr>
        <a:xfrm flipV="1">
          <a:off x="7556500" y="233330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2417" name="Straight Arrow Connector 2416">
          <a:extLst>
            <a:ext uri="{FF2B5EF4-FFF2-40B4-BE49-F238E27FC236}">
              <a16:creationId xmlns:a16="http://schemas.microsoft.com/office/drawing/2014/main" id="{00000000-0008-0000-1200-000071090000}"/>
            </a:ext>
          </a:extLst>
        </xdr:cNvPr>
        <xdr:cNvCxnSpPr/>
      </xdr:nvCxnSpPr>
      <xdr:spPr>
        <a:xfrm flipV="1">
          <a:off x="10530417" y="225171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2418" name="Straight Arrow Connector 2417">
          <a:extLst>
            <a:ext uri="{FF2B5EF4-FFF2-40B4-BE49-F238E27FC236}">
              <a16:creationId xmlns:a16="http://schemas.microsoft.com/office/drawing/2014/main" id="{00000000-0008-0000-1200-000072090000}"/>
            </a:ext>
          </a:extLst>
        </xdr:cNvPr>
        <xdr:cNvCxnSpPr/>
      </xdr:nvCxnSpPr>
      <xdr:spPr>
        <a:xfrm>
          <a:off x="10572750" y="225562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2419" name="Straight Arrow Connector 2418">
          <a:extLst>
            <a:ext uri="{FF2B5EF4-FFF2-40B4-BE49-F238E27FC236}">
              <a16:creationId xmlns:a16="http://schemas.microsoft.com/office/drawing/2014/main" id="{00000000-0008-0000-1200-000073090000}"/>
            </a:ext>
          </a:extLst>
        </xdr:cNvPr>
        <xdr:cNvCxnSpPr/>
      </xdr:nvCxnSpPr>
      <xdr:spPr>
        <a:xfrm>
          <a:off x="10551583" y="225562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2420" name="Straight Arrow Connector 2419">
          <a:extLst>
            <a:ext uri="{FF2B5EF4-FFF2-40B4-BE49-F238E27FC236}">
              <a16:creationId xmlns:a16="http://schemas.microsoft.com/office/drawing/2014/main" id="{00000000-0008-0000-1200-000074090000}"/>
            </a:ext>
          </a:extLst>
        </xdr:cNvPr>
        <xdr:cNvCxnSpPr/>
      </xdr:nvCxnSpPr>
      <xdr:spPr>
        <a:xfrm>
          <a:off x="10583333" y="225583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2421" name="Straight Arrow Connector 2420">
          <a:extLst>
            <a:ext uri="{FF2B5EF4-FFF2-40B4-BE49-F238E27FC236}">
              <a16:creationId xmlns:a16="http://schemas.microsoft.com/office/drawing/2014/main" id="{00000000-0008-0000-1200-000075090000}"/>
            </a:ext>
          </a:extLst>
        </xdr:cNvPr>
        <xdr:cNvCxnSpPr/>
      </xdr:nvCxnSpPr>
      <xdr:spPr>
        <a:xfrm>
          <a:off x="10562166" y="228219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2422" name="Straight Arrow Connector 2421">
          <a:extLst>
            <a:ext uri="{FF2B5EF4-FFF2-40B4-BE49-F238E27FC236}">
              <a16:creationId xmlns:a16="http://schemas.microsoft.com/office/drawing/2014/main" id="{00000000-0008-0000-1200-000076090000}"/>
            </a:ext>
          </a:extLst>
        </xdr:cNvPr>
        <xdr:cNvCxnSpPr/>
      </xdr:nvCxnSpPr>
      <xdr:spPr>
        <a:xfrm>
          <a:off x="10615083" y="228240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2423" name="Straight Arrow Connector 2422">
          <a:extLst>
            <a:ext uri="{FF2B5EF4-FFF2-40B4-BE49-F238E27FC236}">
              <a16:creationId xmlns:a16="http://schemas.microsoft.com/office/drawing/2014/main" id="{00000000-0008-0000-1200-000077090000}"/>
            </a:ext>
          </a:extLst>
        </xdr:cNvPr>
        <xdr:cNvCxnSpPr/>
      </xdr:nvCxnSpPr>
      <xdr:spPr>
        <a:xfrm>
          <a:off x="10572750" y="228271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2424" name="Straight Arrow Connector 2423">
          <a:extLst>
            <a:ext uri="{FF2B5EF4-FFF2-40B4-BE49-F238E27FC236}">
              <a16:creationId xmlns:a16="http://schemas.microsoft.com/office/drawing/2014/main" id="{00000000-0008-0000-1200-000078090000}"/>
            </a:ext>
          </a:extLst>
        </xdr:cNvPr>
        <xdr:cNvCxnSpPr/>
      </xdr:nvCxnSpPr>
      <xdr:spPr>
        <a:xfrm flipV="1">
          <a:off x="10562166" y="231002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2425" name="Straight Arrow Connector 2424">
          <a:extLst>
            <a:ext uri="{FF2B5EF4-FFF2-40B4-BE49-F238E27FC236}">
              <a16:creationId xmlns:a16="http://schemas.microsoft.com/office/drawing/2014/main" id="{00000000-0008-0000-1200-000079090000}"/>
            </a:ext>
          </a:extLst>
        </xdr:cNvPr>
        <xdr:cNvCxnSpPr/>
      </xdr:nvCxnSpPr>
      <xdr:spPr>
        <a:xfrm flipV="1">
          <a:off x="10604500" y="231362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2426" name="Straight Arrow Connector 2425">
          <a:extLst>
            <a:ext uri="{FF2B5EF4-FFF2-40B4-BE49-F238E27FC236}">
              <a16:creationId xmlns:a16="http://schemas.microsoft.com/office/drawing/2014/main" id="{00000000-0008-0000-1200-00007A090000}"/>
            </a:ext>
          </a:extLst>
        </xdr:cNvPr>
        <xdr:cNvCxnSpPr/>
      </xdr:nvCxnSpPr>
      <xdr:spPr>
        <a:xfrm>
          <a:off x="10593916" y="231764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2427" name="Straight Arrow Connector 2426">
          <a:extLst>
            <a:ext uri="{FF2B5EF4-FFF2-40B4-BE49-F238E27FC236}">
              <a16:creationId xmlns:a16="http://schemas.microsoft.com/office/drawing/2014/main" id="{00000000-0008-0000-1200-00007B090000}"/>
            </a:ext>
          </a:extLst>
        </xdr:cNvPr>
        <xdr:cNvCxnSpPr/>
      </xdr:nvCxnSpPr>
      <xdr:spPr>
        <a:xfrm>
          <a:off x="10572750" y="233859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2428" name="Straight Arrow Connector 2427">
          <a:extLst>
            <a:ext uri="{FF2B5EF4-FFF2-40B4-BE49-F238E27FC236}">
              <a16:creationId xmlns:a16="http://schemas.microsoft.com/office/drawing/2014/main" id="{00000000-0008-0000-1200-00007C090000}"/>
            </a:ext>
          </a:extLst>
        </xdr:cNvPr>
        <xdr:cNvCxnSpPr/>
      </xdr:nvCxnSpPr>
      <xdr:spPr>
        <a:xfrm flipV="1">
          <a:off x="10583333" y="227700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2429" name="Straight Arrow Connector 2428">
          <a:extLst>
            <a:ext uri="{FF2B5EF4-FFF2-40B4-BE49-F238E27FC236}">
              <a16:creationId xmlns:a16="http://schemas.microsoft.com/office/drawing/2014/main" id="{00000000-0008-0000-1200-00007D090000}"/>
            </a:ext>
          </a:extLst>
        </xdr:cNvPr>
        <xdr:cNvCxnSpPr/>
      </xdr:nvCxnSpPr>
      <xdr:spPr>
        <a:xfrm>
          <a:off x="7598834" y="234357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2430" name="Straight Arrow Connector 2429">
          <a:extLst>
            <a:ext uri="{FF2B5EF4-FFF2-40B4-BE49-F238E27FC236}">
              <a16:creationId xmlns:a16="http://schemas.microsoft.com/office/drawing/2014/main" id="{00000000-0008-0000-1200-00007E090000}"/>
            </a:ext>
          </a:extLst>
        </xdr:cNvPr>
        <xdr:cNvCxnSpPr/>
      </xdr:nvCxnSpPr>
      <xdr:spPr>
        <a:xfrm flipV="1">
          <a:off x="8794750" y="232431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2431" name="Straight Arrow Connector 2430">
          <a:extLst>
            <a:ext uri="{FF2B5EF4-FFF2-40B4-BE49-F238E27FC236}">
              <a16:creationId xmlns:a16="http://schemas.microsoft.com/office/drawing/2014/main" id="{00000000-0008-0000-1200-00007F090000}"/>
            </a:ext>
          </a:extLst>
        </xdr:cNvPr>
        <xdr:cNvCxnSpPr/>
      </xdr:nvCxnSpPr>
      <xdr:spPr>
        <a:xfrm>
          <a:off x="8784166" y="233383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2432" name="Straight Arrow Connector 2431">
          <a:extLst>
            <a:ext uri="{FF2B5EF4-FFF2-40B4-BE49-F238E27FC236}">
              <a16:creationId xmlns:a16="http://schemas.microsoft.com/office/drawing/2014/main" id="{00000000-0008-0000-1200-000080090000}"/>
            </a:ext>
          </a:extLst>
        </xdr:cNvPr>
        <xdr:cNvCxnSpPr/>
      </xdr:nvCxnSpPr>
      <xdr:spPr>
        <a:xfrm flipV="1">
          <a:off x="8794750" y="236431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2433" name="Straight Arrow Connector 2432">
          <a:extLst>
            <a:ext uri="{FF2B5EF4-FFF2-40B4-BE49-F238E27FC236}">
              <a16:creationId xmlns:a16="http://schemas.microsoft.com/office/drawing/2014/main" id="{00000000-0008-0000-1200-000081090000}"/>
            </a:ext>
          </a:extLst>
        </xdr:cNvPr>
        <xdr:cNvCxnSpPr/>
      </xdr:nvCxnSpPr>
      <xdr:spPr>
        <a:xfrm>
          <a:off x="8805333" y="237363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2434" name="Straight Arrow Connector 2433">
          <a:extLst>
            <a:ext uri="{FF2B5EF4-FFF2-40B4-BE49-F238E27FC236}">
              <a16:creationId xmlns:a16="http://schemas.microsoft.com/office/drawing/2014/main" id="{00000000-0008-0000-1200-000082090000}"/>
            </a:ext>
          </a:extLst>
        </xdr:cNvPr>
        <xdr:cNvCxnSpPr/>
      </xdr:nvCxnSpPr>
      <xdr:spPr>
        <a:xfrm>
          <a:off x="10593916" y="231743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1661</xdr:row>
      <xdr:rowOff>52916</xdr:rowOff>
    </xdr:from>
    <xdr:to>
      <xdr:col>16</xdr:col>
      <xdr:colOff>0</xdr:colOff>
      <xdr:row>1663</xdr:row>
      <xdr:rowOff>0</xdr:rowOff>
    </xdr:to>
    <xdr:cxnSp macro="">
      <xdr:nvCxnSpPr>
        <xdr:cNvPr id="2435" name="Straight Arrow Connector 2434">
          <a:extLst>
            <a:ext uri="{FF2B5EF4-FFF2-40B4-BE49-F238E27FC236}">
              <a16:creationId xmlns:a16="http://schemas.microsoft.com/office/drawing/2014/main" id="{00000000-0008-0000-1200-000083090000}"/>
            </a:ext>
          </a:extLst>
        </xdr:cNvPr>
        <xdr:cNvCxnSpPr/>
      </xdr:nvCxnSpPr>
      <xdr:spPr>
        <a:xfrm flipV="1">
          <a:off x="10541000" y="233415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2436" name="Straight Arrow Connector 2435">
          <a:extLst>
            <a:ext uri="{FF2B5EF4-FFF2-40B4-BE49-F238E27FC236}">
              <a16:creationId xmlns:a16="http://schemas.microsoft.com/office/drawing/2014/main" id="{00000000-0008-0000-1200-000084090000}"/>
            </a:ext>
          </a:extLst>
        </xdr:cNvPr>
        <xdr:cNvCxnSpPr/>
      </xdr:nvCxnSpPr>
      <xdr:spPr>
        <a:xfrm>
          <a:off x="10530417" y="233764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2437" name="Straight Arrow Connector 2436">
          <a:extLst>
            <a:ext uri="{FF2B5EF4-FFF2-40B4-BE49-F238E27FC236}">
              <a16:creationId xmlns:a16="http://schemas.microsoft.com/office/drawing/2014/main" id="{00000000-0008-0000-1200-000085090000}"/>
            </a:ext>
          </a:extLst>
        </xdr:cNvPr>
        <xdr:cNvCxnSpPr/>
      </xdr:nvCxnSpPr>
      <xdr:spPr>
        <a:xfrm>
          <a:off x="10530417" y="233743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2438" name="Straight Arrow Connector 2437">
          <a:extLst>
            <a:ext uri="{FF2B5EF4-FFF2-40B4-BE49-F238E27FC236}">
              <a16:creationId xmlns:a16="http://schemas.microsoft.com/office/drawing/2014/main" id="{00000000-0008-0000-1200-000086090000}"/>
            </a:ext>
          </a:extLst>
        </xdr:cNvPr>
        <xdr:cNvCxnSpPr/>
      </xdr:nvCxnSpPr>
      <xdr:spPr>
        <a:xfrm flipV="1">
          <a:off x="10530417" y="236029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2439" name="Straight Arrow Connector 2438">
          <a:extLst>
            <a:ext uri="{FF2B5EF4-FFF2-40B4-BE49-F238E27FC236}">
              <a16:creationId xmlns:a16="http://schemas.microsoft.com/office/drawing/2014/main" id="{00000000-0008-0000-1200-000087090000}"/>
            </a:ext>
          </a:extLst>
        </xdr:cNvPr>
        <xdr:cNvCxnSpPr/>
      </xdr:nvCxnSpPr>
      <xdr:spPr>
        <a:xfrm>
          <a:off x="10572750" y="236421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2440" name="Straight Arrow Connector 2439">
          <a:extLst>
            <a:ext uri="{FF2B5EF4-FFF2-40B4-BE49-F238E27FC236}">
              <a16:creationId xmlns:a16="http://schemas.microsoft.com/office/drawing/2014/main" id="{00000000-0008-0000-1200-000088090000}"/>
            </a:ext>
          </a:extLst>
        </xdr:cNvPr>
        <xdr:cNvCxnSpPr/>
      </xdr:nvCxnSpPr>
      <xdr:spPr>
        <a:xfrm>
          <a:off x="10551583" y="236421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2441" name="Straight Arrow Connector 2440">
          <a:extLst>
            <a:ext uri="{FF2B5EF4-FFF2-40B4-BE49-F238E27FC236}">
              <a16:creationId xmlns:a16="http://schemas.microsoft.com/office/drawing/2014/main" id="{00000000-0008-0000-1200-000089090000}"/>
            </a:ext>
          </a:extLst>
        </xdr:cNvPr>
        <xdr:cNvCxnSpPr/>
      </xdr:nvCxnSpPr>
      <xdr:spPr>
        <a:xfrm>
          <a:off x="10583333" y="236442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2442" name="Straight Arrow Connector 2441">
          <a:extLst>
            <a:ext uri="{FF2B5EF4-FFF2-40B4-BE49-F238E27FC236}">
              <a16:creationId xmlns:a16="http://schemas.microsoft.com/office/drawing/2014/main" id="{00000000-0008-0000-1200-00008A090000}"/>
            </a:ext>
          </a:extLst>
        </xdr:cNvPr>
        <xdr:cNvCxnSpPr/>
      </xdr:nvCxnSpPr>
      <xdr:spPr>
        <a:xfrm>
          <a:off x="10562166" y="239077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2443" name="Straight Arrow Connector 2442">
          <a:extLst>
            <a:ext uri="{FF2B5EF4-FFF2-40B4-BE49-F238E27FC236}">
              <a16:creationId xmlns:a16="http://schemas.microsoft.com/office/drawing/2014/main" id="{00000000-0008-0000-1200-00008B090000}"/>
            </a:ext>
          </a:extLst>
        </xdr:cNvPr>
        <xdr:cNvCxnSpPr/>
      </xdr:nvCxnSpPr>
      <xdr:spPr>
        <a:xfrm>
          <a:off x="10615083" y="239098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2444" name="Straight Arrow Connector 2443">
          <a:extLst>
            <a:ext uri="{FF2B5EF4-FFF2-40B4-BE49-F238E27FC236}">
              <a16:creationId xmlns:a16="http://schemas.microsoft.com/office/drawing/2014/main" id="{00000000-0008-0000-1200-00008C090000}"/>
            </a:ext>
          </a:extLst>
        </xdr:cNvPr>
        <xdr:cNvCxnSpPr/>
      </xdr:nvCxnSpPr>
      <xdr:spPr>
        <a:xfrm>
          <a:off x="10572750" y="239130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2445" name="Straight Arrow Connector 2444">
          <a:extLst>
            <a:ext uri="{FF2B5EF4-FFF2-40B4-BE49-F238E27FC236}">
              <a16:creationId xmlns:a16="http://schemas.microsoft.com/office/drawing/2014/main" id="{00000000-0008-0000-1200-00008D090000}"/>
            </a:ext>
          </a:extLst>
        </xdr:cNvPr>
        <xdr:cNvCxnSpPr/>
      </xdr:nvCxnSpPr>
      <xdr:spPr>
        <a:xfrm flipV="1">
          <a:off x="10583333" y="238558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2446" name="Straight Arrow Connector 2445">
          <a:extLst>
            <a:ext uri="{FF2B5EF4-FFF2-40B4-BE49-F238E27FC236}">
              <a16:creationId xmlns:a16="http://schemas.microsoft.com/office/drawing/2014/main" id="{00000000-0008-0000-1200-00008E090000}"/>
            </a:ext>
          </a:extLst>
        </xdr:cNvPr>
        <xdr:cNvCxnSpPr/>
      </xdr:nvCxnSpPr>
      <xdr:spPr>
        <a:xfrm>
          <a:off x="5080000" y="247173750"/>
          <a:ext cx="7196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2447" name="Straight Arrow Connector 2446">
          <a:extLst>
            <a:ext uri="{FF2B5EF4-FFF2-40B4-BE49-F238E27FC236}">
              <a16:creationId xmlns:a16="http://schemas.microsoft.com/office/drawing/2014/main" id="{00000000-0008-0000-1200-00008F090000}"/>
            </a:ext>
          </a:extLst>
        </xdr:cNvPr>
        <xdr:cNvCxnSpPr/>
      </xdr:nvCxnSpPr>
      <xdr:spPr>
        <a:xfrm flipV="1">
          <a:off x="6381750" y="24150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2448" name="Straight Arrow Connector 2447">
          <a:extLst>
            <a:ext uri="{FF2B5EF4-FFF2-40B4-BE49-F238E27FC236}">
              <a16:creationId xmlns:a16="http://schemas.microsoft.com/office/drawing/2014/main" id="{00000000-0008-0000-1200-000090090000}"/>
            </a:ext>
          </a:extLst>
        </xdr:cNvPr>
        <xdr:cNvCxnSpPr/>
      </xdr:nvCxnSpPr>
      <xdr:spPr>
        <a:xfrm>
          <a:off x="6413500" y="24307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2449" name="Straight Arrow Connector 2448">
          <a:extLst>
            <a:ext uri="{FF2B5EF4-FFF2-40B4-BE49-F238E27FC236}">
              <a16:creationId xmlns:a16="http://schemas.microsoft.com/office/drawing/2014/main" id="{00000000-0008-0000-1200-000091090000}"/>
            </a:ext>
          </a:extLst>
        </xdr:cNvPr>
        <xdr:cNvCxnSpPr/>
      </xdr:nvCxnSpPr>
      <xdr:spPr>
        <a:xfrm flipV="1">
          <a:off x="7609417" y="24419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2450" name="Straight Arrow Connector 2449">
          <a:extLst>
            <a:ext uri="{FF2B5EF4-FFF2-40B4-BE49-F238E27FC236}">
              <a16:creationId xmlns:a16="http://schemas.microsoft.com/office/drawing/2014/main" id="{00000000-0008-0000-1200-000092090000}"/>
            </a:ext>
          </a:extLst>
        </xdr:cNvPr>
        <xdr:cNvCxnSpPr/>
      </xdr:nvCxnSpPr>
      <xdr:spPr>
        <a:xfrm>
          <a:off x="7598834" y="24521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2451" name="Straight Arrow Connector 2450">
          <a:extLst>
            <a:ext uri="{FF2B5EF4-FFF2-40B4-BE49-F238E27FC236}">
              <a16:creationId xmlns:a16="http://schemas.microsoft.com/office/drawing/2014/main" id="{00000000-0008-0000-1200-000093090000}"/>
            </a:ext>
          </a:extLst>
        </xdr:cNvPr>
        <xdr:cNvCxnSpPr/>
      </xdr:nvCxnSpPr>
      <xdr:spPr>
        <a:xfrm flipV="1">
          <a:off x="8794750" y="2432896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2452" name="Straight Arrow Connector 2451">
          <a:extLst>
            <a:ext uri="{FF2B5EF4-FFF2-40B4-BE49-F238E27FC236}">
              <a16:creationId xmlns:a16="http://schemas.microsoft.com/office/drawing/2014/main" id="{00000000-0008-0000-1200-000094090000}"/>
            </a:ext>
          </a:extLst>
        </xdr:cNvPr>
        <xdr:cNvCxnSpPr/>
      </xdr:nvCxnSpPr>
      <xdr:spPr>
        <a:xfrm>
          <a:off x="8784166" y="2442421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2453" name="Straight Arrow Connector 2452">
          <a:extLst>
            <a:ext uri="{FF2B5EF4-FFF2-40B4-BE49-F238E27FC236}">
              <a16:creationId xmlns:a16="http://schemas.microsoft.com/office/drawing/2014/main" id="{00000000-0008-0000-1200-000095090000}"/>
            </a:ext>
          </a:extLst>
        </xdr:cNvPr>
        <xdr:cNvCxnSpPr/>
      </xdr:nvCxnSpPr>
      <xdr:spPr>
        <a:xfrm flipV="1">
          <a:off x="8794750" y="24729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2454" name="Straight Arrow Connector 2453">
          <a:extLst>
            <a:ext uri="{FF2B5EF4-FFF2-40B4-BE49-F238E27FC236}">
              <a16:creationId xmlns:a16="http://schemas.microsoft.com/office/drawing/2014/main" id="{00000000-0008-0000-1200-000096090000}"/>
            </a:ext>
          </a:extLst>
        </xdr:cNvPr>
        <xdr:cNvCxnSpPr/>
      </xdr:nvCxnSpPr>
      <xdr:spPr>
        <a:xfrm>
          <a:off x="8805333" y="2482215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1704</xdr:row>
      <xdr:rowOff>0</xdr:rowOff>
    </xdr:from>
    <xdr:to>
      <xdr:col>15</xdr:col>
      <xdr:colOff>603250</xdr:colOff>
      <xdr:row>1709</xdr:row>
      <xdr:rowOff>31750</xdr:rowOff>
    </xdr:to>
    <xdr:cxnSp macro="">
      <xdr:nvCxnSpPr>
        <xdr:cNvPr id="2455" name="Straight Arrow Connector 2454">
          <a:extLst>
            <a:ext uri="{FF2B5EF4-FFF2-40B4-BE49-F238E27FC236}">
              <a16:creationId xmlns:a16="http://schemas.microsoft.com/office/drawing/2014/main" id="{00000000-0008-0000-1200-000097090000}"/>
            </a:ext>
          </a:extLst>
        </xdr:cNvPr>
        <xdr:cNvCxnSpPr/>
      </xdr:nvCxnSpPr>
      <xdr:spPr>
        <a:xfrm flipV="1">
          <a:off x="10541000" y="24174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2456" name="Straight Arrow Connector 2455">
          <a:extLst>
            <a:ext uri="{FF2B5EF4-FFF2-40B4-BE49-F238E27FC236}">
              <a16:creationId xmlns:a16="http://schemas.microsoft.com/office/drawing/2014/main" id="{00000000-0008-0000-1200-000098090000}"/>
            </a:ext>
          </a:extLst>
        </xdr:cNvPr>
        <xdr:cNvCxnSpPr/>
      </xdr:nvCxnSpPr>
      <xdr:spPr>
        <a:xfrm flipV="1">
          <a:off x="10583333" y="24236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2457" name="Straight Arrow Connector 2456">
          <a:extLst>
            <a:ext uri="{FF2B5EF4-FFF2-40B4-BE49-F238E27FC236}">
              <a16:creationId xmlns:a16="http://schemas.microsoft.com/office/drawing/2014/main" id="{00000000-0008-0000-1200-000099090000}"/>
            </a:ext>
          </a:extLst>
        </xdr:cNvPr>
        <xdr:cNvCxnSpPr/>
      </xdr:nvCxnSpPr>
      <xdr:spPr>
        <a:xfrm>
          <a:off x="10604500" y="24285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2458" name="Straight Arrow Connector 2457">
          <a:extLst>
            <a:ext uri="{FF2B5EF4-FFF2-40B4-BE49-F238E27FC236}">
              <a16:creationId xmlns:a16="http://schemas.microsoft.com/office/drawing/2014/main" id="{00000000-0008-0000-1200-00009A090000}"/>
            </a:ext>
          </a:extLst>
        </xdr:cNvPr>
        <xdr:cNvCxnSpPr/>
      </xdr:nvCxnSpPr>
      <xdr:spPr>
        <a:xfrm>
          <a:off x="10519834" y="242802834"/>
          <a:ext cx="624416"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1717</xdr:row>
      <xdr:rowOff>52916</xdr:rowOff>
    </xdr:from>
    <xdr:to>
      <xdr:col>16</xdr:col>
      <xdr:colOff>0</xdr:colOff>
      <xdr:row>1719</xdr:row>
      <xdr:rowOff>0</xdr:rowOff>
    </xdr:to>
    <xdr:cxnSp macro="">
      <xdr:nvCxnSpPr>
        <xdr:cNvPr id="2459" name="Straight Arrow Connector 2458">
          <a:extLst>
            <a:ext uri="{FF2B5EF4-FFF2-40B4-BE49-F238E27FC236}">
              <a16:creationId xmlns:a16="http://schemas.microsoft.com/office/drawing/2014/main" id="{00000000-0008-0000-1200-00009B090000}"/>
            </a:ext>
          </a:extLst>
        </xdr:cNvPr>
        <xdr:cNvCxnSpPr/>
      </xdr:nvCxnSpPr>
      <xdr:spPr>
        <a:xfrm flipV="1">
          <a:off x="10541000" y="2442739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2460" name="Straight Arrow Connector 2459">
          <a:extLst>
            <a:ext uri="{FF2B5EF4-FFF2-40B4-BE49-F238E27FC236}">
              <a16:creationId xmlns:a16="http://schemas.microsoft.com/office/drawing/2014/main" id="{00000000-0008-0000-1200-00009C090000}"/>
            </a:ext>
          </a:extLst>
        </xdr:cNvPr>
        <xdr:cNvCxnSpPr/>
      </xdr:nvCxnSpPr>
      <xdr:spPr>
        <a:xfrm>
          <a:off x="10551583" y="24462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2461" name="Straight Arrow Connector 2460">
          <a:extLst>
            <a:ext uri="{FF2B5EF4-FFF2-40B4-BE49-F238E27FC236}">
              <a16:creationId xmlns:a16="http://schemas.microsoft.com/office/drawing/2014/main" id="{00000000-0008-0000-1200-00009D090000}"/>
            </a:ext>
          </a:extLst>
        </xdr:cNvPr>
        <xdr:cNvCxnSpPr/>
      </xdr:nvCxnSpPr>
      <xdr:spPr>
        <a:xfrm>
          <a:off x="10530417" y="244623167"/>
          <a:ext cx="656166"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2462" name="Straight Arrow Connector 2461">
          <a:extLst>
            <a:ext uri="{FF2B5EF4-FFF2-40B4-BE49-F238E27FC236}">
              <a16:creationId xmlns:a16="http://schemas.microsoft.com/office/drawing/2014/main" id="{00000000-0008-0000-1200-00009E090000}"/>
            </a:ext>
          </a:extLst>
        </xdr:cNvPr>
        <xdr:cNvCxnSpPr/>
      </xdr:nvCxnSpPr>
      <xdr:spPr>
        <a:xfrm>
          <a:off x="10541000" y="244633750"/>
          <a:ext cx="645584"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2463" name="Straight Arrow Connector 2462">
          <a:extLst>
            <a:ext uri="{FF2B5EF4-FFF2-40B4-BE49-F238E27FC236}">
              <a16:creationId xmlns:a16="http://schemas.microsoft.com/office/drawing/2014/main" id="{00000000-0008-0000-1200-00009F090000}"/>
            </a:ext>
          </a:extLst>
        </xdr:cNvPr>
        <xdr:cNvCxnSpPr/>
      </xdr:nvCxnSpPr>
      <xdr:spPr>
        <a:xfrm flipV="1">
          <a:off x="6392333" y="25188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2464" name="Straight Arrow Connector 2463">
          <a:extLst>
            <a:ext uri="{FF2B5EF4-FFF2-40B4-BE49-F238E27FC236}">
              <a16:creationId xmlns:a16="http://schemas.microsoft.com/office/drawing/2014/main" id="{00000000-0008-0000-1200-0000A0090000}"/>
            </a:ext>
          </a:extLst>
        </xdr:cNvPr>
        <xdr:cNvCxnSpPr/>
      </xdr:nvCxnSpPr>
      <xdr:spPr>
        <a:xfrm>
          <a:off x="6413500" y="25391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2465" name="Straight Arrow Connector 2464">
          <a:extLst>
            <a:ext uri="{FF2B5EF4-FFF2-40B4-BE49-F238E27FC236}">
              <a16:creationId xmlns:a16="http://schemas.microsoft.com/office/drawing/2014/main" id="{00000000-0008-0000-1200-0000A1090000}"/>
            </a:ext>
          </a:extLst>
        </xdr:cNvPr>
        <xdr:cNvCxnSpPr/>
      </xdr:nvCxnSpPr>
      <xdr:spPr>
        <a:xfrm flipV="1">
          <a:off x="7556500" y="255047750"/>
          <a:ext cx="603250"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2466" name="Straight Arrow Connector 2465">
          <a:extLst>
            <a:ext uri="{FF2B5EF4-FFF2-40B4-BE49-F238E27FC236}">
              <a16:creationId xmlns:a16="http://schemas.microsoft.com/office/drawing/2014/main" id="{00000000-0008-0000-1200-0000A2090000}"/>
            </a:ext>
          </a:extLst>
        </xdr:cNvPr>
        <xdr:cNvCxnSpPr/>
      </xdr:nvCxnSpPr>
      <xdr:spPr>
        <a:xfrm flipV="1">
          <a:off x="10530417" y="24688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2467" name="Straight Arrow Connector 2466">
          <a:extLst>
            <a:ext uri="{FF2B5EF4-FFF2-40B4-BE49-F238E27FC236}">
              <a16:creationId xmlns:a16="http://schemas.microsoft.com/office/drawing/2014/main" id="{00000000-0008-0000-1200-0000A3090000}"/>
            </a:ext>
          </a:extLst>
        </xdr:cNvPr>
        <xdr:cNvCxnSpPr/>
      </xdr:nvCxnSpPr>
      <xdr:spPr>
        <a:xfrm>
          <a:off x="10572750" y="24727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2468" name="Straight Arrow Connector 2467">
          <a:extLst>
            <a:ext uri="{FF2B5EF4-FFF2-40B4-BE49-F238E27FC236}">
              <a16:creationId xmlns:a16="http://schemas.microsoft.com/office/drawing/2014/main" id="{00000000-0008-0000-1200-0000A4090000}"/>
            </a:ext>
          </a:extLst>
        </xdr:cNvPr>
        <xdr:cNvCxnSpPr/>
      </xdr:nvCxnSpPr>
      <xdr:spPr>
        <a:xfrm>
          <a:off x="10551583" y="24727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2469" name="Straight Arrow Connector 2468">
          <a:extLst>
            <a:ext uri="{FF2B5EF4-FFF2-40B4-BE49-F238E27FC236}">
              <a16:creationId xmlns:a16="http://schemas.microsoft.com/office/drawing/2014/main" id="{00000000-0008-0000-1200-0000A5090000}"/>
            </a:ext>
          </a:extLst>
        </xdr:cNvPr>
        <xdr:cNvCxnSpPr/>
      </xdr:nvCxnSpPr>
      <xdr:spPr>
        <a:xfrm>
          <a:off x="10583333" y="2473007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2470" name="Straight Arrow Connector 2469">
          <a:extLst>
            <a:ext uri="{FF2B5EF4-FFF2-40B4-BE49-F238E27FC236}">
              <a16:creationId xmlns:a16="http://schemas.microsoft.com/office/drawing/2014/main" id="{00000000-0008-0000-1200-0000A6090000}"/>
            </a:ext>
          </a:extLst>
        </xdr:cNvPr>
        <xdr:cNvCxnSpPr/>
      </xdr:nvCxnSpPr>
      <xdr:spPr>
        <a:xfrm>
          <a:off x="10562166" y="2499360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2471" name="Straight Arrow Connector 2470">
          <a:extLst>
            <a:ext uri="{FF2B5EF4-FFF2-40B4-BE49-F238E27FC236}">
              <a16:creationId xmlns:a16="http://schemas.microsoft.com/office/drawing/2014/main" id="{00000000-0008-0000-1200-0000A7090000}"/>
            </a:ext>
          </a:extLst>
        </xdr:cNvPr>
        <xdr:cNvCxnSpPr/>
      </xdr:nvCxnSpPr>
      <xdr:spPr>
        <a:xfrm>
          <a:off x="10615083" y="24995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2472" name="Straight Arrow Connector 2471">
          <a:extLst>
            <a:ext uri="{FF2B5EF4-FFF2-40B4-BE49-F238E27FC236}">
              <a16:creationId xmlns:a16="http://schemas.microsoft.com/office/drawing/2014/main" id="{00000000-0008-0000-1200-0000A8090000}"/>
            </a:ext>
          </a:extLst>
        </xdr:cNvPr>
        <xdr:cNvCxnSpPr/>
      </xdr:nvCxnSpPr>
      <xdr:spPr>
        <a:xfrm>
          <a:off x="10572750" y="24998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2473" name="Straight Arrow Connector 2472">
          <a:extLst>
            <a:ext uri="{FF2B5EF4-FFF2-40B4-BE49-F238E27FC236}">
              <a16:creationId xmlns:a16="http://schemas.microsoft.com/office/drawing/2014/main" id="{00000000-0008-0000-1200-0000A9090000}"/>
            </a:ext>
          </a:extLst>
        </xdr:cNvPr>
        <xdr:cNvCxnSpPr/>
      </xdr:nvCxnSpPr>
      <xdr:spPr>
        <a:xfrm flipV="1">
          <a:off x="10562166" y="25271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2474" name="Straight Arrow Connector 2473">
          <a:extLst>
            <a:ext uri="{FF2B5EF4-FFF2-40B4-BE49-F238E27FC236}">
              <a16:creationId xmlns:a16="http://schemas.microsoft.com/office/drawing/2014/main" id="{00000000-0008-0000-1200-0000AA090000}"/>
            </a:ext>
          </a:extLst>
        </xdr:cNvPr>
        <xdr:cNvCxnSpPr/>
      </xdr:nvCxnSpPr>
      <xdr:spPr>
        <a:xfrm flipV="1">
          <a:off x="10604500" y="25307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2475" name="Straight Arrow Connector 2474">
          <a:extLst>
            <a:ext uri="{FF2B5EF4-FFF2-40B4-BE49-F238E27FC236}">
              <a16:creationId xmlns:a16="http://schemas.microsoft.com/office/drawing/2014/main" id="{00000000-0008-0000-1200-0000AB090000}"/>
            </a:ext>
          </a:extLst>
        </xdr:cNvPr>
        <xdr:cNvCxnSpPr/>
      </xdr:nvCxnSpPr>
      <xdr:spPr>
        <a:xfrm>
          <a:off x="10593916" y="25348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2476" name="Straight Arrow Connector 2475">
          <a:extLst>
            <a:ext uri="{FF2B5EF4-FFF2-40B4-BE49-F238E27FC236}">
              <a16:creationId xmlns:a16="http://schemas.microsoft.com/office/drawing/2014/main" id="{00000000-0008-0000-1200-0000AC090000}"/>
            </a:ext>
          </a:extLst>
        </xdr:cNvPr>
        <xdr:cNvCxnSpPr/>
      </xdr:nvCxnSpPr>
      <xdr:spPr>
        <a:xfrm>
          <a:off x="10572750" y="255576916"/>
          <a:ext cx="571500"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2477" name="Straight Arrow Connector 2476">
          <a:extLst>
            <a:ext uri="{FF2B5EF4-FFF2-40B4-BE49-F238E27FC236}">
              <a16:creationId xmlns:a16="http://schemas.microsoft.com/office/drawing/2014/main" id="{00000000-0008-0000-1200-0000AD090000}"/>
            </a:ext>
          </a:extLst>
        </xdr:cNvPr>
        <xdr:cNvCxnSpPr/>
      </xdr:nvCxnSpPr>
      <xdr:spPr>
        <a:xfrm flipV="1">
          <a:off x="10583333" y="24941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2478" name="Straight Arrow Connector 2477">
          <a:extLst>
            <a:ext uri="{FF2B5EF4-FFF2-40B4-BE49-F238E27FC236}">
              <a16:creationId xmlns:a16="http://schemas.microsoft.com/office/drawing/2014/main" id="{00000000-0008-0000-1200-0000AE090000}"/>
            </a:ext>
          </a:extLst>
        </xdr:cNvPr>
        <xdr:cNvCxnSpPr/>
      </xdr:nvCxnSpPr>
      <xdr:spPr>
        <a:xfrm>
          <a:off x="7598834" y="25607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2479" name="Straight Arrow Connector 2478">
          <a:extLst>
            <a:ext uri="{FF2B5EF4-FFF2-40B4-BE49-F238E27FC236}">
              <a16:creationId xmlns:a16="http://schemas.microsoft.com/office/drawing/2014/main" id="{00000000-0008-0000-1200-0000AF090000}"/>
            </a:ext>
          </a:extLst>
        </xdr:cNvPr>
        <xdr:cNvCxnSpPr/>
      </xdr:nvCxnSpPr>
      <xdr:spPr>
        <a:xfrm flipV="1">
          <a:off x="8794750" y="254148167"/>
          <a:ext cx="592667"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2480" name="Straight Arrow Connector 2479">
          <a:extLst>
            <a:ext uri="{FF2B5EF4-FFF2-40B4-BE49-F238E27FC236}">
              <a16:creationId xmlns:a16="http://schemas.microsoft.com/office/drawing/2014/main" id="{00000000-0008-0000-1200-0000B0090000}"/>
            </a:ext>
          </a:extLst>
        </xdr:cNvPr>
        <xdr:cNvCxnSpPr/>
      </xdr:nvCxnSpPr>
      <xdr:spPr>
        <a:xfrm>
          <a:off x="8784166" y="255100666"/>
          <a:ext cx="60325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2481" name="Straight Arrow Connector 2480">
          <a:extLst>
            <a:ext uri="{FF2B5EF4-FFF2-40B4-BE49-F238E27FC236}">
              <a16:creationId xmlns:a16="http://schemas.microsoft.com/office/drawing/2014/main" id="{00000000-0008-0000-1200-0000B1090000}"/>
            </a:ext>
          </a:extLst>
        </xdr:cNvPr>
        <xdr:cNvCxnSpPr/>
      </xdr:nvCxnSpPr>
      <xdr:spPr>
        <a:xfrm flipV="1">
          <a:off x="8794750" y="25814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2482" name="Straight Arrow Connector 2481">
          <a:extLst>
            <a:ext uri="{FF2B5EF4-FFF2-40B4-BE49-F238E27FC236}">
              <a16:creationId xmlns:a16="http://schemas.microsoft.com/office/drawing/2014/main" id="{00000000-0008-0000-1200-0000B2090000}"/>
            </a:ext>
          </a:extLst>
        </xdr:cNvPr>
        <xdr:cNvCxnSpPr/>
      </xdr:nvCxnSpPr>
      <xdr:spPr>
        <a:xfrm>
          <a:off x="8805333" y="259080000"/>
          <a:ext cx="603251"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2483" name="Straight Arrow Connector 2482">
          <a:extLst>
            <a:ext uri="{FF2B5EF4-FFF2-40B4-BE49-F238E27FC236}">
              <a16:creationId xmlns:a16="http://schemas.microsoft.com/office/drawing/2014/main" id="{00000000-0008-0000-1200-0000B3090000}"/>
            </a:ext>
          </a:extLst>
        </xdr:cNvPr>
        <xdr:cNvCxnSpPr/>
      </xdr:nvCxnSpPr>
      <xdr:spPr>
        <a:xfrm>
          <a:off x="10593916" y="25346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1773</xdr:row>
      <xdr:rowOff>52916</xdr:rowOff>
    </xdr:from>
    <xdr:to>
      <xdr:col>16</xdr:col>
      <xdr:colOff>0</xdr:colOff>
      <xdr:row>1775</xdr:row>
      <xdr:rowOff>0</xdr:rowOff>
    </xdr:to>
    <xdr:cxnSp macro="">
      <xdr:nvCxnSpPr>
        <xdr:cNvPr id="2484" name="Straight Arrow Connector 2483">
          <a:extLst>
            <a:ext uri="{FF2B5EF4-FFF2-40B4-BE49-F238E27FC236}">
              <a16:creationId xmlns:a16="http://schemas.microsoft.com/office/drawing/2014/main" id="{00000000-0008-0000-1200-0000B4090000}"/>
            </a:ext>
          </a:extLst>
        </xdr:cNvPr>
        <xdr:cNvCxnSpPr/>
      </xdr:nvCxnSpPr>
      <xdr:spPr>
        <a:xfrm flipV="1">
          <a:off x="10541000" y="255132416"/>
          <a:ext cx="603250"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2485" name="Straight Arrow Connector 2484">
          <a:extLst>
            <a:ext uri="{FF2B5EF4-FFF2-40B4-BE49-F238E27FC236}">
              <a16:creationId xmlns:a16="http://schemas.microsoft.com/office/drawing/2014/main" id="{00000000-0008-0000-1200-0000B5090000}"/>
            </a:ext>
          </a:extLst>
        </xdr:cNvPr>
        <xdr:cNvCxnSpPr/>
      </xdr:nvCxnSpPr>
      <xdr:spPr>
        <a:xfrm>
          <a:off x="10530417" y="25548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2486" name="Straight Arrow Connector 2485">
          <a:extLst>
            <a:ext uri="{FF2B5EF4-FFF2-40B4-BE49-F238E27FC236}">
              <a16:creationId xmlns:a16="http://schemas.microsoft.com/office/drawing/2014/main" id="{00000000-0008-0000-1200-0000B6090000}"/>
            </a:ext>
          </a:extLst>
        </xdr:cNvPr>
        <xdr:cNvCxnSpPr/>
      </xdr:nvCxnSpPr>
      <xdr:spPr>
        <a:xfrm>
          <a:off x="10530417" y="255460500"/>
          <a:ext cx="613833"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2487" name="Straight Arrow Connector 2486">
          <a:extLst>
            <a:ext uri="{FF2B5EF4-FFF2-40B4-BE49-F238E27FC236}">
              <a16:creationId xmlns:a16="http://schemas.microsoft.com/office/drawing/2014/main" id="{00000000-0008-0000-1200-0000B7090000}"/>
            </a:ext>
          </a:extLst>
        </xdr:cNvPr>
        <xdr:cNvCxnSpPr/>
      </xdr:nvCxnSpPr>
      <xdr:spPr>
        <a:xfrm flipV="1">
          <a:off x="10530417" y="257746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2488" name="Straight Arrow Connector 2487">
          <a:extLst>
            <a:ext uri="{FF2B5EF4-FFF2-40B4-BE49-F238E27FC236}">
              <a16:creationId xmlns:a16="http://schemas.microsoft.com/office/drawing/2014/main" id="{00000000-0008-0000-1200-0000B8090000}"/>
            </a:ext>
          </a:extLst>
        </xdr:cNvPr>
        <xdr:cNvCxnSpPr/>
      </xdr:nvCxnSpPr>
      <xdr:spPr>
        <a:xfrm>
          <a:off x="10572750" y="258138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2489" name="Straight Arrow Connector 2488">
          <a:extLst>
            <a:ext uri="{FF2B5EF4-FFF2-40B4-BE49-F238E27FC236}">
              <a16:creationId xmlns:a16="http://schemas.microsoft.com/office/drawing/2014/main" id="{00000000-0008-0000-1200-0000B9090000}"/>
            </a:ext>
          </a:extLst>
        </xdr:cNvPr>
        <xdr:cNvCxnSpPr/>
      </xdr:nvCxnSpPr>
      <xdr:spPr>
        <a:xfrm>
          <a:off x="10551583" y="25813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2490" name="Straight Arrow Connector 2489">
          <a:extLst>
            <a:ext uri="{FF2B5EF4-FFF2-40B4-BE49-F238E27FC236}">
              <a16:creationId xmlns:a16="http://schemas.microsoft.com/office/drawing/2014/main" id="{00000000-0008-0000-1200-0000BA090000}"/>
            </a:ext>
          </a:extLst>
        </xdr:cNvPr>
        <xdr:cNvCxnSpPr/>
      </xdr:nvCxnSpPr>
      <xdr:spPr>
        <a:xfrm>
          <a:off x="10583333" y="258159250"/>
          <a:ext cx="582084"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2491" name="Straight Arrow Connector 2490">
          <a:extLst>
            <a:ext uri="{FF2B5EF4-FFF2-40B4-BE49-F238E27FC236}">
              <a16:creationId xmlns:a16="http://schemas.microsoft.com/office/drawing/2014/main" id="{00000000-0008-0000-1200-0000BB090000}"/>
            </a:ext>
          </a:extLst>
        </xdr:cNvPr>
        <xdr:cNvCxnSpPr/>
      </xdr:nvCxnSpPr>
      <xdr:spPr>
        <a:xfrm>
          <a:off x="10562166" y="260794500"/>
          <a:ext cx="582084"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2492" name="Straight Arrow Connector 2491">
          <a:extLst>
            <a:ext uri="{FF2B5EF4-FFF2-40B4-BE49-F238E27FC236}">
              <a16:creationId xmlns:a16="http://schemas.microsoft.com/office/drawing/2014/main" id="{00000000-0008-0000-1200-0000BC090000}"/>
            </a:ext>
          </a:extLst>
        </xdr:cNvPr>
        <xdr:cNvCxnSpPr/>
      </xdr:nvCxnSpPr>
      <xdr:spPr>
        <a:xfrm>
          <a:off x="10615083" y="26081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2493" name="Straight Arrow Connector 2492">
          <a:extLst>
            <a:ext uri="{FF2B5EF4-FFF2-40B4-BE49-F238E27FC236}">
              <a16:creationId xmlns:a16="http://schemas.microsoft.com/office/drawing/2014/main" id="{00000000-0008-0000-1200-0000BD090000}"/>
            </a:ext>
          </a:extLst>
        </xdr:cNvPr>
        <xdr:cNvCxnSpPr/>
      </xdr:nvCxnSpPr>
      <xdr:spPr>
        <a:xfrm>
          <a:off x="10572750" y="26084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2494" name="Straight Arrow Connector 2493">
          <a:extLst>
            <a:ext uri="{FF2B5EF4-FFF2-40B4-BE49-F238E27FC236}">
              <a16:creationId xmlns:a16="http://schemas.microsoft.com/office/drawing/2014/main" id="{00000000-0008-0000-1200-0000BE090000}"/>
            </a:ext>
          </a:extLst>
        </xdr:cNvPr>
        <xdr:cNvCxnSpPr/>
      </xdr:nvCxnSpPr>
      <xdr:spPr>
        <a:xfrm flipV="1">
          <a:off x="10583333" y="26027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2495" name="Straight Arrow Connector 2494">
          <a:extLst>
            <a:ext uri="{FF2B5EF4-FFF2-40B4-BE49-F238E27FC236}">
              <a16:creationId xmlns:a16="http://schemas.microsoft.com/office/drawing/2014/main" id="{00000000-0008-0000-1200-0000BF090000}"/>
            </a:ext>
          </a:extLst>
        </xdr:cNvPr>
        <xdr:cNvCxnSpPr/>
      </xdr:nvCxnSpPr>
      <xdr:spPr>
        <a:xfrm flipV="1">
          <a:off x="5207000" y="243014500"/>
          <a:ext cx="635000"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194</xdr:row>
      <xdr:rowOff>116416</xdr:rowOff>
    </xdr:from>
    <xdr:to>
      <xdr:col>16</xdr:col>
      <xdr:colOff>0</xdr:colOff>
      <xdr:row>201</xdr:row>
      <xdr:rowOff>74084</xdr:rowOff>
    </xdr:to>
    <xdr:cxnSp macro="">
      <xdr:nvCxnSpPr>
        <xdr:cNvPr id="2523" name="Straight Arrow Connector 2522">
          <a:extLst>
            <a:ext uri="{FF2B5EF4-FFF2-40B4-BE49-F238E27FC236}">
              <a16:creationId xmlns:a16="http://schemas.microsoft.com/office/drawing/2014/main" id="{00000000-0008-0000-1200-0000DB090000}"/>
            </a:ext>
          </a:extLst>
        </xdr:cNvPr>
        <xdr:cNvCxnSpPr/>
      </xdr:nvCxnSpPr>
      <xdr:spPr>
        <a:xfrm>
          <a:off x="11313583" y="15546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207</xdr:row>
      <xdr:rowOff>31750</xdr:rowOff>
    </xdr:from>
    <xdr:to>
      <xdr:col>16</xdr:col>
      <xdr:colOff>21167</xdr:colOff>
      <xdr:row>214</xdr:row>
      <xdr:rowOff>95250</xdr:rowOff>
    </xdr:to>
    <xdr:cxnSp macro="">
      <xdr:nvCxnSpPr>
        <xdr:cNvPr id="2537" name="Straight Arrow Connector 2536">
          <a:extLst>
            <a:ext uri="{FF2B5EF4-FFF2-40B4-BE49-F238E27FC236}">
              <a16:creationId xmlns:a16="http://schemas.microsoft.com/office/drawing/2014/main" id="{00000000-0008-0000-1200-0000E9090000}"/>
            </a:ext>
          </a:extLst>
        </xdr:cNvPr>
        <xdr:cNvCxnSpPr/>
      </xdr:nvCxnSpPr>
      <xdr:spPr>
        <a:xfrm>
          <a:off x="11324166" y="18129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333</xdr:row>
      <xdr:rowOff>21167</xdr:rowOff>
    </xdr:from>
    <xdr:to>
      <xdr:col>15</xdr:col>
      <xdr:colOff>592666</xdr:colOff>
      <xdr:row>334</xdr:row>
      <xdr:rowOff>84667</xdr:rowOff>
    </xdr:to>
    <xdr:cxnSp macro="">
      <xdr:nvCxnSpPr>
        <xdr:cNvPr id="2548" name="Straight Arrow Connector 2547">
          <a:extLst>
            <a:ext uri="{FF2B5EF4-FFF2-40B4-BE49-F238E27FC236}">
              <a16:creationId xmlns:a16="http://schemas.microsoft.com/office/drawing/2014/main" id="{00000000-0008-0000-1200-0000F4090000}"/>
            </a:ext>
          </a:extLst>
        </xdr:cNvPr>
        <xdr:cNvCxnSpPr/>
      </xdr:nvCxnSpPr>
      <xdr:spPr>
        <a:xfrm>
          <a:off x="11271250"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418</xdr:row>
      <xdr:rowOff>116416</xdr:rowOff>
    </xdr:from>
    <xdr:to>
      <xdr:col>16</xdr:col>
      <xdr:colOff>0</xdr:colOff>
      <xdr:row>425</xdr:row>
      <xdr:rowOff>74084</xdr:rowOff>
    </xdr:to>
    <xdr:cxnSp macro="">
      <xdr:nvCxnSpPr>
        <xdr:cNvPr id="2580" name="Straight Arrow Connector 2579">
          <a:extLst>
            <a:ext uri="{FF2B5EF4-FFF2-40B4-BE49-F238E27FC236}">
              <a16:creationId xmlns:a16="http://schemas.microsoft.com/office/drawing/2014/main" id="{00000000-0008-0000-1200-0000140A0000}"/>
            </a:ext>
          </a:extLst>
        </xdr:cNvPr>
        <xdr:cNvCxnSpPr/>
      </xdr:nvCxnSpPr>
      <xdr:spPr>
        <a:xfrm>
          <a:off x="11313583" y="58980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418</xdr:row>
      <xdr:rowOff>0</xdr:rowOff>
    </xdr:from>
    <xdr:to>
      <xdr:col>16</xdr:col>
      <xdr:colOff>0</xdr:colOff>
      <xdr:row>422</xdr:row>
      <xdr:rowOff>42334</xdr:rowOff>
    </xdr:to>
    <xdr:cxnSp macro="">
      <xdr:nvCxnSpPr>
        <xdr:cNvPr id="2590" name="Straight Arrow Connector 2589">
          <a:extLst>
            <a:ext uri="{FF2B5EF4-FFF2-40B4-BE49-F238E27FC236}">
              <a16:creationId xmlns:a16="http://schemas.microsoft.com/office/drawing/2014/main" id="{00000000-0008-0000-1200-00001E0A0000}"/>
            </a:ext>
          </a:extLst>
        </xdr:cNvPr>
        <xdr:cNvCxnSpPr/>
      </xdr:nvCxnSpPr>
      <xdr:spPr>
        <a:xfrm>
          <a:off x="11271250" y="58864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459</xdr:row>
      <xdr:rowOff>10584</xdr:rowOff>
    </xdr:from>
    <xdr:to>
      <xdr:col>1</xdr:col>
      <xdr:colOff>603250</xdr:colOff>
      <xdr:row>552</xdr:row>
      <xdr:rowOff>158750</xdr:rowOff>
    </xdr:to>
    <xdr:cxnSp macro="">
      <xdr:nvCxnSpPr>
        <xdr:cNvPr id="2610" name="Straight Arrow Connector 2609">
          <a:extLst>
            <a:ext uri="{FF2B5EF4-FFF2-40B4-BE49-F238E27FC236}">
              <a16:creationId xmlns:a16="http://schemas.microsoft.com/office/drawing/2014/main" id="{00000000-0008-0000-1200-0000320A0000}"/>
            </a:ext>
          </a:extLst>
        </xdr:cNvPr>
        <xdr:cNvCxnSpPr/>
      </xdr:nvCxnSpPr>
      <xdr:spPr>
        <a:xfrm flipV="1">
          <a:off x="603250" y="963084"/>
          <a:ext cx="613833"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555</xdr:row>
      <xdr:rowOff>169333</xdr:rowOff>
    </xdr:from>
    <xdr:to>
      <xdr:col>1</xdr:col>
      <xdr:colOff>603250</xdr:colOff>
      <xdr:row>597</xdr:row>
      <xdr:rowOff>148167</xdr:rowOff>
    </xdr:to>
    <xdr:cxnSp macro="">
      <xdr:nvCxnSpPr>
        <xdr:cNvPr id="2611" name="Straight Arrow Connector 2610">
          <a:extLst>
            <a:ext uri="{FF2B5EF4-FFF2-40B4-BE49-F238E27FC236}">
              <a16:creationId xmlns:a16="http://schemas.microsoft.com/office/drawing/2014/main" id="{00000000-0008-0000-1200-0000330A0000}"/>
            </a:ext>
          </a:extLst>
        </xdr:cNvPr>
        <xdr:cNvCxnSpPr/>
      </xdr:nvCxnSpPr>
      <xdr:spPr>
        <a:xfrm>
          <a:off x="603250" y="19790833"/>
          <a:ext cx="613833"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531</xdr:row>
      <xdr:rowOff>158750</xdr:rowOff>
    </xdr:from>
    <xdr:to>
      <xdr:col>3</xdr:col>
      <xdr:colOff>603250</xdr:colOff>
      <xdr:row>598</xdr:row>
      <xdr:rowOff>10583</xdr:rowOff>
    </xdr:to>
    <xdr:cxnSp macro="">
      <xdr:nvCxnSpPr>
        <xdr:cNvPr id="2612" name="Straight Arrow Connector 2611">
          <a:extLst>
            <a:ext uri="{FF2B5EF4-FFF2-40B4-BE49-F238E27FC236}">
              <a16:creationId xmlns:a16="http://schemas.microsoft.com/office/drawing/2014/main" id="{00000000-0008-0000-1200-0000340A0000}"/>
            </a:ext>
          </a:extLst>
        </xdr:cNvPr>
        <xdr:cNvCxnSpPr/>
      </xdr:nvCxnSpPr>
      <xdr:spPr>
        <a:xfrm flipV="1">
          <a:off x="2381251"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600</xdr:row>
      <xdr:rowOff>10583</xdr:rowOff>
    </xdr:from>
    <xdr:to>
      <xdr:col>4</xdr:col>
      <xdr:colOff>63500</xdr:colOff>
      <xdr:row>751</xdr:row>
      <xdr:rowOff>158750</xdr:rowOff>
    </xdr:to>
    <xdr:cxnSp macro="">
      <xdr:nvCxnSpPr>
        <xdr:cNvPr id="2613" name="Straight Arrow Connector 2612">
          <a:extLst>
            <a:ext uri="{FF2B5EF4-FFF2-40B4-BE49-F238E27FC236}">
              <a16:creationId xmlns:a16="http://schemas.microsoft.com/office/drawing/2014/main" id="{00000000-0008-0000-1200-0000350A0000}"/>
            </a:ext>
          </a:extLst>
        </xdr:cNvPr>
        <xdr:cNvCxnSpPr/>
      </xdr:nvCxnSpPr>
      <xdr:spPr>
        <a:xfrm>
          <a:off x="2391834" y="28395083"/>
          <a:ext cx="656166"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494</xdr:row>
      <xdr:rowOff>1</xdr:rowOff>
    </xdr:from>
    <xdr:to>
      <xdr:col>6</xdr:col>
      <xdr:colOff>0</xdr:colOff>
      <xdr:row>528</xdr:row>
      <xdr:rowOff>116417</xdr:rowOff>
    </xdr:to>
    <xdr:cxnSp macro="">
      <xdr:nvCxnSpPr>
        <xdr:cNvPr id="2614" name="Straight Arrow Connector 2613">
          <a:extLst>
            <a:ext uri="{FF2B5EF4-FFF2-40B4-BE49-F238E27FC236}">
              <a16:creationId xmlns:a16="http://schemas.microsoft.com/office/drawing/2014/main" id="{00000000-0008-0000-1200-0000360A0000}"/>
            </a:ext>
          </a:extLst>
        </xdr:cNvPr>
        <xdr:cNvCxnSpPr/>
      </xdr:nvCxnSpPr>
      <xdr:spPr>
        <a:xfrm flipV="1">
          <a:off x="3810000" y="78105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531</xdr:row>
      <xdr:rowOff>169334</xdr:rowOff>
    </xdr:from>
    <xdr:to>
      <xdr:col>5</xdr:col>
      <xdr:colOff>571500</xdr:colOff>
      <xdr:row>600</xdr:row>
      <xdr:rowOff>0</xdr:rowOff>
    </xdr:to>
    <xdr:cxnSp macro="">
      <xdr:nvCxnSpPr>
        <xdr:cNvPr id="2615" name="Straight Arrow Connector 2614">
          <a:extLst>
            <a:ext uri="{FF2B5EF4-FFF2-40B4-BE49-F238E27FC236}">
              <a16:creationId xmlns:a16="http://schemas.microsoft.com/office/drawing/2014/main" id="{00000000-0008-0000-1200-0000370A0000}"/>
            </a:ext>
          </a:extLst>
        </xdr:cNvPr>
        <xdr:cNvCxnSpPr/>
      </xdr:nvCxnSpPr>
      <xdr:spPr>
        <a:xfrm>
          <a:off x="389466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494</xdr:row>
      <xdr:rowOff>10584</xdr:rowOff>
    </xdr:from>
    <xdr:to>
      <xdr:col>8</xdr:col>
      <xdr:colOff>21167</xdr:colOff>
      <xdr:row>522</xdr:row>
      <xdr:rowOff>148166</xdr:rowOff>
    </xdr:to>
    <xdr:cxnSp macro="">
      <xdr:nvCxnSpPr>
        <xdr:cNvPr id="2617" name="Straight Arrow Connector 2616">
          <a:extLst>
            <a:ext uri="{FF2B5EF4-FFF2-40B4-BE49-F238E27FC236}">
              <a16:creationId xmlns:a16="http://schemas.microsoft.com/office/drawing/2014/main" id="{00000000-0008-0000-1200-0000390A0000}"/>
            </a:ext>
          </a:extLst>
        </xdr:cNvPr>
        <xdr:cNvCxnSpPr/>
      </xdr:nvCxnSpPr>
      <xdr:spPr>
        <a:xfrm>
          <a:off x="5461000" y="78210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481</xdr:row>
      <xdr:rowOff>42333</xdr:rowOff>
    </xdr:from>
    <xdr:to>
      <xdr:col>11</xdr:col>
      <xdr:colOff>603250</xdr:colOff>
      <xdr:row>493</xdr:row>
      <xdr:rowOff>10583</xdr:rowOff>
    </xdr:to>
    <xdr:cxnSp macro="">
      <xdr:nvCxnSpPr>
        <xdr:cNvPr id="2621" name="Straight Arrow Connector 2620">
          <a:extLst>
            <a:ext uri="{FF2B5EF4-FFF2-40B4-BE49-F238E27FC236}">
              <a16:creationId xmlns:a16="http://schemas.microsoft.com/office/drawing/2014/main" id="{00000000-0008-0000-1200-00003D0A0000}"/>
            </a:ext>
          </a:extLst>
        </xdr:cNvPr>
        <xdr:cNvCxnSpPr/>
      </xdr:nvCxnSpPr>
      <xdr:spPr>
        <a:xfrm>
          <a:off x="7926917"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491</xdr:row>
      <xdr:rowOff>21167</xdr:rowOff>
    </xdr:from>
    <xdr:to>
      <xdr:col>13</xdr:col>
      <xdr:colOff>592667</xdr:colOff>
      <xdr:row>493</xdr:row>
      <xdr:rowOff>63500</xdr:rowOff>
    </xdr:to>
    <xdr:cxnSp macro="">
      <xdr:nvCxnSpPr>
        <xdr:cNvPr id="2624" name="Straight Arrow Connector 2623">
          <a:extLst>
            <a:ext uri="{FF2B5EF4-FFF2-40B4-BE49-F238E27FC236}">
              <a16:creationId xmlns:a16="http://schemas.microsoft.com/office/drawing/2014/main" id="{00000000-0008-0000-1200-0000400A0000}"/>
            </a:ext>
          </a:extLst>
        </xdr:cNvPr>
        <xdr:cNvCxnSpPr/>
      </xdr:nvCxnSpPr>
      <xdr:spPr>
        <a:xfrm flipV="1">
          <a:off x="952500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496</xdr:row>
      <xdr:rowOff>0</xdr:rowOff>
    </xdr:from>
    <xdr:to>
      <xdr:col>14</xdr:col>
      <xdr:colOff>10584</xdr:colOff>
      <xdr:row>504</xdr:row>
      <xdr:rowOff>148167</xdr:rowOff>
    </xdr:to>
    <xdr:cxnSp macro="">
      <xdr:nvCxnSpPr>
        <xdr:cNvPr id="2625" name="Straight Arrow Connector 2624">
          <a:extLst>
            <a:ext uri="{FF2B5EF4-FFF2-40B4-BE49-F238E27FC236}">
              <a16:creationId xmlns:a16="http://schemas.microsoft.com/office/drawing/2014/main" id="{00000000-0008-0000-1200-0000410A0000}"/>
            </a:ext>
          </a:extLst>
        </xdr:cNvPr>
        <xdr:cNvCxnSpPr/>
      </xdr:nvCxnSpPr>
      <xdr:spPr>
        <a:xfrm>
          <a:off x="9535583" y="8191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515</xdr:row>
      <xdr:rowOff>42333</xdr:rowOff>
    </xdr:from>
    <xdr:to>
      <xdr:col>9</xdr:col>
      <xdr:colOff>592666</xdr:colOff>
      <xdr:row>523</xdr:row>
      <xdr:rowOff>42333</xdr:rowOff>
    </xdr:to>
    <xdr:cxnSp macro="">
      <xdr:nvCxnSpPr>
        <xdr:cNvPr id="2634" name="Straight Arrow Connector 2633">
          <a:extLst>
            <a:ext uri="{FF2B5EF4-FFF2-40B4-BE49-F238E27FC236}">
              <a16:creationId xmlns:a16="http://schemas.microsoft.com/office/drawing/2014/main" id="{00000000-0008-0000-1200-00004A0A0000}"/>
            </a:ext>
          </a:extLst>
        </xdr:cNvPr>
        <xdr:cNvCxnSpPr/>
      </xdr:nvCxnSpPr>
      <xdr:spPr>
        <a:xfrm flipV="1">
          <a:off x="6699250"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525</xdr:row>
      <xdr:rowOff>169334</xdr:rowOff>
    </xdr:from>
    <xdr:to>
      <xdr:col>9</xdr:col>
      <xdr:colOff>603250</xdr:colOff>
      <xdr:row>534</xdr:row>
      <xdr:rowOff>31750</xdr:rowOff>
    </xdr:to>
    <xdr:cxnSp macro="">
      <xdr:nvCxnSpPr>
        <xdr:cNvPr id="2635" name="Straight Arrow Connector 2634">
          <a:extLst>
            <a:ext uri="{FF2B5EF4-FFF2-40B4-BE49-F238E27FC236}">
              <a16:creationId xmlns:a16="http://schemas.microsoft.com/office/drawing/2014/main" id="{00000000-0008-0000-1200-00004B0A0000}"/>
            </a:ext>
          </a:extLst>
        </xdr:cNvPr>
        <xdr:cNvCxnSpPr/>
      </xdr:nvCxnSpPr>
      <xdr:spPr>
        <a:xfrm>
          <a:off x="6720417"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489</xdr:row>
      <xdr:rowOff>0</xdr:rowOff>
    </xdr:from>
    <xdr:to>
      <xdr:col>15</xdr:col>
      <xdr:colOff>603250</xdr:colOff>
      <xdr:row>491</xdr:row>
      <xdr:rowOff>1</xdr:rowOff>
    </xdr:to>
    <xdr:cxnSp macro="">
      <xdr:nvCxnSpPr>
        <xdr:cNvPr id="2637" name="Straight Arrow Connector 2636">
          <a:extLst>
            <a:ext uri="{FF2B5EF4-FFF2-40B4-BE49-F238E27FC236}">
              <a16:creationId xmlns:a16="http://schemas.microsoft.com/office/drawing/2014/main" id="{00000000-0008-0000-1200-00004D0A0000}"/>
            </a:ext>
          </a:extLst>
        </xdr:cNvPr>
        <xdr:cNvCxnSpPr/>
      </xdr:nvCxnSpPr>
      <xdr:spPr>
        <a:xfrm flipV="1">
          <a:off x="11271250"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491</xdr:row>
      <xdr:rowOff>10584</xdr:rowOff>
    </xdr:from>
    <xdr:to>
      <xdr:col>15</xdr:col>
      <xdr:colOff>592666</xdr:colOff>
      <xdr:row>492</xdr:row>
      <xdr:rowOff>95250</xdr:rowOff>
    </xdr:to>
    <xdr:cxnSp macro="">
      <xdr:nvCxnSpPr>
        <xdr:cNvPr id="2638" name="Straight Arrow Connector 2637">
          <a:extLst>
            <a:ext uri="{FF2B5EF4-FFF2-40B4-BE49-F238E27FC236}">
              <a16:creationId xmlns:a16="http://schemas.microsoft.com/office/drawing/2014/main" id="{00000000-0008-0000-1200-00004E0A0000}"/>
            </a:ext>
          </a:extLst>
        </xdr:cNvPr>
        <xdr:cNvCxnSpPr/>
      </xdr:nvCxnSpPr>
      <xdr:spPr>
        <a:xfrm>
          <a:off x="11313583"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491</xdr:row>
      <xdr:rowOff>10584</xdr:rowOff>
    </xdr:from>
    <xdr:to>
      <xdr:col>15</xdr:col>
      <xdr:colOff>560916</xdr:colOff>
      <xdr:row>495</xdr:row>
      <xdr:rowOff>52917</xdr:rowOff>
    </xdr:to>
    <xdr:cxnSp macro="">
      <xdr:nvCxnSpPr>
        <xdr:cNvPr id="2639" name="Straight Arrow Connector 2638">
          <a:extLst>
            <a:ext uri="{FF2B5EF4-FFF2-40B4-BE49-F238E27FC236}">
              <a16:creationId xmlns:a16="http://schemas.microsoft.com/office/drawing/2014/main" id="{00000000-0008-0000-1200-00004F0A0000}"/>
            </a:ext>
          </a:extLst>
        </xdr:cNvPr>
        <xdr:cNvCxnSpPr/>
      </xdr:nvCxnSpPr>
      <xdr:spPr>
        <a:xfrm>
          <a:off x="11292416"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491</xdr:row>
      <xdr:rowOff>31750</xdr:rowOff>
    </xdr:from>
    <xdr:to>
      <xdr:col>16</xdr:col>
      <xdr:colOff>21167</xdr:colOff>
      <xdr:row>498</xdr:row>
      <xdr:rowOff>95250</xdr:rowOff>
    </xdr:to>
    <xdr:cxnSp macro="">
      <xdr:nvCxnSpPr>
        <xdr:cNvPr id="2640" name="Straight Arrow Connector 2639">
          <a:extLst>
            <a:ext uri="{FF2B5EF4-FFF2-40B4-BE49-F238E27FC236}">
              <a16:creationId xmlns:a16="http://schemas.microsoft.com/office/drawing/2014/main" id="{00000000-0008-0000-1200-0000500A0000}"/>
            </a:ext>
          </a:extLst>
        </xdr:cNvPr>
        <xdr:cNvCxnSpPr/>
      </xdr:nvCxnSpPr>
      <xdr:spPr>
        <a:xfrm>
          <a:off x="11324166" y="727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505</xdr:row>
      <xdr:rowOff>0</xdr:rowOff>
    </xdr:from>
    <xdr:to>
      <xdr:col>16</xdr:col>
      <xdr:colOff>0</xdr:colOff>
      <xdr:row>505</xdr:row>
      <xdr:rowOff>42334</xdr:rowOff>
    </xdr:to>
    <xdr:cxnSp macro="">
      <xdr:nvCxnSpPr>
        <xdr:cNvPr id="2641" name="Straight Arrow Connector 2640">
          <a:extLst>
            <a:ext uri="{FF2B5EF4-FFF2-40B4-BE49-F238E27FC236}">
              <a16:creationId xmlns:a16="http://schemas.microsoft.com/office/drawing/2014/main" id="{00000000-0008-0000-1200-0000510A0000}"/>
            </a:ext>
          </a:extLst>
        </xdr:cNvPr>
        <xdr:cNvCxnSpPr/>
      </xdr:nvCxnSpPr>
      <xdr:spPr>
        <a:xfrm>
          <a:off x="11302999" y="9906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505</xdr:row>
      <xdr:rowOff>21166</xdr:rowOff>
    </xdr:from>
    <xdr:to>
      <xdr:col>15</xdr:col>
      <xdr:colOff>560916</xdr:colOff>
      <xdr:row>508</xdr:row>
      <xdr:rowOff>84667</xdr:rowOff>
    </xdr:to>
    <xdr:cxnSp macro="">
      <xdr:nvCxnSpPr>
        <xdr:cNvPr id="2642" name="Straight Arrow Connector 2641">
          <a:extLst>
            <a:ext uri="{FF2B5EF4-FFF2-40B4-BE49-F238E27FC236}">
              <a16:creationId xmlns:a16="http://schemas.microsoft.com/office/drawing/2014/main" id="{00000000-0008-0000-1200-0000520A0000}"/>
            </a:ext>
          </a:extLst>
        </xdr:cNvPr>
        <xdr:cNvCxnSpPr/>
      </xdr:nvCxnSpPr>
      <xdr:spPr>
        <a:xfrm>
          <a:off x="11355916"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505</xdr:row>
      <xdr:rowOff>52916</xdr:rowOff>
    </xdr:from>
    <xdr:to>
      <xdr:col>15</xdr:col>
      <xdr:colOff>592666</xdr:colOff>
      <xdr:row>511</xdr:row>
      <xdr:rowOff>63501</xdr:rowOff>
    </xdr:to>
    <xdr:cxnSp macro="">
      <xdr:nvCxnSpPr>
        <xdr:cNvPr id="2643" name="Straight Arrow Connector 2642">
          <a:extLst>
            <a:ext uri="{FF2B5EF4-FFF2-40B4-BE49-F238E27FC236}">
              <a16:creationId xmlns:a16="http://schemas.microsoft.com/office/drawing/2014/main" id="{00000000-0008-0000-1200-0000530A0000}"/>
            </a:ext>
          </a:extLst>
        </xdr:cNvPr>
        <xdr:cNvCxnSpPr/>
      </xdr:nvCxnSpPr>
      <xdr:spPr>
        <a:xfrm>
          <a:off x="11313583"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534</xdr:row>
      <xdr:rowOff>116416</xdr:rowOff>
    </xdr:from>
    <xdr:to>
      <xdr:col>16</xdr:col>
      <xdr:colOff>0</xdr:colOff>
      <xdr:row>541</xdr:row>
      <xdr:rowOff>74084</xdr:rowOff>
    </xdr:to>
    <xdr:cxnSp macro="">
      <xdr:nvCxnSpPr>
        <xdr:cNvPr id="2647" name="Straight Arrow Connector 2646">
          <a:extLst>
            <a:ext uri="{FF2B5EF4-FFF2-40B4-BE49-F238E27FC236}">
              <a16:creationId xmlns:a16="http://schemas.microsoft.com/office/drawing/2014/main" id="{00000000-0008-0000-1200-0000570A0000}"/>
            </a:ext>
          </a:extLst>
        </xdr:cNvPr>
        <xdr:cNvCxnSpPr/>
      </xdr:nvCxnSpPr>
      <xdr:spPr>
        <a:xfrm>
          <a:off x="11313583" y="15546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502</xdr:row>
      <xdr:rowOff>52917</xdr:rowOff>
    </xdr:from>
    <xdr:to>
      <xdr:col>15</xdr:col>
      <xdr:colOff>603250</xdr:colOff>
      <xdr:row>504</xdr:row>
      <xdr:rowOff>148167</xdr:rowOff>
    </xdr:to>
    <xdr:cxnSp macro="">
      <xdr:nvCxnSpPr>
        <xdr:cNvPr id="2648" name="Straight Arrow Connector 2647">
          <a:extLst>
            <a:ext uri="{FF2B5EF4-FFF2-40B4-BE49-F238E27FC236}">
              <a16:creationId xmlns:a16="http://schemas.microsoft.com/office/drawing/2014/main" id="{00000000-0008-0000-1200-0000580A0000}"/>
            </a:ext>
          </a:extLst>
        </xdr:cNvPr>
        <xdr:cNvCxnSpPr/>
      </xdr:nvCxnSpPr>
      <xdr:spPr>
        <a:xfrm flipV="1">
          <a:off x="11324166"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547</xdr:row>
      <xdr:rowOff>31750</xdr:rowOff>
    </xdr:from>
    <xdr:to>
      <xdr:col>16</xdr:col>
      <xdr:colOff>21167</xdr:colOff>
      <xdr:row>554</xdr:row>
      <xdr:rowOff>95250</xdr:rowOff>
    </xdr:to>
    <xdr:cxnSp macro="">
      <xdr:nvCxnSpPr>
        <xdr:cNvPr id="2661" name="Straight Arrow Connector 2660">
          <a:extLst>
            <a:ext uri="{FF2B5EF4-FFF2-40B4-BE49-F238E27FC236}">
              <a16:creationId xmlns:a16="http://schemas.microsoft.com/office/drawing/2014/main" id="{00000000-0008-0000-1200-0000650A0000}"/>
            </a:ext>
          </a:extLst>
        </xdr:cNvPr>
        <xdr:cNvCxnSpPr/>
      </xdr:nvCxnSpPr>
      <xdr:spPr>
        <a:xfrm>
          <a:off x="11324166" y="18129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602</xdr:row>
      <xdr:rowOff>95250</xdr:rowOff>
    </xdr:from>
    <xdr:to>
      <xdr:col>8</xdr:col>
      <xdr:colOff>21167</xdr:colOff>
      <xdr:row>634</xdr:row>
      <xdr:rowOff>148166</xdr:rowOff>
    </xdr:to>
    <xdr:cxnSp macro="">
      <xdr:nvCxnSpPr>
        <xdr:cNvPr id="2666" name="Straight Arrow Connector 2665">
          <a:extLst>
            <a:ext uri="{FF2B5EF4-FFF2-40B4-BE49-F238E27FC236}">
              <a16:creationId xmlns:a16="http://schemas.microsoft.com/office/drawing/2014/main" id="{00000000-0008-0000-1200-00006A0A0000}"/>
            </a:ext>
          </a:extLst>
        </xdr:cNvPr>
        <xdr:cNvCxnSpPr/>
      </xdr:nvCxnSpPr>
      <xdr:spPr>
        <a:xfrm>
          <a:off x="5185833" y="288607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573</xdr:row>
      <xdr:rowOff>137583</xdr:rowOff>
    </xdr:from>
    <xdr:to>
      <xdr:col>9</xdr:col>
      <xdr:colOff>603250</xdr:colOff>
      <xdr:row>579</xdr:row>
      <xdr:rowOff>21166</xdr:rowOff>
    </xdr:to>
    <xdr:cxnSp macro="">
      <xdr:nvCxnSpPr>
        <xdr:cNvPr id="2667" name="Straight Arrow Connector 2666">
          <a:extLst>
            <a:ext uri="{FF2B5EF4-FFF2-40B4-BE49-F238E27FC236}">
              <a16:creationId xmlns:a16="http://schemas.microsoft.com/office/drawing/2014/main" id="{00000000-0008-0000-1200-00006B0A0000}"/>
            </a:ext>
          </a:extLst>
        </xdr:cNvPr>
        <xdr:cNvCxnSpPr/>
      </xdr:nvCxnSpPr>
      <xdr:spPr>
        <a:xfrm flipV="1">
          <a:off x="6688667"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582</xdr:row>
      <xdr:rowOff>0</xdr:rowOff>
    </xdr:from>
    <xdr:to>
      <xdr:col>9</xdr:col>
      <xdr:colOff>582083</xdr:colOff>
      <xdr:row>590</xdr:row>
      <xdr:rowOff>10583</xdr:rowOff>
    </xdr:to>
    <xdr:cxnSp macro="">
      <xdr:nvCxnSpPr>
        <xdr:cNvPr id="2668" name="Straight Arrow Connector 2667">
          <a:extLst>
            <a:ext uri="{FF2B5EF4-FFF2-40B4-BE49-F238E27FC236}">
              <a16:creationId xmlns:a16="http://schemas.microsoft.com/office/drawing/2014/main" id="{00000000-0008-0000-1200-00006C0A0000}"/>
            </a:ext>
          </a:extLst>
        </xdr:cNvPr>
        <xdr:cNvCxnSpPr/>
      </xdr:nvCxnSpPr>
      <xdr:spPr>
        <a:xfrm>
          <a:off x="6720417"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587</xdr:row>
      <xdr:rowOff>169333</xdr:rowOff>
    </xdr:from>
    <xdr:to>
      <xdr:col>11</xdr:col>
      <xdr:colOff>603250</xdr:colOff>
      <xdr:row>590</xdr:row>
      <xdr:rowOff>21167</xdr:rowOff>
    </xdr:to>
    <xdr:cxnSp macro="">
      <xdr:nvCxnSpPr>
        <xdr:cNvPr id="2669" name="Straight Arrow Connector 2668">
          <a:extLst>
            <a:ext uri="{FF2B5EF4-FFF2-40B4-BE49-F238E27FC236}">
              <a16:creationId xmlns:a16="http://schemas.microsoft.com/office/drawing/2014/main" id="{00000000-0008-0000-1200-00006D0A0000}"/>
            </a:ext>
          </a:extLst>
        </xdr:cNvPr>
        <xdr:cNvCxnSpPr/>
      </xdr:nvCxnSpPr>
      <xdr:spPr>
        <a:xfrm flipV="1">
          <a:off x="7937500"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593</xdr:row>
      <xdr:rowOff>42333</xdr:rowOff>
    </xdr:from>
    <xdr:to>
      <xdr:col>11</xdr:col>
      <xdr:colOff>603250</xdr:colOff>
      <xdr:row>605</xdr:row>
      <xdr:rowOff>10583</xdr:rowOff>
    </xdr:to>
    <xdr:cxnSp macro="">
      <xdr:nvCxnSpPr>
        <xdr:cNvPr id="2670" name="Straight Arrow Connector 2669">
          <a:extLst>
            <a:ext uri="{FF2B5EF4-FFF2-40B4-BE49-F238E27FC236}">
              <a16:creationId xmlns:a16="http://schemas.microsoft.com/office/drawing/2014/main" id="{00000000-0008-0000-1200-00006E0A0000}"/>
            </a:ext>
          </a:extLst>
        </xdr:cNvPr>
        <xdr:cNvCxnSpPr/>
      </xdr:nvCxnSpPr>
      <xdr:spPr>
        <a:xfrm>
          <a:off x="7926917"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583</xdr:row>
      <xdr:rowOff>21167</xdr:rowOff>
    </xdr:from>
    <xdr:to>
      <xdr:col>13</xdr:col>
      <xdr:colOff>592667</xdr:colOff>
      <xdr:row>585</xdr:row>
      <xdr:rowOff>0</xdr:rowOff>
    </xdr:to>
    <xdr:cxnSp macro="">
      <xdr:nvCxnSpPr>
        <xdr:cNvPr id="2671" name="Straight Arrow Connector 2670">
          <a:extLst>
            <a:ext uri="{FF2B5EF4-FFF2-40B4-BE49-F238E27FC236}">
              <a16:creationId xmlns:a16="http://schemas.microsoft.com/office/drawing/2014/main" id="{00000000-0008-0000-1200-00006F0A0000}"/>
            </a:ext>
          </a:extLst>
        </xdr:cNvPr>
        <xdr:cNvCxnSpPr/>
      </xdr:nvCxnSpPr>
      <xdr:spPr>
        <a:xfrm flipV="1">
          <a:off x="9133417" y="24976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588</xdr:row>
      <xdr:rowOff>21166</xdr:rowOff>
    </xdr:from>
    <xdr:to>
      <xdr:col>13</xdr:col>
      <xdr:colOff>592667</xdr:colOff>
      <xdr:row>589</xdr:row>
      <xdr:rowOff>169334</xdr:rowOff>
    </xdr:to>
    <xdr:cxnSp macro="">
      <xdr:nvCxnSpPr>
        <xdr:cNvPr id="2672" name="Straight Arrow Connector 2671">
          <a:extLst>
            <a:ext uri="{FF2B5EF4-FFF2-40B4-BE49-F238E27FC236}">
              <a16:creationId xmlns:a16="http://schemas.microsoft.com/office/drawing/2014/main" id="{00000000-0008-0000-1200-0000700A0000}"/>
            </a:ext>
          </a:extLst>
        </xdr:cNvPr>
        <xdr:cNvCxnSpPr/>
      </xdr:nvCxnSpPr>
      <xdr:spPr>
        <a:xfrm>
          <a:off x="9122833" y="25929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603</xdr:row>
      <xdr:rowOff>21167</xdr:rowOff>
    </xdr:from>
    <xdr:to>
      <xdr:col>13</xdr:col>
      <xdr:colOff>592667</xdr:colOff>
      <xdr:row>605</xdr:row>
      <xdr:rowOff>63500</xdr:rowOff>
    </xdr:to>
    <xdr:cxnSp macro="">
      <xdr:nvCxnSpPr>
        <xdr:cNvPr id="2673" name="Straight Arrow Connector 2672">
          <a:extLst>
            <a:ext uri="{FF2B5EF4-FFF2-40B4-BE49-F238E27FC236}">
              <a16:creationId xmlns:a16="http://schemas.microsoft.com/office/drawing/2014/main" id="{00000000-0008-0000-1200-0000710A0000}"/>
            </a:ext>
          </a:extLst>
        </xdr:cNvPr>
        <xdr:cNvCxnSpPr/>
      </xdr:nvCxnSpPr>
      <xdr:spPr>
        <a:xfrm flipV="1">
          <a:off x="952500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608</xdr:row>
      <xdr:rowOff>0</xdr:rowOff>
    </xdr:from>
    <xdr:to>
      <xdr:col>14</xdr:col>
      <xdr:colOff>10584</xdr:colOff>
      <xdr:row>616</xdr:row>
      <xdr:rowOff>148167</xdr:rowOff>
    </xdr:to>
    <xdr:cxnSp macro="">
      <xdr:nvCxnSpPr>
        <xdr:cNvPr id="2674" name="Straight Arrow Connector 2673">
          <a:extLst>
            <a:ext uri="{FF2B5EF4-FFF2-40B4-BE49-F238E27FC236}">
              <a16:creationId xmlns:a16="http://schemas.microsoft.com/office/drawing/2014/main" id="{00000000-0008-0000-1200-0000720A0000}"/>
            </a:ext>
          </a:extLst>
        </xdr:cNvPr>
        <xdr:cNvCxnSpPr/>
      </xdr:nvCxnSpPr>
      <xdr:spPr>
        <a:xfrm>
          <a:off x="9535583" y="29908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575</xdr:row>
      <xdr:rowOff>0</xdr:rowOff>
    </xdr:from>
    <xdr:to>
      <xdr:col>15</xdr:col>
      <xdr:colOff>603250</xdr:colOff>
      <xdr:row>580</xdr:row>
      <xdr:rowOff>31750</xdr:rowOff>
    </xdr:to>
    <xdr:cxnSp macro="">
      <xdr:nvCxnSpPr>
        <xdr:cNvPr id="2675" name="Straight Arrow Connector 2674">
          <a:extLst>
            <a:ext uri="{FF2B5EF4-FFF2-40B4-BE49-F238E27FC236}">
              <a16:creationId xmlns:a16="http://schemas.microsoft.com/office/drawing/2014/main" id="{00000000-0008-0000-1200-0000730A0000}"/>
            </a:ext>
          </a:extLst>
        </xdr:cNvPr>
        <xdr:cNvCxnSpPr/>
      </xdr:nvCxnSpPr>
      <xdr:spPr>
        <a:xfrm flipV="1">
          <a:off x="11281833"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578</xdr:row>
      <xdr:rowOff>52917</xdr:rowOff>
    </xdr:from>
    <xdr:to>
      <xdr:col>15</xdr:col>
      <xdr:colOff>603250</xdr:colOff>
      <xdr:row>580</xdr:row>
      <xdr:rowOff>95250</xdr:rowOff>
    </xdr:to>
    <xdr:cxnSp macro="">
      <xdr:nvCxnSpPr>
        <xdr:cNvPr id="2676" name="Straight Arrow Connector 2675">
          <a:extLst>
            <a:ext uri="{FF2B5EF4-FFF2-40B4-BE49-F238E27FC236}">
              <a16:creationId xmlns:a16="http://schemas.microsoft.com/office/drawing/2014/main" id="{00000000-0008-0000-1200-0000740A0000}"/>
            </a:ext>
          </a:extLst>
        </xdr:cNvPr>
        <xdr:cNvCxnSpPr/>
      </xdr:nvCxnSpPr>
      <xdr:spPr>
        <a:xfrm flipV="1">
          <a:off x="11324166"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580</xdr:row>
      <xdr:rowOff>158750</xdr:rowOff>
    </xdr:from>
    <xdr:to>
      <xdr:col>15</xdr:col>
      <xdr:colOff>582083</xdr:colOff>
      <xdr:row>581</xdr:row>
      <xdr:rowOff>137583</xdr:rowOff>
    </xdr:to>
    <xdr:cxnSp macro="">
      <xdr:nvCxnSpPr>
        <xdr:cNvPr id="2677" name="Straight Arrow Connector 2676">
          <a:extLst>
            <a:ext uri="{FF2B5EF4-FFF2-40B4-BE49-F238E27FC236}">
              <a16:creationId xmlns:a16="http://schemas.microsoft.com/office/drawing/2014/main" id="{00000000-0008-0000-1200-0000750A0000}"/>
            </a:ext>
          </a:extLst>
        </xdr:cNvPr>
        <xdr:cNvCxnSpPr/>
      </xdr:nvCxnSpPr>
      <xdr:spPr>
        <a:xfrm>
          <a:off x="11345333"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580</xdr:row>
      <xdr:rowOff>105834</xdr:rowOff>
    </xdr:from>
    <xdr:to>
      <xdr:col>16</xdr:col>
      <xdr:colOff>0</xdr:colOff>
      <xdr:row>584</xdr:row>
      <xdr:rowOff>84667</xdr:rowOff>
    </xdr:to>
    <xdr:cxnSp macro="">
      <xdr:nvCxnSpPr>
        <xdr:cNvPr id="2678" name="Straight Arrow Connector 2677">
          <a:extLst>
            <a:ext uri="{FF2B5EF4-FFF2-40B4-BE49-F238E27FC236}">
              <a16:creationId xmlns:a16="http://schemas.microsoft.com/office/drawing/2014/main" id="{00000000-0008-0000-1200-0000760A0000}"/>
            </a:ext>
          </a:extLst>
        </xdr:cNvPr>
        <xdr:cNvCxnSpPr/>
      </xdr:nvCxnSpPr>
      <xdr:spPr>
        <a:xfrm>
          <a:off x="11260667" y="24489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588</xdr:row>
      <xdr:rowOff>52916</xdr:rowOff>
    </xdr:from>
    <xdr:to>
      <xdr:col>16</xdr:col>
      <xdr:colOff>0</xdr:colOff>
      <xdr:row>590</xdr:row>
      <xdr:rowOff>0</xdr:rowOff>
    </xdr:to>
    <xdr:cxnSp macro="">
      <xdr:nvCxnSpPr>
        <xdr:cNvPr id="2679" name="Straight Arrow Connector 2678">
          <a:extLst>
            <a:ext uri="{FF2B5EF4-FFF2-40B4-BE49-F238E27FC236}">
              <a16:creationId xmlns:a16="http://schemas.microsoft.com/office/drawing/2014/main" id="{00000000-0008-0000-1200-0000770A0000}"/>
            </a:ext>
          </a:extLst>
        </xdr:cNvPr>
        <xdr:cNvCxnSpPr/>
      </xdr:nvCxnSpPr>
      <xdr:spPr>
        <a:xfrm flipV="1">
          <a:off x="11281833" y="25960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590</xdr:row>
      <xdr:rowOff>21167</xdr:rowOff>
    </xdr:from>
    <xdr:to>
      <xdr:col>15</xdr:col>
      <xdr:colOff>582083</xdr:colOff>
      <xdr:row>591</xdr:row>
      <xdr:rowOff>42333</xdr:rowOff>
    </xdr:to>
    <xdr:cxnSp macro="">
      <xdr:nvCxnSpPr>
        <xdr:cNvPr id="2680" name="Straight Arrow Connector 2679">
          <a:extLst>
            <a:ext uri="{FF2B5EF4-FFF2-40B4-BE49-F238E27FC236}">
              <a16:creationId xmlns:a16="http://schemas.microsoft.com/office/drawing/2014/main" id="{00000000-0008-0000-1200-0000780A0000}"/>
            </a:ext>
          </a:extLst>
        </xdr:cNvPr>
        <xdr:cNvCxnSpPr/>
      </xdr:nvCxnSpPr>
      <xdr:spPr>
        <a:xfrm>
          <a:off x="11292416"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590</xdr:row>
      <xdr:rowOff>21167</xdr:rowOff>
    </xdr:from>
    <xdr:to>
      <xdr:col>16</xdr:col>
      <xdr:colOff>42333</xdr:colOff>
      <xdr:row>595</xdr:row>
      <xdr:rowOff>21168</xdr:rowOff>
    </xdr:to>
    <xdr:cxnSp macro="">
      <xdr:nvCxnSpPr>
        <xdr:cNvPr id="2681" name="Straight Arrow Connector 2680">
          <a:extLst>
            <a:ext uri="{FF2B5EF4-FFF2-40B4-BE49-F238E27FC236}">
              <a16:creationId xmlns:a16="http://schemas.microsoft.com/office/drawing/2014/main" id="{00000000-0008-0000-1200-0000790A0000}"/>
            </a:ext>
          </a:extLst>
        </xdr:cNvPr>
        <xdr:cNvCxnSpPr/>
      </xdr:nvCxnSpPr>
      <xdr:spPr>
        <a:xfrm>
          <a:off x="11271250" y="26310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2682" name="Straight Arrow Connector 2681">
          <a:extLst>
            <a:ext uri="{FF2B5EF4-FFF2-40B4-BE49-F238E27FC236}">
              <a16:creationId xmlns:a16="http://schemas.microsoft.com/office/drawing/2014/main" id="{00000000-0008-0000-1200-00007A0A0000}"/>
            </a:ext>
          </a:extLst>
        </xdr:cNvPr>
        <xdr:cNvCxnSpPr/>
      </xdr:nvCxnSpPr>
      <xdr:spPr>
        <a:xfrm>
          <a:off x="11281833" y="263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627</xdr:row>
      <xdr:rowOff>42333</xdr:rowOff>
    </xdr:from>
    <xdr:to>
      <xdr:col>9</xdr:col>
      <xdr:colOff>592666</xdr:colOff>
      <xdr:row>635</xdr:row>
      <xdr:rowOff>42333</xdr:rowOff>
    </xdr:to>
    <xdr:cxnSp macro="">
      <xdr:nvCxnSpPr>
        <xdr:cNvPr id="2683" name="Straight Arrow Connector 2682">
          <a:extLst>
            <a:ext uri="{FF2B5EF4-FFF2-40B4-BE49-F238E27FC236}">
              <a16:creationId xmlns:a16="http://schemas.microsoft.com/office/drawing/2014/main" id="{00000000-0008-0000-1200-00007B0A0000}"/>
            </a:ext>
          </a:extLst>
        </xdr:cNvPr>
        <xdr:cNvCxnSpPr/>
      </xdr:nvCxnSpPr>
      <xdr:spPr>
        <a:xfrm flipV="1">
          <a:off x="6699250"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637</xdr:row>
      <xdr:rowOff>169334</xdr:rowOff>
    </xdr:from>
    <xdr:to>
      <xdr:col>9</xdr:col>
      <xdr:colOff>603250</xdr:colOff>
      <xdr:row>646</xdr:row>
      <xdr:rowOff>31750</xdr:rowOff>
    </xdr:to>
    <xdr:cxnSp macro="">
      <xdr:nvCxnSpPr>
        <xdr:cNvPr id="2684" name="Straight Arrow Connector 2683">
          <a:extLst>
            <a:ext uri="{FF2B5EF4-FFF2-40B4-BE49-F238E27FC236}">
              <a16:creationId xmlns:a16="http://schemas.microsoft.com/office/drawing/2014/main" id="{00000000-0008-0000-1200-00007C0A0000}"/>
            </a:ext>
          </a:extLst>
        </xdr:cNvPr>
        <xdr:cNvCxnSpPr/>
      </xdr:nvCxnSpPr>
      <xdr:spPr>
        <a:xfrm>
          <a:off x="6720417"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643</xdr:row>
      <xdr:rowOff>158750</xdr:rowOff>
    </xdr:from>
    <xdr:to>
      <xdr:col>11</xdr:col>
      <xdr:colOff>571500</xdr:colOff>
      <xdr:row>646</xdr:row>
      <xdr:rowOff>0</xdr:rowOff>
    </xdr:to>
    <xdr:cxnSp macro="">
      <xdr:nvCxnSpPr>
        <xdr:cNvPr id="2685" name="Straight Arrow Connector 2684">
          <a:extLst>
            <a:ext uri="{FF2B5EF4-FFF2-40B4-BE49-F238E27FC236}">
              <a16:creationId xmlns:a16="http://schemas.microsoft.com/office/drawing/2014/main" id="{00000000-0008-0000-1200-00007D0A0000}"/>
            </a:ext>
          </a:extLst>
        </xdr:cNvPr>
        <xdr:cNvCxnSpPr/>
      </xdr:nvCxnSpPr>
      <xdr:spPr>
        <a:xfrm flipV="1">
          <a:off x="7874000" y="36734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601</xdr:row>
      <xdr:rowOff>0</xdr:rowOff>
    </xdr:from>
    <xdr:to>
      <xdr:col>15</xdr:col>
      <xdr:colOff>603250</xdr:colOff>
      <xdr:row>603</xdr:row>
      <xdr:rowOff>1</xdr:rowOff>
    </xdr:to>
    <xdr:cxnSp macro="">
      <xdr:nvCxnSpPr>
        <xdr:cNvPr id="2686" name="Straight Arrow Connector 2685">
          <a:extLst>
            <a:ext uri="{FF2B5EF4-FFF2-40B4-BE49-F238E27FC236}">
              <a16:creationId xmlns:a16="http://schemas.microsoft.com/office/drawing/2014/main" id="{00000000-0008-0000-1200-00007E0A0000}"/>
            </a:ext>
          </a:extLst>
        </xdr:cNvPr>
        <xdr:cNvCxnSpPr/>
      </xdr:nvCxnSpPr>
      <xdr:spPr>
        <a:xfrm flipV="1">
          <a:off x="11271250"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603</xdr:row>
      <xdr:rowOff>10584</xdr:rowOff>
    </xdr:from>
    <xdr:to>
      <xdr:col>15</xdr:col>
      <xdr:colOff>592666</xdr:colOff>
      <xdr:row>604</xdr:row>
      <xdr:rowOff>95250</xdr:rowOff>
    </xdr:to>
    <xdr:cxnSp macro="">
      <xdr:nvCxnSpPr>
        <xdr:cNvPr id="2687" name="Straight Arrow Connector 2686">
          <a:extLst>
            <a:ext uri="{FF2B5EF4-FFF2-40B4-BE49-F238E27FC236}">
              <a16:creationId xmlns:a16="http://schemas.microsoft.com/office/drawing/2014/main" id="{00000000-0008-0000-1200-00007F0A0000}"/>
            </a:ext>
          </a:extLst>
        </xdr:cNvPr>
        <xdr:cNvCxnSpPr/>
      </xdr:nvCxnSpPr>
      <xdr:spPr>
        <a:xfrm>
          <a:off x="11313583"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603</xdr:row>
      <xdr:rowOff>10584</xdr:rowOff>
    </xdr:from>
    <xdr:to>
      <xdr:col>15</xdr:col>
      <xdr:colOff>560916</xdr:colOff>
      <xdr:row>607</xdr:row>
      <xdr:rowOff>52917</xdr:rowOff>
    </xdr:to>
    <xdr:cxnSp macro="">
      <xdr:nvCxnSpPr>
        <xdr:cNvPr id="2688" name="Straight Arrow Connector 2687">
          <a:extLst>
            <a:ext uri="{FF2B5EF4-FFF2-40B4-BE49-F238E27FC236}">
              <a16:creationId xmlns:a16="http://schemas.microsoft.com/office/drawing/2014/main" id="{00000000-0008-0000-1200-0000800A0000}"/>
            </a:ext>
          </a:extLst>
        </xdr:cNvPr>
        <xdr:cNvCxnSpPr/>
      </xdr:nvCxnSpPr>
      <xdr:spPr>
        <a:xfrm>
          <a:off x="11292416"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689" name="Straight Arrow Connector 2688">
          <a:extLst>
            <a:ext uri="{FF2B5EF4-FFF2-40B4-BE49-F238E27FC236}">
              <a16:creationId xmlns:a16="http://schemas.microsoft.com/office/drawing/2014/main" id="{00000000-0008-0000-1200-0000810A0000}"/>
            </a:ext>
          </a:extLst>
        </xdr:cNvPr>
        <xdr:cNvCxnSpPr/>
      </xdr:nvCxnSpPr>
      <xdr:spPr>
        <a:xfrm>
          <a:off x="11324166" y="28987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617</xdr:row>
      <xdr:rowOff>0</xdr:rowOff>
    </xdr:from>
    <xdr:to>
      <xdr:col>16</xdr:col>
      <xdr:colOff>0</xdr:colOff>
      <xdr:row>617</xdr:row>
      <xdr:rowOff>42334</xdr:rowOff>
    </xdr:to>
    <xdr:cxnSp macro="">
      <xdr:nvCxnSpPr>
        <xdr:cNvPr id="2690" name="Straight Arrow Connector 2689">
          <a:extLst>
            <a:ext uri="{FF2B5EF4-FFF2-40B4-BE49-F238E27FC236}">
              <a16:creationId xmlns:a16="http://schemas.microsoft.com/office/drawing/2014/main" id="{00000000-0008-0000-1200-0000820A0000}"/>
            </a:ext>
          </a:extLst>
        </xdr:cNvPr>
        <xdr:cNvCxnSpPr/>
      </xdr:nvCxnSpPr>
      <xdr:spPr>
        <a:xfrm>
          <a:off x="11302999" y="31623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617</xdr:row>
      <xdr:rowOff>21166</xdr:rowOff>
    </xdr:from>
    <xdr:to>
      <xdr:col>15</xdr:col>
      <xdr:colOff>560916</xdr:colOff>
      <xdr:row>620</xdr:row>
      <xdr:rowOff>84667</xdr:rowOff>
    </xdr:to>
    <xdr:cxnSp macro="">
      <xdr:nvCxnSpPr>
        <xdr:cNvPr id="2691" name="Straight Arrow Connector 2690">
          <a:extLst>
            <a:ext uri="{FF2B5EF4-FFF2-40B4-BE49-F238E27FC236}">
              <a16:creationId xmlns:a16="http://schemas.microsoft.com/office/drawing/2014/main" id="{00000000-0008-0000-1200-0000830A0000}"/>
            </a:ext>
          </a:extLst>
        </xdr:cNvPr>
        <xdr:cNvCxnSpPr/>
      </xdr:nvCxnSpPr>
      <xdr:spPr>
        <a:xfrm>
          <a:off x="11355916"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617</xdr:row>
      <xdr:rowOff>52916</xdr:rowOff>
    </xdr:from>
    <xdr:to>
      <xdr:col>15</xdr:col>
      <xdr:colOff>592666</xdr:colOff>
      <xdr:row>623</xdr:row>
      <xdr:rowOff>63501</xdr:rowOff>
    </xdr:to>
    <xdr:cxnSp macro="">
      <xdr:nvCxnSpPr>
        <xdr:cNvPr id="2692" name="Straight Arrow Connector 2691">
          <a:extLst>
            <a:ext uri="{FF2B5EF4-FFF2-40B4-BE49-F238E27FC236}">
              <a16:creationId xmlns:a16="http://schemas.microsoft.com/office/drawing/2014/main" id="{00000000-0008-0000-1200-0000840A0000}"/>
            </a:ext>
          </a:extLst>
        </xdr:cNvPr>
        <xdr:cNvCxnSpPr/>
      </xdr:nvCxnSpPr>
      <xdr:spPr>
        <a:xfrm>
          <a:off x="11313583"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631</xdr:row>
      <xdr:rowOff>116416</xdr:rowOff>
    </xdr:from>
    <xdr:to>
      <xdr:col>15</xdr:col>
      <xdr:colOff>592666</xdr:colOff>
      <xdr:row>634</xdr:row>
      <xdr:rowOff>158750</xdr:rowOff>
    </xdr:to>
    <xdr:cxnSp macro="">
      <xdr:nvCxnSpPr>
        <xdr:cNvPr id="2693" name="Straight Arrow Connector 2692">
          <a:extLst>
            <a:ext uri="{FF2B5EF4-FFF2-40B4-BE49-F238E27FC236}">
              <a16:creationId xmlns:a16="http://schemas.microsoft.com/office/drawing/2014/main" id="{00000000-0008-0000-1200-0000850A0000}"/>
            </a:ext>
          </a:extLst>
        </xdr:cNvPr>
        <xdr:cNvCxnSpPr/>
      </xdr:nvCxnSpPr>
      <xdr:spPr>
        <a:xfrm flipV="1">
          <a:off x="11302999"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633</xdr:row>
      <xdr:rowOff>95250</xdr:rowOff>
    </xdr:from>
    <xdr:to>
      <xdr:col>15</xdr:col>
      <xdr:colOff>582083</xdr:colOff>
      <xdr:row>635</xdr:row>
      <xdr:rowOff>52917</xdr:rowOff>
    </xdr:to>
    <xdr:cxnSp macro="">
      <xdr:nvCxnSpPr>
        <xdr:cNvPr id="2694" name="Straight Arrow Connector 2693">
          <a:extLst>
            <a:ext uri="{FF2B5EF4-FFF2-40B4-BE49-F238E27FC236}">
              <a16:creationId xmlns:a16="http://schemas.microsoft.com/office/drawing/2014/main" id="{00000000-0008-0000-1200-0000860A0000}"/>
            </a:ext>
          </a:extLst>
        </xdr:cNvPr>
        <xdr:cNvCxnSpPr/>
      </xdr:nvCxnSpPr>
      <xdr:spPr>
        <a:xfrm flipV="1">
          <a:off x="11345333"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116417</xdr:rowOff>
    </xdr:from>
    <xdr:to>
      <xdr:col>15</xdr:col>
      <xdr:colOff>592666</xdr:colOff>
      <xdr:row>639</xdr:row>
      <xdr:rowOff>95250</xdr:rowOff>
    </xdr:to>
    <xdr:cxnSp macro="">
      <xdr:nvCxnSpPr>
        <xdr:cNvPr id="2695" name="Straight Arrow Connector 2694">
          <a:extLst>
            <a:ext uri="{FF2B5EF4-FFF2-40B4-BE49-F238E27FC236}">
              <a16:creationId xmlns:a16="http://schemas.microsoft.com/office/drawing/2014/main" id="{00000000-0008-0000-1200-0000870A0000}"/>
            </a:ext>
          </a:extLst>
        </xdr:cNvPr>
        <xdr:cNvCxnSpPr/>
      </xdr:nvCxnSpPr>
      <xdr:spPr>
        <a:xfrm>
          <a:off x="11334749"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646</xdr:row>
      <xdr:rowOff>116416</xdr:rowOff>
    </xdr:from>
    <xdr:to>
      <xdr:col>16</xdr:col>
      <xdr:colOff>0</xdr:colOff>
      <xdr:row>653</xdr:row>
      <xdr:rowOff>74084</xdr:rowOff>
    </xdr:to>
    <xdr:cxnSp macro="">
      <xdr:nvCxnSpPr>
        <xdr:cNvPr id="2696" name="Straight Arrow Connector 2695">
          <a:extLst>
            <a:ext uri="{FF2B5EF4-FFF2-40B4-BE49-F238E27FC236}">
              <a16:creationId xmlns:a16="http://schemas.microsoft.com/office/drawing/2014/main" id="{00000000-0008-0000-1200-0000880A0000}"/>
            </a:ext>
          </a:extLst>
        </xdr:cNvPr>
        <xdr:cNvCxnSpPr/>
      </xdr:nvCxnSpPr>
      <xdr:spPr>
        <a:xfrm>
          <a:off x="11313583" y="37263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614</xdr:row>
      <xdr:rowOff>52917</xdr:rowOff>
    </xdr:from>
    <xdr:to>
      <xdr:col>15</xdr:col>
      <xdr:colOff>603250</xdr:colOff>
      <xdr:row>616</xdr:row>
      <xdr:rowOff>148167</xdr:rowOff>
    </xdr:to>
    <xdr:cxnSp macro="">
      <xdr:nvCxnSpPr>
        <xdr:cNvPr id="2697" name="Straight Arrow Connector 2696">
          <a:extLst>
            <a:ext uri="{FF2B5EF4-FFF2-40B4-BE49-F238E27FC236}">
              <a16:creationId xmlns:a16="http://schemas.microsoft.com/office/drawing/2014/main" id="{00000000-0008-0000-1200-0000890A0000}"/>
            </a:ext>
          </a:extLst>
        </xdr:cNvPr>
        <xdr:cNvCxnSpPr/>
      </xdr:nvCxnSpPr>
      <xdr:spPr>
        <a:xfrm flipV="1">
          <a:off x="11324166"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649</xdr:row>
      <xdr:rowOff>42333</xdr:rowOff>
    </xdr:from>
    <xdr:to>
      <xdr:col>11</xdr:col>
      <xdr:colOff>603250</xdr:colOff>
      <xdr:row>661</xdr:row>
      <xdr:rowOff>10583</xdr:rowOff>
    </xdr:to>
    <xdr:cxnSp macro="">
      <xdr:nvCxnSpPr>
        <xdr:cNvPr id="2698" name="Straight Arrow Connector 2697">
          <a:extLst>
            <a:ext uri="{FF2B5EF4-FFF2-40B4-BE49-F238E27FC236}">
              <a16:creationId xmlns:a16="http://schemas.microsoft.com/office/drawing/2014/main" id="{00000000-0008-0000-1200-00008A0A0000}"/>
            </a:ext>
          </a:extLst>
        </xdr:cNvPr>
        <xdr:cNvCxnSpPr/>
      </xdr:nvCxnSpPr>
      <xdr:spPr>
        <a:xfrm>
          <a:off x="7926917"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639</xdr:row>
      <xdr:rowOff>21167</xdr:rowOff>
    </xdr:from>
    <xdr:to>
      <xdr:col>13</xdr:col>
      <xdr:colOff>592667</xdr:colOff>
      <xdr:row>641</xdr:row>
      <xdr:rowOff>0</xdr:rowOff>
    </xdr:to>
    <xdr:cxnSp macro="">
      <xdr:nvCxnSpPr>
        <xdr:cNvPr id="2699" name="Straight Arrow Connector 2698">
          <a:extLst>
            <a:ext uri="{FF2B5EF4-FFF2-40B4-BE49-F238E27FC236}">
              <a16:creationId xmlns:a16="http://schemas.microsoft.com/office/drawing/2014/main" id="{00000000-0008-0000-1200-00008B0A0000}"/>
            </a:ext>
          </a:extLst>
        </xdr:cNvPr>
        <xdr:cNvCxnSpPr/>
      </xdr:nvCxnSpPr>
      <xdr:spPr>
        <a:xfrm flipV="1">
          <a:off x="9133417" y="35835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644</xdr:row>
      <xdr:rowOff>21166</xdr:rowOff>
    </xdr:from>
    <xdr:to>
      <xdr:col>13</xdr:col>
      <xdr:colOff>592667</xdr:colOff>
      <xdr:row>645</xdr:row>
      <xdr:rowOff>169334</xdr:rowOff>
    </xdr:to>
    <xdr:cxnSp macro="">
      <xdr:nvCxnSpPr>
        <xdr:cNvPr id="2700" name="Straight Arrow Connector 2699">
          <a:extLst>
            <a:ext uri="{FF2B5EF4-FFF2-40B4-BE49-F238E27FC236}">
              <a16:creationId xmlns:a16="http://schemas.microsoft.com/office/drawing/2014/main" id="{00000000-0008-0000-1200-00008C0A0000}"/>
            </a:ext>
          </a:extLst>
        </xdr:cNvPr>
        <xdr:cNvCxnSpPr/>
      </xdr:nvCxnSpPr>
      <xdr:spPr>
        <a:xfrm>
          <a:off x="9122833" y="36787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659</xdr:row>
      <xdr:rowOff>21167</xdr:rowOff>
    </xdr:from>
    <xdr:to>
      <xdr:col>13</xdr:col>
      <xdr:colOff>592667</xdr:colOff>
      <xdr:row>661</xdr:row>
      <xdr:rowOff>63500</xdr:rowOff>
    </xdr:to>
    <xdr:cxnSp macro="">
      <xdr:nvCxnSpPr>
        <xdr:cNvPr id="2701" name="Straight Arrow Connector 2700">
          <a:extLst>
            <a:ext uri="{FF2B5EF4-FFF2-40B4-BE49-F238E27FC236}">
              <a16:creationId xmlns:a16="http://schemas.microsoft.com/office/drawing/2014/main" id="{00000000-0008-0000-1200-00008D0A0000}"/>
            </a:ext>
          </a:extLst>
        </xdr:cNvPr>
        <xdr:cNvCxnSpPr/>
      </xdr:nvCxnSpPr>
      <xdr:spPr>
        <a:xfrm flipV="1">
          <a:off x="952500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664</xdr:row>
      <xdr:rowOff>0</xdr:rowOff>
    </xdr:from>
    <xdr:to>
      <xdr:col>14</xdr:col>
      <xdr:colOff>10584</xdr:colOff>
      <xdr:row>672</xdr:row>
      <xdr:rowOff>148167</xdr:rowOff>
    </xdr:to>
    <xdr:cxnSp macro="">
      <xdr:nvCxnSpPr>
        <xdr:cNvPr id="2702" name="Straight Arrow Connector 2701">
          <a:extLst>
            <a:ext uri="{FF2B5EF4-FFF2-40B4-BE49-F238E27FC236}">
              <a16:creationId xmlns:a16="http://schemas.microsoft.com/office/drawing/2014/main" id="{00000000-0008-0000-1200-00008E0A0000}"/>
            </a:ext>
          </a:extLst>
        </xdr:cNvPr>
        <xdr:cNvCxnSpPr/>
      </xdr:nvCxnSpPr>
      <xdr:spPr>
        <a:xfrm>
          <a:off x="9535583" y="40767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95250</xdr:rowOff>
    </xdr:from>
    <xdr:to>
      <xdr:col>15</xdr:col>
      <xdr:colOff>582083</xdr:colOff>
      <xdr:row>637</xdr:row>
      <xdr:rowOff>137583</xdr:rowOff>
    </xdr:to>
    <xdr:cxnSp macro="">
      <xdr:nvCxnSpPr>
        <xdr:cNvPr id="2703" name="Straight Arrow Connector 2702">
          <a:extLst>
            <a:ext uri="{FF2B5EF4-FFF2-40B4-BE49-F238E27FC236}">
              <a16:creationId xmlns:a16="http://schemas.microsoft.com/office/drawing/2014/main" id="{00000000-0008-0000-1200-00008F0A0000}"/>
            </a:ext>
          </a:extLst>
        </xdr:cNvPr>
        <xdr:cNvCxnSpPr/>
      </xdr:nvCxnSpPr>
      <xdr:spPr>
        <a:xfrm>
          <a:off x="11334749"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644</xdr:row>
      <xdr:rowOff>52916</xdr:rowOff>
    </xdr:from>
    <xdr:to>
      <xdr:col>16</xdr:col>
      <xdr:colOff>0</xdr:colOff>
      <xdr:row>646</xdr:row>
      <xdr:rowOff>0</xdr:rowOff>
    </xdr:to>
    <xdr:cxnSp macro="">
      <xdr:nvCxnSpPr>
        <xdr:cNvPr id="2704" name="Straight Arrow Connector 2703">
          <a:extLst>
            <a:ext uri="{FF2B5EF4-FFF2-40B4-BE49-F238E27FC236}">
              <a16:creationId xmlns:a16="http://schemas.microsoft.com/office/drawing/2014/main" id="{00000000-0008-0000-1200-0000900A0000}"/>
            </a:ext>
          </a:extLst>
        </xdr:cNvPr>
        <xdr:cNvCxnSpPr/>
      </xdr:nvCxnSpPr>
      <xdr:spPr>
        <a:xfrm flipV="1">
          <a:off x="11281833" y="36819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21167</xdr:rowOff>
    </xdr:from>
    <xdr:to>
      <xdr:col>15</xdr:col>
      <xdr:colOff>592666</xdr:colOff>
      <xdr:row>647</xdr:row>
      <xdr:rowOff>84667</xdr:rowOff>
    </xdr:to>
    <xdr:cxnSp macro="">
      <xdr:nvCxnSpPr>
        <xdr:cNvPr id="2705" name="Straight Arrow Connector 2704">
          <a:extLst>
            <a:ext uri="{FF2B5EF4-FFF2-40B4-BE49-F238E27FC236}">
              <a16:creationId xmlns:a16="http://schemas.microsoft.com/office/drawing/2014/main" id="{00000000-0008-0000-1200-0000910A0000}"/>
            </a:ext>
          </a:extLst>
        </xdr:cNvPr>
        <xdr:cNvCxnSpPr/>
      </xdr:nvCxnSpPr>
      <xdr:spPr>
        <a:xfrm>
          <a:off x="11271250"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0</xdr:rowOff>
    </xdr:from>
    <xdr:to>
      <xdr:col>16</xdr:col>
      <xdr:colOff>0</xdr:colOff>
      <xdr:row>650</xdr:row>
      <xdr:rowOff>42334</xdr:rowOff>
    </xdr:to>
    <xdr:cxnSp macro="">
      <xdr:nvCxnSpPr>
        <xdr:cNvPr id="2706" name="Straight Arrow Connector 2705">
          <a:extLst>
            <a:ext uri="{FF2B5EF4-FFF2-40B4-BE49-F238E27FC236}">
              <a16:creationId xmlns:a16="http://schemas.microsoft.com/office/drawing/2014/main" id="{00000000-0008-0000-1200-0000920A0000}"/>
            </a:ext>
          </a:extLst>
        </xdr:cNvPr>
        <xdr:cNvCxnSpPr/>
      </xdr:nvCxnSpPr>
      <xdr:spPr>
        <a:xfrm>
          <a:off x="11271250" y="37147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657</xdr:row>
      <xdr:rowOff>0</xdr:rowOff>
    </xdr:from>
    <xdr:to>
      <xdr:col>15</xdr:col>
      <xdr:colOff>603250</xdr:colOff>
      <xdr:row>659</xdr:row>
      <xdr:rowOff>1</xdr:rowOff>
    </xdr:to>
    <xdr:cxnSp macro="">
      <xdr:nvCxnSpPr>
        <xdr:cNvPr id="2707" name="Straight Arrow Connector 2706">
          <a:extLst>
            <a:ext uri="{FF2B5EF4-FFF2-40B4-BE49-F238E27FC236}">
              <a16:creationId xmlns:a16="http://schemas.microsoft.com/office/drawing/2014/main" id="{00000000-0008-0000-1200-0000930A0000}"/>
            </a:ext>
          </a:extLst>
        </xdr:cNvPr>
        <xdr:cNvCxnSpPr/>
      </xdr:nvCxnSpPr>
      <xdr:spPr>
        <a:xfrm flipV="1">
          <a:off x="11271250"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659</xdr:row>
      <xdr:rowOff>10584</xdr:rowOff>
    </xdr:from>
    <xdr:to>
      <xdr:col>15</xdr:col>
      <xdr:colOff>592666</xdr:colOff>
      <xdr:row>660</xdr:row>
      <xdr:rowOff>95250</xdr:rowOff>
    </xdr:to>
    <xdr:cxnSp macro="">
      <xdr:nvCxnSpPr>
        <xdr:cNvPr id="2708" name="Straight Arrow Connector 2707">
          <a:extLst>
            <a:ext uri="{FF2B5EF4-FFF2-40B4-BE49-F238E27FC236}">
              <a16:creationId xmlns:a16="http://schemas.microsoft.com/office/drawing/2014/main" id="{00000000-0008-0000-1200-0000940A0000}"/>
            </a:ext>
          </a:extLst>
        </xdr:cNvPr>
        <xdr:cNvCxnSpPr/>
      </xdr:nvCxnSpPr>
      <xdr:spPr>
        <a:xfrm>
          <a:off x="11313583"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659</xdr:row>
      <xdr:rowOff>10584</xdr:rowOff>
    </xdr:from>
    <xdr:to>
      <xdr:col>15</xdr:col>
      <xdr:colOff>560916</xdr:colOff>
      <xdr:row>663</xdr:row>
      <xdr:rowOff>52917</xdr:rowOff>
    </xdr:to>
    <xdr:cxnSp macro="">
      <xdr:nvCxnSpPr>
        <xdr:cNvPr id="2709" name="Straight Arrow Connector 2708">
          <a:extLst>
            <a:ext uri="{FF2B5EF4-FFF2-40B4-BE49-F238E27FC236}">
              <a16:creationId xmlns:a16="http://schemas.microsoft.com/office/drawing/2014/main" id="{00000000-0008-0000-1200-0000950A0000}"/>
            </a:ext>
          </a:extLst>
        </xdr:cNvPr>
        <xdr:cNvCxnSpPr/>
      </xdr:nvCxnSpPr>
      <xdr:spPr>
        <a:xfrm>
          <a:off x="11292416"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710" name="Straight Arrow Connector 2709">
          <a:extLst>
            <a:ext uri="{FF2B5EF4-FFF2-40B4-BE49-F238E27FC236}">
              <a16:creationId xmlns:a16="http://schemas.microsoft.com/office/drawing/2014/main" id="{00000000-0008-0000-1200-0000960A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673</xdr:row>
      <xdr:rowOff>0</xdr:rowOff>
    </xdr:from>
    <xdr:to>
      <xdr:col>16</xdr:col>
      <xdr:colOff>0</xdr:colOff>
      <xdr:row>673</xdr:row>
      <xdr:rowOff>42334</xdr:rowOff>
    </xdr:to>
    <xdr:cxnSp macro="">
      <xdr:nvCxnSpPr>
        <xdr:cNvPr id="2711" name="Straight Arrow Connector 2710">
          <a:extLst>
            <a:ext uri="{FF2B5EF4-FFF2-40B4-BE49-F238E27FC236}">
              <a16:creationId xmlns:a16="http://schemas.microsoft.com/office/drawing/2014/main" id="{00000000-0008-0000-1200-0000970A0000}"/>
            </a:ext>
          </a:extLst>
        </xdr:cNvPr>
        <xdr:cNvCxnSpPr/>
      </xdr:nvCxnSpPr>
      <xdr:spPr>
        <a:xfrm>
          <a:off x="11302999" y="42481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673</xdr:row>
      <xdr:rowOff>21166</xdr:rowOff>
    </xdr:from>
    <xdr:to>
      <xdr:col>15</xdr:col>
      <xdr:colOff>560916</xdr:colOff>
      <xdr:row>676</xdr:row>
      <xdr:rowOff>84667</xdr:rowOff>
    </xdr:to>
    <xdr:cxnSp macro="">
      <xdr:nvCxnSpPr>
        <xdr:cNvPr id="2712" name="Straight Arrow Connector 2711">
          <a:extLst>
            <a:ext uri="{FF2B5EF4-FFF2-40B4-BE49-F238E27FC236}">
              <a16:creationId xmlns:a16="http://schemas.microsoft.com/office/drawing/2014/main" id="{00000000-0008-0000-1200-0000980A0000}"/>
            </a:ext>
          </a:extLst>
        </xdr:cNvPr>
        <xdr:cNvCxnSpPr/>
      </xdr:nvCxnSpPr>
      <xdr:spPr>
        <a:xfrm>
          <a:off x="11355916"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673</xdr:row>
      <xdr:rowOff>52916</xdr:rowOff>
    </xdr:from>
    <xdr:to>
      <xdr:col>15</xdr:col>
      <xdr:colOff>592666</xdr:colOff>
      <xdr:row>679</xdr:row>
      <xdr:rowOff>63501</xdr:rowOff>
    </xdr:to>
    <xdr:cxnSp macro="">
      <xdr:nvCxnSpPr>
        <xdr:cNvPr id="2713" name="Straight Arrow Connector 2712">
          <a:extLst>
            <a:ext uri="{FF2B5EF4-FFF2-40B4-BE49-F238E27FC236}">
              <a16:creationId xmlns:a16="http://schemas.microsoft.com/office/drawing/2014/main" id="{00000000-0008-0000-1200-0000990A0000}"/>
            </a:ext>
          </a:extLst>
        </xdr:cNvPr>
        <xdr:cNvCxnSpPr/>
      </xdr:nvCxnSpPr>
      <xdr:spPr>
        <a:xfrm>
          <a:off x="11313583"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670</xdr:row>
      <xdr:rowOff>52917</xdr:rowOff>
    </xdr:from>
    <xdr:to>
      <xdr:col>15</xdr:col>
      <xdr:colOff>603250</xdr:colOff>
      <xdr:row>672</xdr:row>
      <xdr:rowOff>148167</xdr:rowOff>
    </xdr:to>
    <xdr:cxnSp macro="">
      <xdr:nvCxnSpPr>
        <xdr:cNvPr id="2714" name="Straight Arrow Connector 2713">
          <a:extLst>
            <a:ext uri="{FF2B5EF4-FFF2-40B4-BE49-F238E27FC236}">
              <a16:creationId xmlns:a16="http://schemas.microsoft.com/office/drawing/2014/main" id="{00000000-0008-0000-1200-00009A0A0000}"/>
            </a:ext>
          </a:extLst>
        </xdr:cNvPr>
        <xdr:cNvCxnSpPr/>
      </xdr:nvCxnSpPr>
      <xdr:spPr>
        <a:xfrm flipV="1">
          <a:off x="11324166"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581</xdr:row>
      <xdr:rowOff>127000</xdr:rowOff>
    </xdr:from>
    <xdr:to>
      <xdr:col>8</xdr:col>
      <xdr:colOff>63500</xdr:colOff>
      <xdr:row>600</xdr:row>
      <xdr:rowOff>0</xdr:rowOff>
    </xdr:to>
    <xdr:cxnSp macro="">
      <xdr:nvCxnSpPr>
        <xdr:cNvPr id="2715" name="Straight Arrow Connector 2714">
          <a:extLst>
            <a:ext uri="{FF2B5EF4-FFF2-40B4-BE49-F238E27FC236}">
              <a16:creationId xmlns:a16="http://schemas.microsoft.com/office/drawing/2014/main" id="{00000000-0008-0000-1200-00009B0A0000}"/>
            </a:ext>
          </a:extLst>
        </xdr:cNvPr>
        <xdr:cNvCxnSpPr/>
      </xdr:nvCxnSpPr>
      <xdr:spPr>
        <a:xfrm flipV="1">
          <a:off x="5492750" y="247015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718</xdr:row>
      <xdr:rowOff>1</xdr:rowOff>
    </xdr:from>
    <xdr:to>
      <xdr:col>6</xdr:col>
      <xdr:colOff>0</xdr:colOff>
      <xdr:row>752</xdr:row>
      <xdr:rowOff>116417</xdr:rowOff>
    </xdr:to>
    <xdr:cxnSp macro="">
      <xdr:nvCxnSpPr>
        <xdr:cNvPr id="2716" name="Straight Arrow Connector 2715">
          <a:extLst>
            <a:ext uri="{FF2B5EF4-FFF2-40B4-BE49-F238E27FC236}">
              <a16:creationId xmlns:a16="http://schemas.microsoft.com/office/drawing/2014/main" id="{00000000-0008-0000-1200-00009C0A0000}"/>
            </a:ext>
          </a:extLst>
        </xdr:cNvPr>
        <xdr:cNvCxnSpPr/>
      </xdr:nvCxnSpPr>
      <xdr:spPr>
        <a:xfrm flipV="1">
          <a:off x="3810000" y="512445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755</xdr:row>
      <xdr:rowOff>169334</xdr:rowOff>
    </xdr:from>
    <xdr:to>
      <xdr:col>5</xdr:col>
      <xdr:colOff>571500</xdr:colOff>
      <xdr:row>824</xdr:row>
      <xdr:rowOff>0</xdr:rowOff>
    </xdr:to>
    <xdr:cxnSp macro="">
      <xdr:nvCxnSpPr>
        <xdr:cNvPr id="2717" name="Straight Arrow Connector 2716">
          <a:extLst>
            <a:ext uri="{FF2B5EF4-FFF2-40B4-BE49-F238E27FC236}">
              <a16:creationId xmlns:a16="http://schemas.microsoft.com/office/drawing/2014/main" id="{00000000-0008-0000-1200-00009D0A0000}"/>
            </a:ext>
          </a:extLst>
        </xdr:cNvPr>
        <xdr:cNvCxnSpPr/>
      </xdr:nvCxnSpPr>
      <xdr:spPr>
        <a:xfrm>
          <a:off x="389466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693</xdr:row>
      <xdr:rowOff>148167</xdr:rowOff>
    </xdr:from>
    <xdr:to>
      <xdr:col>7</xdr:col>
      <xdr:colOff>603250</xdr:colOff>
      <xdr:row>715</xdr:row>
      <xdr:rowOff>31750</xdr:rowOff>
    </xdr:to>
    <xdr:cxnSp macro="">
      <xdr:nvCxnSpPr>
        <xdr:cNvPr id="2718" name="Straight Arrow Connector 2717">
          <a:extLst>
            <a:ext uri="{FF2B5EF4-FFF2-40B4-BE49-F238E27FC236}">
              <a16:creationId xmlns:a16="http://schemas.microsoft.com/office/drawing/2014/main" id="{00000000-0008-0000-1200-00009E0A0000}"/>
            </a:ext>
          </a:extLst>
        </xdr:cNvPr>
        <xdr:cNvCxnSpPr/>
      </xdr:nvCxnSpPr>
      <xdr:spPr>
        <a:xfrm flipV="1">
          <a:off x="546100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718</xdr:row>
      <xdr:rowOff>10584</xdr:rowOff>
    </xdr:from>
    <xdr:to>
      <xdr:col>8</xdr:col>
      <xdr:colOff>21167</xdr:colOff>
      <xdr:row>746</xdr:row>
      <xdr:rowOff>148166</xdr:rowOff>
    </xdr:to>
    <xdr:cxnSp macro="">
      <xdr:nvCxnSpPr>
        <xdr:cNvPr id="2719" name="Straight Arrow Connector 2718">
          <a:extLst>
            <a:ext uri="{FF2B5EF4-FFF2-40B4-BE49-F238E27FC236}">
              <a16:creationId xmlns:a16="http://schemas.microsoft.com/office/drawing/2014/main" id="{00000000-0008-0000-1200-00009F0A0000}"/>
            </a:ext>
          </a:extLst>
        </xdr:cNvPr>
        <xdr:cNvCxnSpPr/>
      </xdr:nvCxnSpPr>
      <xdr:spPr>
        <a:xfrm>
          <a:off x="5461000" y="512550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685</xdr:row>
      <xdr:rowOff>137583</xdr:rowOff>
    </xdr:from>
    <xdr:to>
      <xdr:col>9</xdr:col>
      <xdr:colOff>603250</xdr:colOff>
      <xdr:row>691</xdr:row>
      <xdr:rowOff>21166</xdr:rowOff>
    </xdr:to>
    <xdr:cxnSp macro="">
      <xdr:nvCxnSpPr>
        <xdr:cNvPr id="2720" name="Straight Arrow Connector 2719">
          <a:extLst>
            <a:ext uri="{FF2B5EF4-FFF2-40B4-BE49-F238E27FC236}">
              <a16:creationId xmlns:a16="http://schemas.microsoft.com/office/drawing/2014/main" id="{00000000-0008-0000-1200-0000A00A0000}"/>
            </a:ext>
          </a:extLst>
        </xdr:cNvPr>
        <xdr:cNvCxnSpPr/>
      </xdr:nvCxnSpPr>
      <xdr:spPr>
        <a:xfrm flipV="1">
          <a:off x="6688667"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694</xdr:row>
      <xdr:rowOff>0</xdr:rowOff>
    </xdr:from>
    <xdr:to>
      <xdr:col>9</xdr:col>
      <xdr:colOff>582083</xdr:colOff>
      <xdr:row>702</xdr:row>
      <xdr:rowOff>10583</xdr:rowOff>
    </xdr:to>
    <xdr:cxnSp macro="">
      <xdr:nvCxnSpPr>
        <xdr:cNvPr id="2721" name="Straight Arrow Connector 2720">
          <a:extLst>
            <a:ext uri="{FF2B5EF4-FFF2-40B4-BE49-F238E27FC236}">
              <a16:creationId xmlns:a16="http://schemas.microsoft.com/office/drawing/2014/main" id="{00000000-0008-0000-1200-0000A10A0000}"/>
            </a:ext>
          </a:extLst>
        </xdr:cNvPr>
        <xdr:cNvCxnSpPr/>
      </xdr:nvCxnSpPr>
      <xdr:spPr>
        <a:xfrm>
          <a:off x="6720417"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699</xdr:row>
      <xdr:rowOff>169333</xdr:rowOff>
    </xdr:from>
    <xdr:to>
      <xdr:col>11</xdr:col>
      <xdr:colOff>603250</xdr:colOff>
      <xdr:row>702</xdr:row>
      <xdr:rowOff>21167</xdr:rowOff>
    </xdr:to>
    <xdr:cxnSp macro="">
      <xdr:nvCxnSpPr>
        <xdr:cNvPr id="2722" name="Straight Arrow Connector 2721">
          <a:extLst>
            <a:ext uri="{FF2B5EF4-FFF2-40B4-BE49-F238E27FC236}">
              <a16:creationId xmlns:a16="http://schemas.microsoft.com/office/drawing/2014/main" id="{00000000-0008-0000-1200-0000A20A0000}"/>
            </a:ext>
          </a:extLst>
        </xdr:cNvPr>
        <xdr:cNvCxnSpPr/>
      </xdr:nvCxnSpPr>
      <xdr:spPr>
        <a:xfrm flipV="1">
          <a:off x="7937500"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705</xdr:row>
      <xdr:rowOff>42333</xdr:rowOff>
    </xdr:from>
    <xdr:to>
      <xdr:col>11</xdr:col>
      <xdr:colOff>603250</xdr:colOff>
      <xdr:row>717</xdr:row>
      <xdr:rowOff>10583</xdr:rowOff>
    </xdr:to>
    <xdr:cxnSp macro="">
      <xdr:nvCxnSpPr>
        <xdr:cNvPr id="2723" name="Straight Arrow Connector 2722">
          <a:extLst>
            <a:ext uri="{FF2B5EF4-FFF2-40B4-BE49-F238E27FC236}">
              <a16:creationId xmlns:a16="http://schemas.microsoft.com/office/drawing/2014/main" id="{00000000-0008-0000-1200-0000A30A0000}"/>
            </a:ext>
          </a:extLst>
        </xdr:cNvPr>
        <xdr:cNvCxnSpPr/>
      </xdr:nvCxnSpPr>
      <xdr:spPr>
        <a:xfrm>
          <a:off x="7926917"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695</xdr:row>
      <xdr:rowOff>21167</xdr:rowOff>
    </xdr:from>
    <xdr:to>
      <xdr:col>13</xdr:col>
      <xdr:colOff>592667</xdr:colOff>
      <xdr:row>697</xdr:row>
      <xdr:rowOff>0</xdr:rowOff>
    </xdr:to>
    <xdr:cxnSp macro="">
      <xdr:nvCxnSpPr>
        <xdr:cNvPr id="2724" name="Straight Arrow Connector 2723">
          <a:extLst>
            <a:ext uri="{FF2B5EF4-FFF2-40B4-BE49-F238E27FC236}">
              <a16:creationId xmlns:a16="http://schemas.microsoft.com/office/drawing/2014/main" id="{00000000-0008-0000-1200-0000A40A0000}"/>
            </a:ext>
          </a:extLst>
        </xdr:cNvPr>
        <xdr:cNvCxnSpPr/>
      </xdr:nvCxnSpPr>
      <xdr:spPr>
        <a:xfrm flipV="1">
          <a:off x="9133417" y="46693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700</xdr:row>
      <xdr:rowOff>21166</xdr:rowOff>
    </xdr:from>
    <xdr:to>
      <xdr:col>13</xdr:col>
      <xdr:colOff>592667</xdr:colOff>
      <xdr:row>701</xdr:row>
      <xdr:rowOff>169334</xdr:rowOff>
    </xdr:to>
    <xdr:cxnSp macro="">
      <xdr:nvCxnSpPr>
        <xdr:cNvPr id="2725" name="Straight Arrow Connector 2724">
          <a:extLst>
            <a:ext uri="{FF2B5EF4-FFF2-40B4-BE49-F238E27FC236}">
              <a16:creationId xmlns:a16="http://schemas.microsoft.com/office/drawing/2014/main" id="{00000000-0008-0000-1200-0000A50A0000}"/>
            </a:ext>
          </a:extLst>
        </xdr:cNvPr>
        <xdr:cNvCxnSpPr/>
      </xdr:nvCxnSpPr>
      <xdr:spPr>
        <a:xfrm>
          <a:off x="9088966" y="133371166"/>
          <a:ext cx="99060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715</xdr:row>
      <xdr:rowOff>21167</xdr:rowOff>
    </xdr:from>
    <xdr:to>
      <xdr:col>13</xdr:col>
      <xdr:colOff>592667</xdr:colOff>
      <xdr:row>717</xdr:row>
      <xdr:rowOff>63500</xdr:rowOff>
    </xdr:to>
    <xdr:cxnSp macro="">
      <xdr:nvCxnSpPr>
        <xdr:cNvPr id="2726" name="Straight Arrow Connector 2725">
          <a:extLst>
            <a:ext uri="{FF2B5EF4-FFF2-40B4-BE49-F238E27FC236}">
              <a16:creationId xmlns:a16="http://schemas.microsoft.com/office/drawing/2014/main" id="{00000000-0008-0000-1200-0000A60A0000}"/>
            </a:ext>
          </a:extLst>
        </xdr:cNvPr>
        <xdr:cNvCxnSpPr/>
      </xdr:nvCxnSpPr>
      <xdr:spPr>
        <a:xfrm flipV="1">
          <a:off x="952500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720</xdr:row>
      <xdr:rowOff>0</xdr:rowOff>
    </xdr:from>
    <xdr:to>
      <xdr:col>14</xdr:col>
      <xdr:colOff>10584</xdr:colOff>
      <xdr:row>728</xdr:row>
      <xdr:rowOff>148167</xdr:rowOff>
    </xdr:to>
    <xdr:cxnSp macro="">
      <xdr:nvCxnSpPr>
        <xdr:cNvPr id="2727" name="Straight Arrow Connector 2726">
          <a:extLst>
            <a:ext uri="{FF2B5EF4-FFF2-40B4-BE49-F238E27FC236}">
              <a16:creationId xmlns:a16="http://schemas.microsoft.com/office/drawing/2014/main" id="{00000000-0008-0000-1200-0000A70A0000}"/>
            </a:ext>
          </a:extLst>
        </xdr:cNvPr>
        <xdr:cNvCxnSpPr/>
      </xdr:nvCxnSpPr>
      <xdr:spPr>
        <a:xfrm>
          <a:off x="9535583" y="51625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687</xdr:row>
      <xdr:rowOff>0</xdr:rowOff>
    </xdr:from>
    <xdr:to>
      <xdr:col>15</xdr:col>
      <xdr:colOff>603250</xdr:colOff>
      <xdr:row>692</xdr:row>
      <xdr:rowOff>31750</xdr:rowOff>
    </xdr:to>
    <xdr:cxnSp macro="">
      <xdr:nvCxnSpPr>
        <xdr:cNvPr id="2728" name="Straight Arrow Connector 2727">
          <a:extLst>
            <a:ext uri="{FF2B5EF4-FFF2-40B4-BE49-F238E27FC236}">
              <a16:creationId xmlns:a16="http://schemas.microsoft.com/office/drawing/2014/main" id="{00000000-0008-0000-1200-0000A80A0000}"/>
            </a:ext>
          </a:extLst>
        </xdr:cNvPr>
        <xdr:cNvCxnSpPr/>
      </xdr:nvCxnSpPr>
      <xdr:spPr>
        <a:xfrm flipV="1">
          <a:off x="11281833"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690</xdr:row>
      <xdr:rowOff>52917</xdr:rowOff>
    </xdr:from>
    <xdr:to>
      <xdr:col>15</xdr:col>
      <xdr:colOff>603250</xdr:colOff>
      <xdr:row>692</xdr:row>
      <xdr:rowOff>95250</xdr:rowOff>
    </xdr:to>
    <xdr:cxnSp macro="">
      <xdr:nvCxnSpPr>
        <xdr:cNvPr id="2729" name="Straight Arrow Connector 2728">
          <a:extLst>
            <a:ext uri="{FF2B5EF4-FFF2-40B4-BE49-F238E27FC236}">
              <a16:creationId xmlns:a16="http://schemas.microsoft.com/office/drawing/2014/main" id="{00000000-0008-0000-1200-0000A90A0000}"/>
            </a:ext>
          </a:extLst>
        </xdr:cNvPr>
        <xdr:cNvCxnSpPr/>
      </xdr:nvCxnSpPr>
      <xdr:spPr>
        <a:xfrm flipV="1">
          <a:off x="11324166"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692</xdr:row>
      <xdr:rowOff>158750</xdr:rowOff>
    </xdr:from>
    <xdr:to>
      <xdr:col>15</xdr:col>
      <xdr:colOff>582083</xdr:colOff>
      <xdr:row>693</xdr:row>
      <xdr:rowOff>137583</xdr:rowOff>
    </xdr:to>
    <xdr:cxnSp macro="">
      <xdr:nvCxnSpPr>
        <xdr:cNvPr id="2730" name="Straight Arrow Connector 2729">
          <a:extLst>
            <a:ext uri="{FF2B5EF4-FFF2-40B4-BE49-F238E27FC236}">
              <a16:creationId xmlns:a16="http://schemas.microsoft.com/office/drawing/2014/main" id="{00000000-0008-0000-1200-0000AA0A0000}"/>
            </a:ext>
          </a:extLst>
        </xdr:cNvPr>
        <xdr:cNvCxnSpPr/>
      </xdr:nvCxnSpPr>
      <xdr:spPr>
        <a:xfrm>
          <a:off x="11345333"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692</xdr:row>
      <xdr:rowOff>105834</xdr:rowOff>
    </xdr:from>
    <xdr:to>
      <xdr:col>16</xdr:col>
      <xdr:colOff>0</xdr:colOff>
      <xdr:row>696</xdr:row>
      <xdr:rowOff>84667</xdr:rowOff>
    </xdr:to>
    <xdr:cxnSp macro="">
      <xdr:nvCxnSpPr>
        <xdr:cNvPr id="2731" name="Straight Arrow Connector 2730">
          <a:extLst>
            <a:ext uri="{FF2B5EF4-FFF2-40B4-BE49-F238E27FC236}">
              <a16:creationId xmlns:a16="http://schemas.microsoft.com/office/drawing/2014/main" id="{00000000-0008-0000-1200-0000AB0A0000}"/>
            </a:ext>
          </a:extLst>
        </xdr:cNvPr>
        <xdr:cNvCxnSpPr/>
      </xdr:nvCxnSpPr>
      <xdr:spPr>
        <a:xfrm>
          <a:off x="11260667" y="46206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700</xdr:row>
      <xdr:rowOff>52916</xdr:rowOff>
    </xdr:from>
    <xdr:to>
      <xdr:col>16</xdr:col>
      <xdr:colOff>0</xdr:colOff>
      <xdr:row>702</xdr:row>
      <xdr:rowOff>0</xdr:rowOff>
    </xdr:to>
    <xdr:cxnSp macro="">
      <xdr:nvCxnSpPr>
        <xdr:cNvPr id="2732" name="Straight Arrow Connector 2731">
          <a:extLst>
            <a:ext uri="{FF2B5EF4-FFF2-40B4-BE49-F238E27FC236}">
              <a16:creationId xmlns:a16="http://schemas.microsoft.com/office/drawing/2014/main" id="{00000000-0008-0000-1200-0000AC0A0000}"/>
            </a:ext>
          </a:extLst>
        </xdr:cNvPr>
        <xdr:cNvCxnSpPr/>
      </xdr:nvCxnSpPr>
      <xdr:spPr>
        <a:xfrm flipV="1">
          <a:off x="11281833" y="47677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702</xdr:row>
      <xdr:rowOff>21167</xdr:rowOff>
    </xdr:from>
    <xdr:to>
      <xdr:col>15</xdr:col>
      <xdr:colOff>582083</xdr:colOff>
      <xdr:row>703</xdr:row>
      <xdr:rowOff>42333</xdr:rowOff>
    </xdr:to>
    <xdr:cxnSp macro="">
      <xdr:nvCxnSpPr>
        <xdr:cNvPr id="2733" name="Straight Arrow Connector 2732">
          <a:extLst>
            <a:ext uri="{FF2B5EF4-FFF2-40B4-BE49-F238E27FC236}">
              <a16:creationId xmlns:a16="http://schemas.microsoft.com/office/drawing/2014/main" id="{00000000-0008-0000-1200-0000AD0A0000}"/>
            </a:ext>
          </a:extLst>
        </xdr:cNvPr>
        <xdr:cNvCxnSpPr/>
      </xdr:nvCxnSpPr>
      <xdr:spPr>
        <a:xfrm>
          <a:off x="11292416"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702</xdr:row>
      <xdr:rowOff>21167</xdr:rowOff>
    </xdr:from>
    <xdr:to>
      <xdr:col>16</xdr:col>
      <xdr:colOff>42333</xdr:colOff>
      <xdr:row>707</xdr:row>
      <xdr:rowOff>21168</xdr:rowOff>
    </xdr:to>
    <xdr:cxnSp macro="">
      <xdr:nvCxnSpPr>
        <xdr:cNvPr id="2734" name="Straight Arrow Connector 2733">
          <a:extLst>
            <a:ext uri="{FF2B5EF4-FFF2-40B4-BE49-F238E27FC236}">
              <a16:creationId xmlns:a16="http://schemas.microsoft.com/office/drawing/2014/main" id="{00000000-0008-0000-1200-0000AE0A0000}"/>
            </a:ext>
          </a:extLst>
        </xdr:cNvPr>
        <xdr:cNvCxnSpPr/>
      </xdr:nvCxnSpPr>
      <xdr:spPr>
        <a:xfrm>
          <a:off x="11271250" y="48027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735" name="Straight Arrow Connector 2734">
          <a:extLst>
            <a:ext uri="{FF2B5EF4-FFF2-40B4-BE49-F238E27FC236}">
              <a16:creationId xmlns:a16="http://schemas.microsoft.com/office/drawing/2014/main" id="{00000000-0008-0000-1200-0000AF0A0000}"/>
            </a:ext>
          </a:extLst>
        </xdr:cNvPr>
        <xdr:cNvCxnSpPr/>
      </xdr:nvCxnSpPr>
      <xdr:spPr>
        <a:xfrm>
          <a:off x="11281833" y="480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739</xdr:row>
      <xdr:rowOff>42333</xdr:rowOff>
    </xdr:from>
    <xdr:to>
      <xdr:col>9</xdr:col>
      <xdr:colOff>592666</xdr:colOff>
      <xdr:row>747</xdr:row>
      <xdr:rowOff>42333</xdr:rowOff>
    </xdr:to>
    <xdr:cxnSp macro="">
      <xdr:nvCxnSpPr>
        <xdr:cNvPr id="2736" name="Straight Arrow Connector 2735">
          <a:extLst>
            <a:ext uri="{FF2B5EF4-FFF2-40B4-BE49-F238E27FC236}">
              <a16:creationId xmlns:a16="http://schemas.microsoft.com/office/drawing/2014/main" id="{00000000-0008-0000-1200-0000B00A0000}"/>
            </a:ext>
          </a:extLst>
        </xdr:cNvPr>
        <xdr:cNvCxnSpPr/>
      </xdr:nvCxnSpPr>
      <xdr:spPr>
        <a:xfrm flipV="1">
          <a:off x="6699250"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749</xdr:row>
      <xdr:rowOff>169334</xdr:rowOff>
    </xdr:from>
    <xdr:to>
      <xdr:col>9</xdr:col>
      <xdr:colOff>603250</xdr:colOff>
      <xdr:row>758</xdr:row>
      <xdr:rowOff>31750</xdr:rowOff>
    </xdr:to>
    <xdr:cxnSp macro="">
      <xdr:nvCxnSpPr>
        <xdr:cNvPr id="2737" name="Straight Arrow Connector 2736">
          <a:extLst>
            <a:ext uri="{FF2B5EF4-FFF2-40B4-BE49-F238E27FC236}">
              <a16:creationId xmlns:a16="http://schemas.microsoft.com/office/drawing/2014/main" id="{00000000-0008-0000-1200-0000B10A0000}"/>
            </a:ext>
          </a:extLst>
        </xdr:cNvPr>
        <xdr:cNvCxnSpPr/>
      </xdr:nvCxnSpPr>
      <xdr:spPr>
        <a:xfrm>
          <a:off x="6720417"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755</xdr:row>
      <xdr:rowOff>158750</xdr:rowOff>
    </xdr:from>
    <xdr:to>
      <xdr:col>11</xdr:col>
      <xdr:colOff>571500</xdr:colOff>
      <xdr:row>758</xdr:row>
      <xdr:rowOff>0</xdr:rowOff>
    </xdr:to>
    <xdr:cxnSp macro="">
      <xdr:nvCxnSpPr>
        <xdr:cNvPr id="2738" name="Straight Arrow Connector 2737">
          <a:extLst>
            <a:ext uri="{FF2B5EF4-FFF2-40B4-BE49-F238E27FC236}">
              <a16:creationId xmlns:a16="http://schemas.microsoft.com/office/drawing/2014/main" id="{00000000-0008-0000-1200-0000B20A0000}"/>
            </a:ext>
          </a:extLst>
        </xdr:cNvPr>
        <xdr:cNvCxnSpPr/>
      </xdr:nvCxnSpPr>
      <xdr:spPr>
        <a:xfrm flipV="1">
          <a:off x="7874000" y="58451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713</xdr:row>
      <xdr:rowOff>0</xdr:rowOff>
    </xdr:from>
    <xdr:to>
      <xdr:col>15</xdr:col>
      <xdr:colOff>603250</xdr:colOff>
      <xdr:row>715</xdr:row>
      <xdr:rowOff>1</xdr:rowOff>
    </xdr:to>
    <xdr:cxnSp macro="">
      <xdr:nvCxnSpPr>
        <xdr:cNvPr id="2739" name="Straight Arrow Connector 2738">
          <a:extLst>
            <a:ext uri="{FF2B5EF4-FFF2-40B4-BE49-F238E27FC236}">
              <a16:creationId xmlns:a16="http://schemas.microsoft.com/office/drawing/2014/main" id="{00000000-0008-0000-1200-0000B30A0000}"/>
            </a:ext>
          </a:extLst>
        </xdr:cNvPr>
        <xdr:cNvCxnSpPr/>
      </xdr:nvCxnSpPr>
      <xdr:spPr>
        <a:xfrm flipV="1">
          <a:off x="11271250"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715</xdr:row>
      <xdr:rowOff>10584</xdr:rowOff>
    </xdr:from>
    <xdr:to>
      <xdr:col>15</xdr:col>
      <xdr:colOff>592666</xdr:colOff>
      <xdr:row>716</xdr:row>
      <xdr:rowOff>95250</xdr:rowOff>
    </xdr:to>
    <xdr:cxnSp macro="">
      <xdr:nvCxnSpPr>
        <xdr:cNvPr id="2740" name="Straight Arrow Connector 2739">
          <a:extLst>
            <a:ext uri="{FF2B5EF4-FFF2-40B4-BE49-F238E27FC236}">
              <a16:creationId xmlns:a16="http://schemas.microsoft.com/office/drawing/2014/main" id="{00000000-0008-0000-1200-0000B40A0000}"/>
            </a:ext>
          </a:extLst>
        </xdr:cNvPr>
        <xdr:cNvCxnSpPr/>
      </xdr:nvCxnSpPr>
      <xdr:spPr>
        <a:xfrm>
          <a:off x="11313583"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715</xdr:row>
      <xdr:rowOff>10584</xdr:rowOff>
    </xdr:from>
    <xdr:to>
      <xdr:col>15</xdr:col>
      <xdr:colOff>560916</xdr:colOff>
      <xdr:row>719</xdr:row>
      <xdr:rowOff>52917</xdr:rowOff>
    </xdr:to>
    <xdr:cxnSp macro="">
      <xdr:nvCxnSpPr>
        <xdr:cNvPr id="2741" name="Straight Arrow Connector 2740">
          <a:extLst>
            <a:ext uri="{FF2B5EF4-FFF2-40B4-BE49-F238E27FC236}">
              <a16:creationId xmlns:a16="http://schemas.microsoft.com/office/drawing/2014/main" id="{00000000-0008-0000-1200-0000B50A0000}"/>
            </a:ext>
          </a:extLst>
        </xdr:cNvPr>
        <xdr:cNvCxnSpPr/>
      </xdr:nvCxnSpPr>
      <xdr:spPr>
        <a:xfrm>
          <a:off x="11292416"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742" name="Straight Arrow Connector 2741">
          <a:extLst>
            <a:ext uri="{FF2B5EF4-FFF2-40B4-BE49-F238E27FC236}">
              <a16:creationId xmlns:a16="http://schemas.microsoft.com/office/drawing/2014/main" id="{00000000-0008-0000-1200-0000B60A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729</xdr:row>
      <xdr:rowOff>0</xdr:rowOff>
    </xdr:from>
    <xdr:to>
      <xdr:col>16</xdr:col>
      <xdr:colOff>0</xdr:colOff>
      <xdr:row>729</xdr:row>
      <xdr:rowOff>42334</xdr:rowOff>
    </xdr:to>
    <xdr:cxnSp macro="">
      <xdr:nvCxnSpPr>
        <xdr:cNvPr id="2743" name="Straight Arrow Connector 2742">
          <a:extLst>
            <a:ext uri="{FF2B5EF4-FFF2-40B4-BE49-F238E27FC236}">
              <a16:creationId xmlns:a16="http://schemas.microsoft.com/office/drawing/2014/main" id="{00000000-0008-0000-1200-0000B70A0000}"/>
            </a:ext>
          </a:extLst>
        </xdr:cNvPr>
        <xdr:cNvCxnSpPr/>
      </xdr:nvCxnSpPr>
      <xdr:spPr>
        <a:xfrm>
          <a:off x="11302999" y="53340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729</xdr:row>
      <xdr:rowOff>21166</xdr:rowOff>
    </xdr:from>
    <xdr:to>
      <xdr:col>15</xdr:col>
      <xdr:colOff>560916</xdr:colOff>
      <xdr:row>732</xdr:row>
      <xdr:rowOff>84667</xdr:rowOff>
    </xdr:to>
    <xdr:cxnSp macro="">
      <xdr:nvCxnSpPr>
        <xdr:cNvPr id="2744" name="Straight Arrow Connector 2743">
          <a:extLst>
            <a:ext uri="{FF2B5EF4-FFF2-40B4-BE49-F238E27FC236}">
              <a16:creationId xmlns:a16="http://schemas.microsoft.com/office/drawing/2014/main" id="{00000000-0008-0000-1200-0000B80A0000}"/>
            </a:ext>
          </a:extLst>
        </xdr:cNvPr>
        <xdr:cNvCxnSpPr/>
      </xdr:nvCxnSpPr>
      <xdr:spPr>
        <a:xfrm>
          <a:off x="11355916"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729</xdr:row>
      <xdr:rowOff>52916</xdr:rowOff>
    </xdr:from>
    <xdr:to>
      <xdr:col>15</xdr:col>
      <xdr:colOff>592666</xdr:colOff>
      <xdr:row>735</xdr:row>
      <xdr:rowOff>63501</xdr:rowOff>
    </xdr:to>
    <xdr:cxnSp macro="">
      <xdr:nvCxnSpPr>
        <xdr:cNvPr id="2745" name="Straight Arrow Connector 2744">
          <a:extLst>
            <a:ext uri="{FF2B5EF4-FFF2-40B4-BE49-F238E27FC236}">
              <a16:creationId xmlns:a16="http://schemas.microsoft.com/office/drawing/2014/main" id="{00000000-0008-0000-1200-0000B90A0000}"/>
            </a:ext>
          </a:extLst>
        </xdr:cNvPr>
        <xdr:cNvCxnSpPr/>
      </xdr:nvCxnSpPr>
      <xdr:spPr>
        <a:xfrm>
          <a:off x="11313583"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743</xdr:row>
      <xdr:rowOff>116416</xdr:rowOff>
    </xdr:from>
    <xdr:to>
      <xdr:col>15</xdr:col>
      <xdr:colOff>592666</xdr:colOff>
      <xdr:row>746</xdr:row>
      <xdr:rowOff>158750</xdr:rowOff>
    </xdr:to>
    <xdr:cxnSp macro="">
      <xdr:nvCxnSpPr>
        <xdr:cNvPr id="2746" name="Straight Arrow Connector 2745">
          <a:extLst>
            <a:ext uri="{FF2B5EF4-FFF2-40B4-BE49-F238E27FC236}">
              <a16:creationId xmlns:a16="http://schemas.microsoft.com/office/drawing/2014/main" id="{00000000-0008-0000-1200-0000BA0A0000}"/>
            </a:ext>
          </a:extLst>
        </xdr:cNvPr>
        <xdr:cNvCxnSpPr/>
      </xdr:nvCxnSpPr>
      <xdr:spPr>
        <a:xfrm flipV="1">
          <a:off x="11302999"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745</xdr:row>
      <xdr:rowOff>95250</xdr:rowOff>
    </xdr:from>
    <xdr:to>
      <xdr:col>15</xdr:col>
      <xdr:colOff>582083</xdr:colOff>
      <xdr:row>747</xdr:row>
      <xdr:rowOff>52917</xdr:rowOff>
    </xdr:to>
    <xdr:cxnSp macro="">
      <xdr:nvCxnSpPr>
        <xdr:cNvPr id="2747" name="Straight Arrow Connector 2746">
          <a:extLst>
            <a:ext uri="{FF2B5EF4-FFF2-40B4-BE49-F238E27FC236}">
              <a16:creationId xmlns:a16="http://schemas.microsoft.com/office/drawing/2014/main" id="{00000000-0008-0000-1200-0000BB0A0000}"/>
            </a:ext>
          </a:extLst>
        </xdr:cNvPr>
        <xdr:cNvCxnSpPr/>
      </xdr:nvCxnSpPr>
      <xdr:spPr>
        <a:xfrm flipV="1">
          <a:off x="11345333"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747</xdr:row>
      <xdr:rowOff>116417</xdr:rowOff>
    </xdr:from>
    <xdr:to>
      <xdr:col>15</xdr:col>
      <xdr:colOff>592666</xdr:colOff>
      <xdr:row>751</xdr:row>
      <xdr:rowOff>95250</xdr:rowOff>
    </xdr:to>
    <xdr:cxnSp macro="">
      <xdr:nvCxnSpPr>
        <xdr:cNvPr id="2748" name="Straight Arrow Connector 2747">
          <a:extLst>
            <a:ext uri="{FF2B5EF4-FFF2-40B4-BE49-F238E27FC236}">
              <a16:creationId xmlns:a16="http://schemas.microsoft.com/office/drawing/2014/main" id="{00000000-0008-0000-1200-0000BC0A0000}"/>
            </a:ext>
          </a:extLst>
        </xdr:cNvPr>
        <xdr:cNvCxnSpPr/>
      </xdr:nvCxnSpPr>
      <xdr:spPr>
        <a:xfrm>
          <a:off x="11334749"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758</xdr:row>
      <xdr:rowOff>116416</xdr:rowOff>
    </xdr:from>
    <xdr:to>
      <xdr:col>16</xdr:col>
      <xdr:colOff>0</xdr:colOff>
      <xdr:row>765</xdr:row>
      <xdr:rowOff>74084</xdr:rowOff>
    </xdr:to>
    <xdr:cxnSp macro="">
      <xdr:nvCxnSpPr>
        <xdr:cNvPr id="2749" name="Straight Arrow Connector 2748">
          <a:extLst>
            <a:ext uri="{FF2B5EF4-FFF2-40B4-BE49-F238E27FC236}">
              <a16:creationId xmlns:a16="http://schemas.microsoft.com/office/drawing/2014/main" id="{00000000-0008-0000-1200-0000BD0A0000}"/>
            </a:ext>
          </a:extLst>
        </xdr:cNvPr>
        <xdr:cNvCxnSpPr/>
      </xdr:nvCxnSpPr>
      <xdr:spPr>
        <a:xfrm>
          <a:off x="11313583" y="58980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726</xdr:row>
      <xdr:rowOff>52917</xdr:rowOff>
    </xdr:from>
    <xdr:to>
      <xdr:col>15</xdr:col>
      <xdr:colOff>603250</xdr:colOff>
      <xdr:row>728</xdr:row>
      <xdr:rowOff>148167</xdr:rowOff>
    </xdr:to>
    <xdr:cxnSp macro="">
      <xdr:nvCxnSpPr>
        <xdr:cNvPr id="2750" name="Straight Arrow Connector 2749">
          <a:extLst>
            <a:ext uri="{FF2B5EF4-FFF2-40B4-BE49-F238E27FC236}">
              <a16:creationId xmlns:a16="http://schemas.microsoft.com/office/drawing/2014/main" id="{00000000-0008-0000-1200-0000BE0A0000}"/>
            </a:ext>
          </a:extLst>
        </xdr:cNvPr>
        <xdr:cNvCxnSpPr/>
      </xdr:nvCxnSpPr>
      <xdr:spPr>
        <a:xfrm flipV="1">
          <a:off x="11324166"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761</xdr:row>
      <xdr:rowOff>42333</xdr:rowOff>
    </xdr:from>
    <xdr:to>
      <xdr:col>11</xdr:col>
      <xdr:colOff>603250</xdr:colOff>
      <xdr:row>773</xdr:row>
      <xdr:rowOff>10583</xdr:rowOff>
    </xdr:to>
    <xdr:cxnSp macro="">
      <xdr:nvCxnSpPr>
        <xdr:cNvPr id="2751" name="Straight Arrow Connector 2750">
          <a:extLst>
            <a:ext uri="{FF2B5EF4-FFF2-40B4-BE49-F238E27FC236}">
              <a16:creationId xmlns:a16="http://schemas.microsoft.com/office/drawing/2014/main" id="{00000000-0008-0000-1200-0000BF0A0000}"/>
            </a:ext>
          </a:extLst>
        </xdr:cNvPr>
        <xdr:cNvCxnSpPr/>
      </xdr:nvCxnSpPr>
      <xdr:spPr>
        <a:xfrm>
          <a:off x="7926917"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751</xdr:row>
      <xdr:rowOff>21167</xdr:rowOff>
    </xdr:from>
    <xdr:to>
      <xdr:col>13</xdr:col>
      <xdr:colOff>592667</xdr:colOff>
      <xdr:row>753</xdr:row>
      <xdr:rowOff>0</xdr:rowOff>
    </xdr:to>
    <xdr:cxnSp macro="">
      <xdr:nvCxnSpPr>
        <xdr:cNvPr id="2752" name="Straight Arrow Connector 2751">
          <a:extLst>
            <a:ext uri="{FF2B5EF4-FFF2-40B4-BE49-F238E27FC236}">
              <a16:creationId xmlns:a16="http://schemas.microsoft.com/office/drawing/2014/main" id="{00000000-0008-0000-1200-0000C00A0000}"/>
            </a:ext>
          </a:extLst>
        </xdr:cNvPr>
        <xdr:cNvCxnSpPr/>
      </xdr:nvCxnSpPr>
      <xdr:spPr>
        <a:xfrm flipV="1">
          <a:off x="9133417" y="57552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756</xdr:row>
      <xdr:rowOff>21166</xdr:rowOff>
    </xdr:from>
    <xdr:to>
      <xdr:col>13</xdr:col>
      <xdr:colOff>592667</xdr:colOff>
      <xdr:row>757</xdr:row>
      <xdr:rowOff>169334</xdr:rowOff>
    </xdr:to>
    <xdr:cxnSp macro="">
      <xdr:nvCxnSpPr>
        <xdr:cNvPr id="2753" name="Straight Arrow Connector 2752">
          <a:extLst>
            <a:ext uri="{FF2B5EF4-FFF2-40B4-BE49-F238E27FC236}">
              <a16:creationId xmlns:a16="http://schemas.microsoft.com/office/drawing/2014/main" id="{00000000-0008-0000-1200-0000C10A0000}"/>
            </a:ext>
          </a:extLst>
        </xdr:cNvPr>
        <xdr:cNvCxnSpPr/>
      </xdr:nvCxnSpPr>
      <xdr:spPr>
        <a:xfrm>
          <a:off x="9122833" y="58504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771</xdr:row>
      <xdr:rowOff>21167</xdr:rowOff>
    </xdr:from>
    <xdr:to>
      <xdr:col>13</xdr:col>
      <xdr:colOff>592667</xdr:colOff>
      <xdr:row>773</xdr:row>
      <xdr:rowOff>63500</xdr:rowOff>
    </xdr:to>
    <xdr:cxnSp macro="">
      <xdr:nvCxnSpPr>
        <xdr:cNvPr id="2754" name="Straight Arrow Connector 2753">
          <a:extLst>
            <a:ext uri="{FF2B5EF4-FFF2-40B4-BE49-F238E27FC236}">
              <a16:creationId xmlns:a16="http://schemas.microsoft.com/office/drawing/2014/main" id="{00000000-0008-0000-1200-0000C20A0000}"/>
            </a:ext>
          </a:extLst>
        </xdr:cNvPr>
        <xdr:cNvCxnSpPr/>
      </xdr:nvCxnSpPr>
      <xdr:spPr>
        <a:xfrm flipV="1">
          <a:off x="952500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776</xdr:row>
      <xdr:rowOff>0</xdr:rowOff>
    </xdr:from>
    <xdr:to>
      <xdr:col>14</xdr:col>
      <xdr:colOff>10584</xdr:colOff>
      <xdr:row>784</xdr:row>
      <xdr:rowOff>148167</xdr:rowOff>
    </xdr:to>
    <xdr:cxnSp macro="">
      <xdr:nvCxnSpPr>
        <xdr:cNvPr id="2755" name="Straight Arrow Connector 2754">
          <a:extLst>
            <a:ext uri="{FF2B5EF4-FFF2-40B4-BE49-F238E27FC236}">
              <a16:creationId xmlns:a16="http://schemas.microsoft.com/office/drawing/2014/main" id="{00000000-0008-0000-1200-0000C30A0000}"/>
            </a:ext>
          </a:extLst>
        </xdr:cNvPr>
        <xdr:cNvCxnSpPr/>
      </xdr:nvCxnSpPr>
      <xdr:spPr>
        <a:xfrm>
          <a:off x="9535583" y="62484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747</xdr:row>
      <xdr:rowOff>95250</xdr:rowOff>
    </xdr:from>
    <xdr:to>
      <xdr:col>15</xdr:col>
      <xdr:colOff>582083</xdr:colOff>
      <xdr:row>749</xdr:row>
      <xdr:rowOff>137583</xdr:rowOff>
    </xdr:to>
    <xdr:cxnSp macro="">
      <xdr:nvCxnSpPr>
        <xdr:cNvPr id="2756" name="Straight Arrow Connector 2755">
          <a:extLst>
            <a:ext uri="{FF2B5EF4-FFF2-40B4-BE49-F238E27FC236}">
              <a16:creationId xmlns:a16="http://schemas.microsoft.com/office/drawing/2014/main" id="{00000000-0008-0000-1200-0000C40A0000}"/>
            </a:ext>
          </a:extLst>
        </xdr:cNvPr>
        <xdr:cNvCxnSpPr/>
      </xdr:nvCxnSpPr>
      <xdr:spPr>
        <a:xfrm>
          <a:off x="11334749"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756</xdr:row>
      <xdr:rowOff>52916</xdr:rowOff>
    </xdr:from>
    <xdr:to>
      <xdr:col>16</xdr:col>
      <xdr:colOff>0</xdr:colOff>
      <xdr:row>758</xdr:row>
      <xdr:rowOff>0</xdr:rowOff>
    </xdr:to>
    <xdr:cxnSp macro="">
      <xdr:nvCxnSpPr>
        <xdr:cNvPr id="2757" name="Straight Arrow Connector 2756">
          <a:extLst>
            <a:ext uri="{FF2B5EF4-FFF2-40B4-BE49-F238E27FC236}">
              <a16:creationId xmlns:a16="http://schemas.microsoft.com/office/drawing/2014/main" id="{00000000-0008-0000-1200-0000C50A0000}"/>
            </a:ext>
          </a:extLst>
        </xdr:cNvPr>
        <xdr:cNvCxnSpPr/>
      </xdr:nvCxnSpPr>
      <xdr:spPr>
        <a:xfrm flipV="1">
          <a:off x="11281833" y="58536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758</xdr:row>
      <xdr:rowOff>21167</xdr:rowOff>
    </xdr:from>
    <xdr:to>
      <xdr:col>15</xdr:col>
      <xdr:colOff>592666</xdr:colOff>
      <xdr:row>759</xdr:row>
      <xdr:rowOff>84667</xdr:rowOff>
    </xdr:to>
    <xdr:cxnSp macro="">
      <xdr:nvCxnSpPr>
        <xdr:cNvPr id="2758" name="Straight Arrow Connector 2757">
          <a:extLst>
            <a:ext uri="{FF2B5EF4-FFF2-40B4-BE49-F238E27FC236}">
              <a16:creationId xmlns:a16="http://schemas.microsoft.com/office/drawing/2014/main" id="{00000000-0008-0000-1200-0000C60A0000}"/>
            </a:ext>
          </a:extLst>
        </xdr:cNvPr>
        <xdr:cNvCxnSpPr/>
      </xdr:nvCxnSpPr>
      <xdr:spPr>
        <a:xfrm>
          <a:off x="11271250"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758</xdr:row>
      <xdr:rowOff>0</xdr:rowOff>
    </xdr:from>
    <xdr:to>
      <xdr:col>16</xdr:col>
      <xdr:colOff>0</xdr:colOff>
      <xdr:row>762</xdr:row>
      <xdr:rowOff>42334</xdr:rowOff>
    </xdr:to>
    <xdr:cxnSp macro="">
      <xdr:nvCxnSpPr>
        <xdr:cNvPr id="2759" name="Straight Arrow Connector 2758">
          <a:extLst>
            <a:ext uri="{FF2B5EF4-FFF2-40B4-BE49-F238E27FC236}">
              <a16:creationId xmlns:a16="http://schemas.microsoft.com/office/drawing/2014/main" id="{00000000-0008-0000-1200-0000C70A0000}"/>
            </a:ext>
          </a:extLst>
        </xdr:cNvPr>
        <xdr:cNvCxnSpPr/>
      </xdr:nvCxnSpPr>
      <xdr:spPr>
        <a:xfrm>
          <a:off x="11271250" y="58864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769</xdr:row>
      <xdr:rowOff>0</xdr:rowOff>
    </xdr:from>
    <xdr:to>
      <xdr:col>15</xdr:col>
      <xdr:colOff>603250</xdr:colOff>
      <xdr:row>771</xdr:row>
      <xdr:rowOff>1</xdr:rowOff>
    </xdr:to>
    <xdr:cxnSp macro="">
      <xdr:nvCxnSpPr>
        <xdr:cNvPr id="2760" name="Straight Arrow Connector 2759">
          <a:extLst>
            <a:ext uri="{FF2B5EF4-FFF2-40B4-BE49-F238E27FC236}">
              <a16:creationId xmlns:a16="http://schemas.microsoft.com/office/drawing/2014/main" id="{00000000-0008-0000-1200-0000C80A0000}"/>
            </a:ext>
          </a:extLst>
        </xdr:cNvPr>
        <xdr:cNvCxnSpPr/>
      </xdr:nvCxnSpPr>
      <xdr:spPr>
        <a:xfrm flipV="1">
          <a:off x="11271250"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771</xdr:row>
      <xdr:rowOff>10584</xdr:rowOff>
    </xdr:from>
    <xdr:to>
      <xdr:col>15</xdr:col>
      <xdr:colOff>592666</xdr:colOff>
      <xdr:row>772</xdr:row>
      <xdr:rowOff>95250</xdr:rowOff>
    </xdr:to>
    <xdr:cxnSp macro="">
      <xdr:nvCxnSpPr>
        <xdr:cNvPr id="2761" name="Straight Arrow Connector 2760">
          <a:extLst>
            <a:ext uri="{FF2B5EF4-FFF2-40B4-BE49-F238E27FC236}">
              <a16:creationId xmlns:a16="http://schemas.microsoft.com/office/drawing/2014/main" id="{00000000-0008-0000-1200-0000C90A0000}"/>
            </a:ext>
          </a:extLst>
        </xdr:cNvPr>
        <xdr:cNvCxnSpPr/>
      </xdr:nvCxnSpPr>
      <xdr:spPr>
        <a:xfrm>
          <a:off x="11313583"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771</xdr:row>
      <xdr:rowOff>10584</xdr:rowOff>
    </xdr:from>
    <xdr:to>
      <xdr:col>15</xdr:col>
      <xdr:colOff>560916</xdr:colOff>
      <xdr:row>775</xdr:row>
      <xdr:rowOff>52917</xdr:rowOff>
    </xdr:to>
    <xdr:cxnSp macro="">
      <xdr:nvCxnSpPr>
        <xdr:cNvPr id="2762" name="Straight Arrow Connector 2761">
          <a:extLst>
            <a:ext uri="{FF2B5EF4-FFF2-40B4-BE49-F238E27FC236}">
              <a16:creationId xmlns:a16="http://schemas.microsoft.com/office/drawing/2014/main" id="{00000000-0008-0000-1200-0000CA0A0000}"/>
            </a:ext>
          </a:extLst>
        </xdr:cNvPr>
        <xdr:cNvCxnSpPr/>
      </xdr:nvCxnSpPr>
      <xdr:spPr>
        <a:xfrm>
          <a:off x="11292416"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763" name="Straight Arrow Connector 2762">
          <a:extLst>
            <a:ext uri="{FF2B5EF4-FFF2-40B4-BE49-F238E27FC236}">
              <a16:creationId xmlns:a16="http://schemas.microsoft.com/office/drawing/2014/main" id="{00000000-0008-0000-1200-0000CB0A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785</xdr:row>
      <xdr:rowOff>0</xdr:rowOff>
    </xdr:from>
    <xdr:to>
      <xdr:col>16</xdr:col>
      <xdr:colOff>0</xdr:colOff>
      <xdr:row>785</xdr:row>
      <xdr:rowOff>42334</xdr:rowOff>
    </xdr:to>
    <xdr:cxnSp macro="">
      <xdr:nvCxnSpPr>
        <xdr:cNvPr id="2764" name="Straight Arrow Connector 2763">
          <a:extLst>
            <a:ext uri="{FF2B5EF4-FFF2-40B4-BE49-F238E27FC236}">
              <a16:creationId xmlns:a16="http://schemas.microsoft.com/office/drawing/2014/main" id="{00000000-0008-0000-1200-0000CC0A0000}"/>
            </a:ext>
          </a:extLst>
        </xdr:cNvPr>
        <xdr:cNvCxnSpPr/>
      </xdr:nvCxnSpPr>
      <xdr:spPr>
        <a:xfrm>
          <a:off x="11302999" y="64198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785</xdr:row>
      <xdr:rowOff>21166</xdr:rowOff>
    </xdr:from>
    <xdr:to>
      <xdr:col>15</xdr:col>
      <xdr:colOff>560916</xdr:colOff>
      <xdr:row>788</xdr:row>
      <xdr:rowOff>84667</xdr:rowOff>
    </xdr:to>
    <xdr:cxnSp macro="">
      <xdr:nvCxnSpPr>
        <xdr:cNvPr id="2765" name="Straight Arrow Connector 2764">
          <a:extLst>
            <a:ext uri="{FF2B5EF4-FFF2-40B4-BE49-F238E27FC236}">
              <a16:creationId xmlns:a16="http://schemas.microsoft.com/office/drawing/2014/main" id="{00000000-0008-0000-1200-0000CD0A0000}"/>
            </a:ext>
          </a:extLst>
        </xdr:cNvPr>
        <xdr:cNvCxnSpPr/>
      </xdr:nvCxnSpPr>
      <xdr:spPr>
        <a:xfrm>
          <a:off x="11355916"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785</xdr:row>
      <xdr:rowOff>52916</xdr:rowOff>
    </xdr:from>
    <xdr:to>
      <xdr:col>15</xdr:col>
      <xdr:colOff>592666</xdr:colOff>
      <xdr:row>791</xdr:row>
      <xdr:rowOff>63501</xdr:rowOff>
    </xdr:to>
    <xdr:cxnSp macro="">
      <xdr:nvCxnSpPr>
        <xdr:cNvPr id="2766" name="Straight Arrow Connector 2765">
          <a:extLst>
            <a:ext uri="{FF2B5EF4-FFF2-40B4-BE49-F238E27FC236}">
              <a16:creationId xmlns:a16="http://schemas.microsoft.com/office/drawing/2014/main" id="{00000000-0008-0000-1200-0000CE0A0000}"/>
            </a:ext>
          </a:extLst>
        </xdr:cNvPr>
        <xdr:cNvCxnSpPr/>
      </xdr:nvCxnSpPr>
      <xdr:spPr>
        <a:xfrm>
          <a:off x="11313583"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782</xdr:row>
      <xdr:rowOff>52917</xdr:rowOff>
    </xdr:from>
    <xdr:to>
      <xdr:col>15</xdr:col>
      <xdr:colOff>603250</xdr:colOff>
      <xdr:row>784</xdr:row>
      <xdr:rowOff>148167</xdr:rowOff>
    </xdr:to>
    <xdr:cxnSp macro="">
      <xdr:nvCxnSpPr>
        <xdr:cNvPr id="2767" name="Straight Arrow Connector 2766">
          <a:extLst>
            <a:ext uri="{FF2B5EF4-FFF2-40B4-BE49-F238E27FC236}">
              <a16:creationId xmlns:a16="http://schemas.microsoft.com/office/drawing/2014/main" id="{00000000-0008-0000-1200-0000CF0A0000}"/>
            </a:ext>
          </a:extLst>
        </xdr:cNvPr>
        <xdr:cNvCxnSpPr/>
      </xdr:nvCxnSpPr>
      <xdr:spPr>
        <a:xfrm flipV="1">
          <a:off x="11324166"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826</xdr:row>
      <xdr:rowOff>95250</xdr:rowOff>
    </xdr:from>
    <xdr:to>
      <xdr:col>8</xdr:col>
      <xdr:colOff>21167</xdr:colOff>
      <xdr:row>858</xdr:row>
      <xdr:rowOff>148166</xdr:rowOff>
    </xdr:to>
    <xdr:cxnSp macro="">
      <xdr:nvCxnSpPr>
        <xdr:cNvPr id="2768" name="Straight Arrow Connector 2767">
          <a:extLst>
            <a:ext uri="{FF2B5EF4-FFF2-40B4-BE49-F238E27FC236}">
              <a16:creationId xmlns:a16="http://schemas.microsoft.com/office/drawing/2014/main" id="{00000000-0008-0000-1200-0000D00A0000}"/>
            </a:ext>
          </a:extLst>
        </xdr:cNvPr>
        <xdr:cNvCxnSpPr/>
      </xdr:nvCxnSpPr>
      <xdr:spPr>
        <a:xfrm>
          <a:off x="5185833" y="722947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797</xdr:row>
      <xdr:rowOff>137583</xdr:rowOff>
    </xdr:from>
    <xdr:to>
      <xdr:col>9</xdr:col>
      <xdr:colOff>603250</xdr:colOff>
      <xdr:row>803</xdr:row>
      <xdr:rowOff>21166</xdr:rowOff>
    </xdr:to>
    <xdr:cxnSp macro="">
      <xdr:nvCxnSpPr>
        <xdr:cNvPr id="2769" name="Straight Arrow Connector 2768">
          <a:extLst>
            <a:ext uri="{FF2B5EF4-FFF2-40B4-BE49-F238E27FC236}">
              <a16:creationId xmlns:a16="http://schemas.microsoft.com/office/drawing/2014/main" id="{00000000-0008-0000-1200-0000D10A0000}"/>
            </a:ext>
          </a:extLst>
        </xdr:cNvPr>
        <xdr:cNvCxnSpPr/>
      </xdr:nvCxnSpPr>
      <xdr:spPr>
        <a:xfrm flipV="1">
          <a:off x="6688667"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806</xdr:row>
      <xdr:rowOff>0</xdr:rowOff>
    </xdr:from>
    <xdr:to>
      <xdr:col>9</xdr:col>
      <xdr:colOff>582083</xdr:colOff>
      <xdr:row>814</xdr:row>
      <xdr:rowOff>10583</xdr:rowOff>
    </xdr:to>
    <xdr:cxnSp macro="">
      <xdr:nvCxnSpPr>
        <xdr:cNvPr id="2770" name="Straight Arrow Connector 2769">
          <a:extLst>
            <a:ext uri="{FF2B5EF4-FFF2-40B4-BE49-F238E27FC236}">
              <a16:creationId xmlns:a16="http://schemas.microsoft.com/office/drawing/2014/main" id="{00000000-0008-0000-1200-0000D20A0000}"/>
            </a:ext>
          </a:extLst>
        </xdr:cNvPr>
        <xdr:cNvCxnSpPr/>
      </xdr:nvCxnSpPr>
      <xdr:spPr>
        <a:xfrm>
          <a:off x="6720417"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811</xdr:row>
      <xdr:rowOff>169333</xdr:rowOff>
    </xdr:from>
    <xdr:to>
      <xdr:col>11</xdr:col>
      <xdr:colOff>603250</xdr:colOff>
      <xdr:row>814</xdr:row>
      <xdr:rowOff>21167</xdr:rowOff>
    </xdr:to>
    <xdr:cxnSp macro="">
      <xdr:nvCxnSpPr>
        <xdr:cNvPr id="2771" name="Straight Arrow Connector 2770">
          <a:extLst>
            <a:ext uri="{FF2B5EF4-FFF2-40B4-BE49-F238E27FC236}">
              <a16:creationId xmlns:a16="http://schemas.microsoft.com/office/drawing/2014/main" id="{00000000-0008-0000-1200-0000D30A0000}"/>
            </a:ext>
          </a:extLst>
        </xdr:cNvPr>
        <xdr:cNvCxnSpPr/>
      </xdr:nvCxnSpPr>
      <xdr:spPr>
        <a:xfrm flipV="1">
          <a:off x="7937500"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817</xdr:row>
      <xdr:rowOff>42333</xdr:rowOff>
    </xdr:from>
    <xdr:to>
      <xdr:col>11</xdr:col>
      <xdr:colOff>603250</xdr:colOff>
      <xdr:row>829</xdr:row>
      <xdr:rowOff>10583</xdr:rowOff>
    </xdr:to>
    <xdr:cxnSp macro="">
      <xdr:nvCxnSpPr>
        <xdr:cNvPr id="2772" name="Straight Arrow Connector 2771">
          <a:extLst>
            <a:ext uri="{FF2B5EF4-FFF2-40B4-BE49-F238E27FC236}">
              <a16:creationId xmlns:a16="http://schemas.microsoft.com/office/drawing/2014/main" id="{00000000-0008-0000-1200-0000D40A0000}"/>
            </a:ext>
          </a:extLst>
        </xdr:cNvPr>
        <xdr:cNvCxnSpPr/>
      </xdr:nvCxnSpPr>
      <xdr:spPr>
        <a:xfrm>
          <a:off x="7926917"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807</xdr:row>
      <xdr:rowOff>21167</xdr:rowOff>
    </xdr:from>
    <xdr:to>
      <xdr:col>13</xdr:col>
      <xdr:colOff>592667</xdr:colOff>
      <xdr:row>809</xdr:row>
      <xdr:rowOff>0</xdr:rowOff>
    </xdr:to>
    <xdr:cxnSp macro="">
      <xdr:nvCxnSpPr>
        <xdr:cNvPr id="2773" name="Straight Arrow Connector 2772">
          <a:extLst>
            <a:ext uri="{FF2B5EF4-FFF2-40B4-BE49-F238E27FC236}">
              <a16:creationId xmlns:a16="http://schemas.microsoft.com/office/drawing/2014/main" id="{00000000-0008-0000-1200-0000D50A0000}"/>
            </a:ext>
          </a:extLst>
        </xdr:cNvPr>
        <xdr:cNvCxnSpPr/>
      </xdr:nvCxnSpPr>
      <xdr:spPr>
        <a:xfrm flipV="1">
          <a:off x="9133417" y="68410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812</xdr:row>
      <xdr:rowOff>21166</xdr:rowOff>
    </xdr:from>
    <xdr:to>
      <xdr:col>13</xdr:col>
      <xdr:colOff>592667</xdr:colOff>
      <xdr:row>813</xdr:row>
      <xdr:rowOff>169334</xdr:rowOff>
    </xdr:to>
    <xdr:cxnSp macro="">
      <xdr:nvCxnSpPr>
        <xdr:cNvPr id="2774" name="Straight Arrow Connector 2773">
          <a:extLst>
            <a:ext uri="{FF2B5EF4-FFF2-40B4-BE49-F238E27FC236}">
              <a16:creationId xmlns:a16="http://schemas.microsoft.com/office/drawing/2014/main" id="{00000000-0008-0000-1200-0000D60A0000}"/>
            </a:ext>
          </a:extLst>
        </xdr:cNvPr>
        <xdr:cNvCxnSpPr/>
      </xdr:nvCxnSpPr>
      <xdr:spPr>
        <a:xfrm>
          <a:off x="9122833" y="69363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799</xdr:row>
      <xdr:rowOff>0</xdr:rowOff>
    </xdr:from>
    <xdr:to>
      <xdr:col>15</xdr:col>
      <xdr:colOff>603250</xdr:colOff>
      <xdr:row>804</xdr:row>
      <xdr:rowOff>31750</xdr:rowOff>
    </xdr:to>
    <xdr:cxnSp macro="">
      <xdr:nvCxnSpPr>
        <xdr:cNvPr id="2777" name="Straight Arrow Connector 2776">
          <a:extLst>
            <a:ext uri="{FF2B5EF4-FFF2-40B4-BE49-F238E27FC236}">
              <a16:creationId xmlns:a16="http://schemas.microsoft.com/office/drawing/2014/main" id="{00000000-0008-0000-1200-0000D90A0000}"/>
            </a:ext>
          </a:extLst>
        </xdr:cNvPr>
        <xdr:cNvCxnSpPr/>
      </xdr:nvCxnSpPr>
      <xdr:spPr>
        <a:xfrm flipV="1">
          <a:off x="11281833"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802</xdr:row>
      <xdr:rowOff>52917</xdr:rowOff>
    </xdr:from>
    <xdr:to>
      <xdr:col>15</xdr:col>
      <xdr:colOff>603250</xdr:colOff>
      <xdr:row>804</xdr:row>
      <xdr:rowOff>95250</xdr:rowOff>
    </xdr:to>
    <xdr:cxnSp macro="">
      <xdr:nvCxnSpPr>
        <xdr:cNvPr id="2778" name="Straight Arrow Connector 2777">
          <a:extLst>
            <a:ext uri="{FF2B5EF4-FFF2-40B4-BE49-F238E27FC236}">
              <a16:creationId xmlns:a16="http://schemas.microsoft.com/office/drawing/2014/main" id="{00000000-0008-0000-1200-0000DA0A0000}"/>
            </a:ext>
          </a:extLst>
        </xdr:cNvPr>
        <xdr:cNvCxnSpPr/>
      </xdr:nvCxnSpPr>
      <xdr:spPr>
        <a:xfrm flipV="1">
          <a:off x="11324166"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804</xdr:row>
      <xdr:rowOff>158750</xdr:rowOff>
    </xdr:from>
    <xdr:to>
      <xdr:col>15</xdr:col>
      <xdr:colOff>582083</xdr:colOff>
      <xdr:row>805</xdr:row>
      <xdr:rowOff>137583</xdr:rowOff>
    </xdr:to>
    <xdr:cxnSp macro="">
      <xdr:nvCxnSpPr>
        <xdr:cNvPr id="2779" name="Straight Arrow Connector 2778">
          <a:extLst>
            <a:ext uri="{FF2B5EF4-FFF2-40B4-BE49-F238E27FC236}">
              <a16:creationId xmlns:a16="http://schemas.microsoft.com/office/drawing/2014/main" id="{00000000-0008-0000-1200-0000DB0A0000}"/>
            </a:ext>
          </a:extLst>
        </xdr:cNvPr>
        <xdr:cNvCxnSpPr/>
      </xdr:nvCxnSpPr>
      <xdr:spPr>
        <a:xfrm>
          <a:off x="11345333"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804</xdr:row>
      <xdr:rowOff>105834</xdr:rowOff>
    </xdr:from>
    <xdr:to>
      <xdr:col>16</xdr:col>
      <xdr:colOff>0</xdr:colOff>
      <xdr:row>808</xdr:row>
      <xdr:rowOff>84667</xdr:rowOff>
    </xdr:to>
    <xdr:cxnSp macro="">
      <xdr:nvCxnSpPr>
        <xdr:cNvPr id="2780" name="Straight Arrow Connector 2779">
          <a:extLst>
            <a:ext uri="{FF2B5EF4-FFF2-40B4-BE49-F238E27FC236}">
              <a16:creationId xmlns:a16="http://schemas.microsoft.com/office/drawing/2014/main" id="{00000000-0008-0000-1200-0000DC0A0000}"/>
            </a:ext>
          </a:extLst>
        </xdr:cNvPr>
        <xdr:cNvCxnSpPr/>
      </xdr:nvCxnSpPr>
      <xdr:spPr>
        <a:xfrm>
          <a:off x="11260667" y="67923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2784" name="Straight Arrow Connector 2783">
          <a:extLst>
            <a:ext uri="{FF2B5EF4-FFF2-40B4-BE49-F238E27FC236}">
              <a16:creationId xmlns:a16="http://schemas.microsoft.com/office/drawing/2014/main" id="{00000000-0008-0000-1200-0000E00A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851</xdr:row>
      <xdr:rowOff>42333</xdr:rowOff>
    </xdr:from>
    <xdr:to>
      <xdr:col>9</xdr:col>
      <xdr:colOff>592666</xdr:colOff>
      <xdr:row>859</xdr:row>
      <xdr:rowOff>42333</xdr:rowOff>
    </xdr:to>
    <xdr:cxnSp macro="">
      <xdr:nvCxnSpPr>
        <xdr:cNvPr id="2785" name="Straight Arrow Connector 2784">
          <a:extLst>
            <a:ext uri="{FF2B5EF4-FFF2-40B4-BE49-F238E27FC236}">
              <a16:creationId xmlns:a16="http://schemas.microsoft.com/office/drawing/2014/main" id="{00000000-0008-0000-1200-0000E10A0000}"/>
            </a:ext>
          </a:extLst>
        </xdr:cNvPr>
        <xdr:cNvCxnSpPr/>
      </xdr:nvCxnSpPr>
      <xdr:spPr>
        <a:xfrm flipV="1">
          <a:off x="6699250"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861</xdr:row>
      <xdr:rowOff>169334</xdr:rowOff>
    </xdr:from>
    <xdr:to>
      <xdr:col>9</xdr:col>
      <xdr:colOff>603250</xdr:colOff>
      <xdr:row>870</xdr:row>
      <xdr:rowOff>31750</xdr:rowOff>
    </xdr:to>
    <xdr:cxnSp macro="">
      <xdr:nvCxnSpPr>
        <xdr:cNvPr id="2786" name="Straight Arrow Connector 2785">
          <a:extLst>
            <a:ext uri="{FF2B5EF4-FFF2-40B4-BE49-F238E27FC236}">
              <a16:creationId xmlns:a16="http://schemas.microsoft.com/office/drawing/2014/main" id="{00000000-0008-0000-1200-0000E20A0000}"/>
            </a:ext>
          </a:extLst>
        </xdr:cNvPr>
        <xdr:cNvCxnSpPr/>
      </xdr:nvCxnSpPr>
      <xdr:spPr>
        <a:xfrm>
          <a:off x="6720417"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867</xdr:row>
      <xdr:rowOff>158750</xdr:rowOff>
    </xdr:from>
    <xdr:to>
      <xdr:col>11</xdr:col>
      <xdr:colOff>571500</xdr:colOff>
      <xdr:row>870</xdr:row>
      <xdr:rowOff>0</xdr:rowOff>
    </xdr:to>
    <xdr:cxnSp macro="">
      <xdr:nvCxnSpPr>
        <xdr:cNvPr id="2787" name="Straight Arrow Connector 2786">
          <a:extLst>
            <a:ext uri="{FF2B5EF4-FFF2-40B4-BE49-F238E27FC236}">
              <a16:creationId xmlns:a16="http://schemas.microsoft.com/office/drawing/2014/main" id="{00000000-0008-0000-1200-0000E30A0000}"/>
            </a:ext>
          </a:extLst>
        </xdr:cNvPr>
        <xdr:cNvCxnSpPr/>
      </xdr:nvCxnSpPr>
      <xdr:spPr>
        <a:xfrm flipV="1">
          <a:off x="7874000" y="80168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855</xdr:row>
      <xdr:rowOff>116416</xdr:rowOff>
    </xdr:from>
    <xdr:to>
      <xdr:col>15</xdr:col>
      <xdr:colOff>592666</xdr:colOff>
      <xdr:row>858</xdr:row>
      <xdr:rowOff>158750</xdr:rowOff>
    </xdr:to>
    <xdr:cxnSp macro="">
      <xdr:nvCxnSpPr>
        <xdr:cNvPr id="2795" name="Straight Arrow Connector 2794">
          <a:extLst>
            <a:ext uri="{FF2B5EF4-FFF2-40B4-BE49-F238E27FC236}">
              <a16:creationId xmlns:a16="http://schemas.microsoft.com/office/drawing/2014/main" id="{00000000-0008-0000-1200-0000EB0A0000}"/>
            </a:ext>
          </a:extLst>
        </xdr:cNvPr>
        <xdr:cNvCxnSpPr/>
      </xdr:nvCxnSpPr>
      <xdr:spPr>
        <a:xfrm flipV="1">
          <a:off x="11302999"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857</xdr:row>
      <xdr:rowOff>95250</xdr:rowOff>
    </xdr:from>
    <xdr:to>
      <xdr:col>15</xdr:col>
      <xdr:colOff>582083</xdr:colOff>
      <xdr:row>859</xdr:row>
      <xdr:rowOff>52917</xdr:rowOff>
    </xdr:to>
    <xdr:cxnSp macro="">
      <xdr:nvCxnSpPr>
        <xdr:cNvPr id="2796" name="Straight Arrow Connector 2795">
          <a:extLst>
            <a:ext uri="{FF2B5EF4-FFF2-40B4-BE49-F238E27FC236}">
              <a16:creationId xmlns:a16="http://schemas.microsoft.com/office/drawing/2014/main" id="{00000000-0008-0000-1200-0000EC0A0000}"/>
            </a:ext>
          </a:extLst>
        </xdr:cNvPr>
        <xdr:cNvCxnSpPr/>
      </xdr:nvCxnSpPr>
      <xdr:spPr>
        <a:xfrm flipV="1">
          <a:off x="11345333"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116417</xdr:rowOff>
    </xdr:from>
    <xdr:to>
      <xdr:col>15</xdr:col>
      <xdr:colOff>592666</xdr:colOff>
      <xdr:row>863</xdr:row>
      <xdr:rowOff>95250</xdr:rowOff>
    </xdr:to>
    <xdr:cxnSp macro="">
      <xdr:nvCxnSpPr>
        <xdr:cNvPr id="2797" name="Straight Arrow Connector 2796">
          <a:extLst>
            <a:ext uri="{FF2B5EF4-FFF2-40B4-BE49-F238E27FC236}">
              <a16:creationId xmlns:a16="http://schemas.microsoft.com/office/drawing/2014/main" id="{00000000-0008-0000-1200-0000ED0A0000}"/>
            </a:ext>
          </a:extLst>
        </xdr:cNvPr>
        <xdr:cNvCxnSpPr/>
      </xdr:nvCxnSpPr>
      <xdr:spPr>
        <a:xfrm>
          <a:off x="11334749"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870</xdr:row>
      <xdr:rowOff>116416</xdr:rowOff>
    </xdr:from>
    <xdr:to>
      <xdr:col>16</xdr:col>
      <xdr:colOff>0</xdr:colOff>
      <xdr:row>877</xdr:row>
      <xdr:rowOff>74084</xdr:rowOff>
    </xdr:to>
    <xdr:cxnSp macro="">
      <xdr:nvCxnSpPr>
        <xdr:cNvPr id="2798" name="Straight Arrow Connector 2797">
          <a:extLst>
            <a:ext uri="{FF2B5EF4-FFF2-40B4-BE49-F238E27FC236}">
              <a16:creationId xmlns:a16="http://schemas.microsoft.com/office/drawing/2014/main" id="{00000000-0008-0000-1200-0000EE0A0000}"/>
            </a:ext>
          </a:extLst>
        </xdr:cNvPr>
        <xdr:cNvCxnSpPr/>
      </xdr:nvCxnSpPr>
      <xdr:spPr>
        <a:xfrm>
          <a:off x="11313583" y="80697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873</xdr:row>
      <xdr:rowOff>42333</xdr:rowOff>
    </xdr:from>
    <xdr:to>
      <xdr:col>11</xdr:col>
      <xdr:colOff>603250</xdr:colOff>
      <xdr:row>885</xdr:row>
      <xdr:rowOff>10583</xdr:rowOff>
    </xdr:to>
    <xdr:cxnSp macro="">
      <xdr:nvCxnSpPr>
        <xdr:cNvPr id="2800" name="Straight Arrow Connector 2799">
          <a:extLst>
            <a:ext uri="{FF2B5EF4-FFF2-40B4-BE49-F238E27FC236}">
              <a16:creationId xmlns:a16="http://schemas.microsoft.com/office/drawing/2014/main" id="{00000000-0008-0000-1200-0000F00A0000}"/>
            </a:ext>
          </a:extLst>
        </xdr:cNvPr>
        <xdr:cNvCxnSpPr/>
      </xdr:nvCxnSpPr>
      <xdr:spPr>
        <a:xfrm>
          <a:off x="7926917"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863</xdr:row>
      <xdr:rowOff>21167</xdr:rowOff>
    </xdr:from>
    <xdr:to>
      <xdr:col>13</xdr:col>
      <xdr:colOff>592667</xdr:colOff>
      <xdr:row>865</xdr:row>
      <xdr:rowOff>0</xdr:rowOff>
    </xdr:to>
    <xdr:cxnSp macro="">
      <xdr:nvCxnSpPr>
        <xdr:cNvPr id="2801" name="Straight Arrow Connector 2800">
          <a:extLst>
            <a:ext uri="{FF2B5EF4-FFF2-40B4-BE49-F238E27FC236}">
              <a16:creationId xmlns:a16="http://schemas.microsoft.com/office/drawing/2014/main" id="{00000000-0008-0000-1200-0000F10A0000}"/>
            </a:ext>
          </a:extLst>
        </xdr:cNvPr>
        <xdr:cNvCxnSpPr/>
      </xdr:nvCxnSpPr>
      <xdr:spPr>
        <a:xfrm flipV="1">
          <a:off x="9133417" y="7926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868</xdr:row>
      <xdr:rowOff>21166</xdr:rowOff>
    </xdr:from>
    <xdr:to>
      <xdr:col>13</xdr:col>
      <xdr:colOff>592667</xdr:colOff>
      <xdr:row>869</xdr:row>
      <xdr:rowOff>169334</xdr:rowOff>
    </xdr:to>
    <xdr:cxnSp macro="">
      <xdr:nvCxnSpPr>
        <xdr:cNvPr id="2802" name="Straight Arrow Connector 2801">
          <a:extLst>
            <a:ext uri="{FF2B5EF4-FFF2-40B4-BE49-F238E27FC236}">
              <a16:creationId xmlns:a16="http://schemas.microsoft.com/office/drawing/2014/main" id="{00000000-0008-0000-1200-0000F20A0000}"/>
            </a:ext>
          </a:extLst>
        </xdr:cNvPr>
        <xdr:cNvCxnSpPr/>
      </xdr:nvCxnSpPr>
      <xdr:spPr>
        <a:xfrm>
          <a:off x="9122833" y="8022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883</xdr:row>
      <xdr:rowOff>21167</xdr:rowOff>
    </xdr:from>
    <xdr:to>
      <xdr:col>13</xdr:col>
      <xdr:colOff>592667</xdr:colOff>
      <xdr:row>885</xdr:row>
      <xdr:rowOff>63500</xdr:rowOff>
    </xdr:to>
    <xdr:cxnSp macro="">
      <xdr:nvCxnSpPr>
        <xdr:cNvPr id="2803" name="Straight Arrow Connector 2802">
          <a:extLst>
            <a:ext uri="{FF2B5EF4-FFF2-40B4-BE49-F238E27FC236}">
              <a16:creationId xmlns:a16="http://schemas.microsoft.com/office/drawing/2014/main" id="{00000000-0008-0000-1200-0000F30A0000}"/>
            </a:ext>
          </a:extLst>
        </xdr:cNvPr>
        <xdr:cNvCxnSpPr/>
      </xdr:nvCxnSpPr>
      <xdr:spPr>
        <a:xfrm flipV="1">
          <a:off x="952500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888</xdr:row>
      <xdr:rowOff>0</xdr:rowOff>
    </xdr:from>
    <xdr:to>
      <xdr:col>14</xdr:col>
      <xdr:colOff>10584</xdr:colOff>
      <xdr:row>896</xdr:row>
      <xdr:rowOff>148167</xdr:rowOff>
    </xdr:to>
    <xdr:cxnSp macro="">
      <xdr:nvCxnSpPr>
        <xdr:cNvPr id="2804" name="Straight Arrow Connector 2803">
          <a:extLst>
            <a:ext uri="{FF2B5EF4-FFF2-40B4-BE49-F238E27FC236}">
              <a16:creationId xmlns:a16="http://schemas.microsoft.com/office/drawing/2014/main" id="{00000000-0008-0000-1200-0000F40A0000}"/>
            </a:ext>
          </a:extLst>
        </xdr:cNvPr>
        <xdr:cNvCxnSpPr/>
      </xdr:nvCxnSpPr>
      <xdr:spPr>
        <a:xfrm>
          <a:off x="9535583" y="8420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95250</xdr:rowOff>
    </xdr:from>
    <xdr:to>
      <xdr:col>15</xdr:col>
      <xdr:colOff>582083</xdr:colOff>
      <xdr:row>861</xdr:row>
      <xdr:rowOff>137583</xdr:rowOff>
    </xdr:to>
    <xdr:cxnSp macro="">
      <xdr:nvCxnSpPr>
        <xdr:cNvPr id="2805" name="Straight Arrow Connector 2804">
          <a:extLst>
            <a:ext uri="{FF2B5EF4-FFF2-40B4-BE49-F238E27FC236}">
              <a16:creationId xmlns:a16="http://schemas.microsoft.com/office/drawing/2014/main" id="{00000000-0008-0000-1200-0000F50A0000}"/>
            </a:ext>
          </a:extLst>
        </xdr:cNvPr>
        <xdr:cNvCxnSpPr/>
      </xdr:nvCxnSpPr>
      <xdr:spPr>
        <a:xfrm>
          <a:off x="11334749"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868</xdr:row>
      <xdr:rowOff>52916</xdr:rowOff>
    </xdr:from>
    <xdr:to>
      <xdr:col>16</xdr:col>
      <xdr:colOff>0</xdr:colOff>
      <xdr:row>870</xdr:row>
      <xdr:rowOff>0</xdr:rowOff>
    </xdr:to>
    <xdr:cxnSp macro="">
      <xdr:nvCxnSpPr>
        <xdr:cNvPr id="2806" name="Straight Arrow Connector 2805">
          <a:extLst>
            <a:ext uri="{FF2B5EF4-FFF2-40B4-BE49-F238E27FC236}">
              <a16:creationId xmlns:a16="http://schemas.microsoft.com/office/drawing/2014/main" id="{00000000-0008-0000-1200-0000F60A0000}"/>
            </a:ext>
          </a:extLst>
        </xdr:cNvPr>
        <xdr:cNvCxnSpPr/>
      </xdr:nvCxnSpPr>
      <xdr:spPr>
        <a:xfrm flipV="1">
          <a:off x="11281833" y="8025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21167</xdr:rowOff>
    </xdr:from>
    <xdr:to>
      <xdr:col>15</xdr:col>
      <xdr:colOff>592666</xdr:colOff>
      <xdr:row>871</xdr:row>
      <xdr:rowOff>84667</xdr:rowOff>
    </xdr:to>
    <xdr:cxnSp macro="">
      <xdr:nvCxnSpPr>
        <xdr:cNvPr id="2807" name="Straight Arrow Connector 2806">
          <a:extLst>
            <a:ext uri="{FF2B5EF4-FFF2-40B4-BE49-F238E27FC236}">
              <a16:creationId xmlns:a16="http://schemas.microsoft.com/office/drawing/2014/main" id="{00000000-0008-0000-1200-0000F70A0000}"/>
            </a:ext>
          </a:extLst>
        </xdr:cNvPr>
        <xdr:cNvCxnSpPr/>
      </xdr:nvCxnSpPr>
      <xdr:spPr>
        <a:xfrm>
          <a:off x="11271250"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0</xdr:rowOff>
    </xdr:from>
    <xdr:to>
      <xdr:col>16</xdr:col>
      <xdr:colOff>0</xdr:colOff>
      <xdr:row>874</xdr:row>
      <xdr:rowOff>42334</xdr:rowOff>
    </xdr:to>
    <xdr:cxnSp macro="">
      <xdr:nvCxnSpPr>
        <xdr:cNvPr id="2808" name="Straight Arrow Connector 2807">
          <a:extLst>
            <a:ext uri="{FF2B5EF4-FFF2-40B4-BE49-F238E27FC236}">
              <a16:creationId xmlns:a16="http://schemas.microsoft.com/office/drawing/2014/main" id="{00000000-0008-0000-1200-0000F80A0000}"/>
            </a:ext>
          </a:extLst>
        </xdr:cNvPr>
        <xdr:cNvCxnSpPr/>
      </xdr:nvCxnSpPr>
      <xdr:spPr>
        <a:xfrm>
          <a:off x="11271250" y="80581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881</xdr:row>
      <xdr:rowOff>0</xdr:rowOff>
    </xdr:from>
    <xdr:to>
      <xdr:col>15</xdr:col>
      <xdr:colOff>603250</xdr:colOff>
      <xdr:row>883</xdr:row>
      <xdr:rowOff>1</xdr:rowOff>
    </xdr:to>
    <xdr:cxnSp macro="">
      <xdr:nvCxnSpPr>
        <xdr:cNvPr id="2809" name="Straight Arrow Connector 2808">
          <a:extLst>
            <a:ext uri="{FF2B5EF4-FFF2-40B4-BE49-F238E27FC236}">
              <a16:creationId xmlns:a16="http://schemas.microsoft.com/office/drawing/2014/main" id="{00000000-0008-0000-1200-0000F90A0000}"/>
            </a:ext>
          </a:extLst>
        </xdr:cNvPr>
        <xdr:cNvCxnSpPr/>
      </xdr:nvCxnSpPr>
      <xdr:spPr>
        <a:xfrm flipV="1">
          <a:off x="11271250"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883</xdr:row>
      <xdr:rowOff>10584</xdr:rowOff>
    </xdr:from>
    <xdr:to>
      <xdr:col>15</xdr:col>
      <xdr:colOff>592666</xdr:colOff>
      <xdr:row>884</xdr:row>
      <xdr:rowOff>95250</xdr:rowOff>
    </xdr:to>
    <xdr:cxnSp macro="">
      <xdr:nvCxnSpPr>
        <xdr:cNvPr id="2810" name="Straight Arrow Connector 2809">
          <a:extLst>
            <a:ext uri="{FF2B5EF4-FFF2-40B4-BE49-F238E27FC236}">
              <a16:creationId xmlns:a16="http://schemas.microsoft.com/office/drawing/2014/main" id="{00000000-0008-0000-1200-0000FA0A0000}"/>
            </a:ext>
          </a:extLst>
        </xdr:cNvPr>
        <xdr:cNvCxnSpPr/>
      </xdr:nvCxnSpPr>
      <xdr:spPr>
        <a:xfrm>
          <a:off x="11313583"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883</xdr:row>
      <xdr:rowOff>10584</xdr:rowOff>
    </xdr:from>
    <xdr:to>
      <xdr:col>15</xdr:col>
      <xdr:colOff>560916</xdr:colOff>
      <xdr:row>887</xdr:row>
      <xdr:rowOff>52917</xdr:rowOff>
    </xdr:to>
    <xdr:cxnSp macro="">
      <xdr:nvCxnSpPr>
        <xdr:cNvPr id="2811" name="Straight Arrow Connector 2810">
          <a:extLst>
            <a:ext uri="{FF2B5EF4-FFF2-40B4-BE49-F238E27FC236}">
              <a16:creationId xmlns:a16="http://schemas.microsoft.com/office/drawing/2014/main" id="{00000000-0008-0000-1200-0000FB0A0000}"/>
            </a:ext>
          </a:extLst>
        </xdr:cNvPr>
        <xdr:cNvCxnSpPr/>
      </xdr:nvCxnSpPr>
      <xdr:spPr>
        <a:xfrm>
          <a:off x="11292416"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812" name="Straight Arrow Connector 2811">
          <a:extLst>
            <a:ext uri="{FF2B5EF4-FFF2-40B4-BE49-F238E27FC236}">
              <a16:creationId xmlns:a16="http://schemas.microsoft.com/office/drawing/2014/main" id="{00000000-0008-0000-1200-0000FC0A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897</xdr:row>
      <xdr:rowOff>0</xdr:rowOff>
    </xdr:from>
    <xdr:to>
      <xdr:col>16</xdr:col>
      <xdr:colOff>0</xdr:colOff>
      <xdr:row>897</xdr:row>
      <xdr:rowOff>42334</xdr:rowOff>
    </xdr:to>
    <xdr:cxnSp macro="">
      <xdr:nvCxnSpPr>
        <xdr:cNvPr id="2813" name="Straight Arrow Connector 2812">
          <a:extLst>
            <a:ext uri="{FF2B5EF4-FFF2-40B4-BE49-F238E27FC236}">
              <a16:creationId xmlns:a16="http://schemas.microsoft.com/office/drawing/2014/main" id="{00000000-0008-0000-1200-0000FD0A0000}"/>
            </a:ext>
          </a:extLst>
        </xdr:cNvPr>
        <xdr:cNvCxnSpPr/>
      </xdr:nvCxnSpPr>
      <xdr:spPr>
        <a:xfrm>
          <a:off x="11302999" y="8591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897</xdr:row>
      <xdr:rowOff>21166</xdr:rowOff>
    </xdr:from>
    <xdr:to>
      <xdr:col>15</xdr:col>
      <xdr:colOff>560916</xdr:colOff>
      <xdr:row>900</xdr:row>
      <xdr:rowOff>84667</xdr:rowOff>
    </xdr:to>
    <xdr:cxnSp macro="">
      <xdr:nvCxnSpPr>
        <xdr:cNvPr id="2814" name="Straight Arrow Connector 2813">
          <a:extLst>
            <a:ext uri="{FF2B5EF4-FFF2-40B4-BE49-F238E27FC236}">
              <a16:creationId xmlns:a16="http://schemas.microsoft.com/office/drawing/2014/main" id="{00000000-0008-0000-1200-0000FE0A0000}"/>
            </a:ext>
          </a:extLst>
        </xdr:cNvPr>
        <xdr:cNvCxnSpPr/>
      </xdr:nvCxnSpPr>
      <xdr:spPr>
        <a:xfrm>
          <a:off x="11355916"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897</xdr:row>
      <xdr:rowOff>52916</xdr:rowOff>
    </xdr:from>
    <xdr:to>
      <xdr:col>15</xdr:col>
      <xdr:colOff>592666</xdr:colOff>
      <xdr:row>903</xdr:row>
      <xdr:rowOff>63501</xdr:rowOff>
    </xdr:to>
    <xdr:cxnSp macro="">
      <xdr:nvCxnSpPr>
        <xdr:cNvPr id="2815" name="Straight Arrow Connector 2814">
          <a:extLst>
            <a:ext uri="{FF2B5EF4-FFF2-40B4-BE49-F238E27FC236}">
              <a16:creationId xmlns:a16="http://schemas.microsoft.com/office/drawing/2014/main" id="{00000000-0008-0000-1200-0000FF0A0000}"/>
            </a:ext>
          </a:extLst>
        </xdr:cNvPr>
        <xdr:cNvCxnSpPr/>
      </xdr:nvCxnSpPr>
      <xdr:spPr>
        <a:xfrm>
          <a:off x="11313583"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894</xdr:row>
      <xdr:rowOff>52917</xdr:rowOff>
    </xdr:from>
    <xdr:to>
      <xdr:col>15</xdr:col>
      <xdr:colOff>603250</xdr:colOff>
      <xdr:row>896</xdr:row>
      <xdr:rowOff>148167</xdr:rowOff>
    </xdr:to>
    <xdr:cxnSp macro="">
      <xdr:nvCxnSpPr>
        <xdr:cNvPr id="2816" name="Straight Arrow Connector 2815">
          <a:extLst>
            <a:ext uri="{FF2B5EF4-FFF2-40B4-BE49-F238E27FC236}">
              <a16:creationId xmlns:a16="http://schemas.microsoft.com/office/drawing/2014/main" id="{00000000-0008-0000-1200-0000000B0000}"/>
            </a:ext>
          </a:extLst>
        </xdr:cNvPr>
        <xdr:cNvCxnSpPr/>
      </xdr:nvCxnSpPr>
      <xdr:spPr>
        <a:xfrm flipV="1">
          <a:off x="11324166"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805</xdr:row>
      <xdr:rowOff>127000</xdr:rowOff>
    </xdr:from>
    <xdr:to>
      <xdr:col>8</xdr:col>
      <xdr:colOff>63500</xdr:colOff>
      <xdr:row>824</xdr:row>
      <xdr:rowOff>0</xdr:rowOff>
    </xdr:to>
    <xdr:cxnSp macro="">
      <xdr:nvCxnSpPr>
        <xdr:cNvPr id="2817" name="Straight Arrow Connector 2816">
          <a:extLst>
            <a:ext uri="{FF2B5EF4-FFF2-40B4-BE49-F238E27FC236}">
              <a16:creationId xmlns:a16="http://schemas.microsoft.com/office/drawing/2014/main" id="{00000000-0008-0000-1200-0000010B0000}"/>
            </a:ext>
          </a:extLst>
        </xdr:cNvPr>
        <xdr:cNvCxnSpPr/>
      </xdr:nvCxnSpPr>
      <xdr:spPr>
        <a:xfrm flipV="1">
          <a:off x="5492750" y="681355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587</xdr:row>
      <xdr:rowOff>169333</xdr:rowOff>
    </xdr:from>
    <xdr:to>
      <xdr:col>11</xdr:col>
      <xdr:colOff>603250</xdr:colOff>
      <xdr:row>590</xdr:row>
      <xdr:rowOff>21167</xdr:rowOff>
    </xdr:to>
    <xdr:cxnSp macro="">
      <xdr:nvCxnSpPr>
        <xdr:cNvPr id="2820" name="Straight Arrow Connector 2819">
          <a:extLst>
            <a:ext uri="{FF2B5EF4-FFF2-40B4-BE49-F238E27FC236}">
              <a16:creationId xmlns:a16="http://schemas.microsoft.com/office/drawing/2014/main" id="{00000000-0008-0000-1200-0000040B0000}"/>
            </a:ext>
          </a:extLst>
        </xdr:cNvPr>
        <xdr:cNvCxnSpPr/>
      </xdr:nvCxnSpPr>
      <xdr:spPr>
        <a:xfrm flipV="1">
          <a:off x="7937500"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593</xdr:row>
      <xdr:rowOff>42333</xdr:rowOff>
    </xdr:from>
    <xdr:to>
      <xdr:col>11</xdr:col>
      <xdr:colOff>603250</xdr:colOff>
      <xdr:row>605</xdr:row>
      <xdr:rowOff>10583</xdr:rowOff>
    </xdr:to>
    <xdr:cxnSp macro="">
      <xdr:nvCxnSpPr>
        <xdr:cNvPr id="2821" name="Straight Arrow Connector 2820">
          <a:extLst>
            <a:ext uri="{FF2B5EF4-FFF2-40B4-BE49-F238E27FC236}">
              <a16:creationId xmlns:a16="http://schemas.microsoft.com/office/drawing/2014/main" id="{00000000-0008-0000-1200-0000050B0000}"/>
            </a:ext>
          </a:extLst>
        </xdr:cNvPr>
        <xdr:cNvCxnSpPr/>
      </xdr:nvCxnSpPr>
      <xdr:spPr>
        <a:xfrm>
          <a:off x="7926917"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583</xdr:row>
      <xdr:rowOff>21167</xdr:rowOff>
    </xdr:from>
    <xdr:to>
      <xdr:col>13</xdr:col>
      <xdr:colOff>592667</xdr:colOff>
      <xdr:row>585</xdr:row>
      <xdr:rowOff>0</xdr:rowOff>
    </xdr:to>
    <xdr:cxnSp macro="">
      <xdr:nvCxnSpPr>
        <xdr:cNvPr id="2822" name="Straight Arrow Connector 2821">
          <a:extLst>
            <a:ext uri="{FF2B5EF4-FFF2-40B4-BE49-F238E27FC236}">
              <a16:creationId xmlns:a16="http://schemas.microsoft.com/office/drawing/2014/main" id="{00000000-0008-0000-1200-0000060B0000}"/>
            </a:ext>
          </a:extLst>
        </xdr:cNvPr>
        <xdr:cNvCxnSpPr/>
      </xdr:nvCxnSpPr>
      <xdr:spPr>
        <a:xfrm flipV="1">
          <a:off x="9133417" y="24976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588</xdr:row>
      <xdr:rowOff>21166</xdr:rowOff>
    </xdr:from>
    <xdr:to>
      <xdr:col>13</xdr:col>
      <xdr:colOff>592667</xdr:colOff>
      <xdr:row>589</xdr:row>
      <xdr:rowOff>169334</xdr:rowOff>
    </xdr:to>
    <xdr:cxnSp macro="">
      <xdr:nvCxnSpPr>
        <xdr:cNvPr id="2823" name="Straight Arrow Connector 2822">
          <a:extLst>
            <a:ext uri="{FF2B5EF4-FFF2-40B4-BE49-F238E27FC236}">
              <a16:creationId xmlns:a16="http://schemas.microsoft.com/office/drawing/2014/main" id="{00000000-0008-0000-1200-0000070B0000}"/>
            </a:ext>
          </a:extLst>
        </xdr:cNvPr>
        <xdr:cNvCxnSpPr/>
      </xdr:nvCxnSpPr>
      <xdr:spPr>
        <a:xfrm>
          <a:off x="9088966" y="112035166"/>
          <a:ext cx="990601"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603</xdr:row>
      <xdr:rowOff>21167</xdr:rowOff>
    </xdr:from>
    <xdr:to>
      <xdr:col>13</xdr:col>
      <xdr:colOff>592667</xdr:colOff>
      <xdr:row>605</xdr:row>
      <xdr:rowOff>63500</xdr:rowOff>
    </xdr:to>
    <xdr:cxnSp macro="">
      <xdr:nvCxnSpPr>
        <xdr:cNvPr id="2824" name="Straight Arrow Connector 2823">
          <a:extLst>
            <a:ext uri="{FF2B5EF4-FFF2-40B4-BE49-F238E27FC236}">
              <a16:creationId xmlns:a16="http://schemas.microsoft.com/office/drawing/2014/main" id="{00000000-0008-0000-1200-0000080B0000}"/>
            </a:ext>
          </a:extLst>
        </xdr:cNvPr>
        <xdr:cNvCxnSpPr/>
      </xdr:nvCxnSpPr>
      <xdr:spPr>
        <a:xfrm flipV="1">
          <a:off x="952500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608</xdr:row>
      <xdr:rowOff>0</xdr:rowOff>
    </xdr:from>
    <xdr:to>
      <xdr:col>14</xdr:col>
      <xdr:colOff>10584</xdr:colOff>
      <xdr:row>616</xdr:row>
      <xdr:rowOff>148167</xdr:rowOff>
    </xdr:to>
    <xdr:cxnSp macro="">
      <xdr:nvCxnSpPr>
        <xdr:cNvPr id="2825" name="Straight Arrow Connector 2824">
          <a:extLst>
            <a:ext uri="{FF2B5EF4-FFF2-40B4-BE49-F238E27FC236}">
              <a16:creationId xmlns:a16="http://schemas.microsoft.com/office/drawing/2014/main" id="{00000000-0008-0000-1200-0000090B0000}"/>
            </a:ext>
          </a:extLst>
        </xdr:cNvPr>
        <xdr:cNvCxnSpPr/>
      </xdr:nvCxnSpPr>
      <xdr:spPr>
        <a:xfrm>
          <a:off x="9535583" y="29908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575</xdr:row>
      <xdr:rowOff>0</xdr:rowOff>
    </xdr:from>
    <xdr:to>
      <xdr:col>15</xdr:col>
      <xdr:colOff>603250</xdr:colOff>
      <xdr:row>580</xdr:row>
      <xdr:rowOff>31750</xdr:rowOff>
    </xdr:to>
    <xdr:cxnSp macro="">
      <xdr:nvCxnSpPr>
        <xdr:cNvPr id="2826" name="Straight Arrow Connector 2825">
          <a:extLst>
            <a:ext uri="{FF2B5EF4-FFF2-40B4-BE49-F238E27FC236}">
              <a16:creationId xmlns:a16="http://schemas.microsoft.com/office/drawing/2014/main" id="{00000000-0008-0000-1200-00000A0B0000}"/>
            </a:ext>
          </a:extLst>
        </xdr:cNvPr>
        <xdr:cNvCxnSpPr/>
      </xdr:nvCxnSpPr>
      <xdr:spPr>
        <a:xfrm flipV="1">
          <a:off x="11281833"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578</xdr:row>
      <xdr:rowOff>52917</xdr:rowOff>
    </xdr:from>
    <xdr:to>
      <xdr:col>15</xdr:col>
      <xdr:colOff>603250</xdr:colOff>
      <xdr:row>580</xdr:row>
      <xdr:rowOff>95250</xdr:rowOff>
    </xdr:to>
    <xdr:cxnSp macro="">
      <xdr:nvCxnSpPr>
        <xdr:cNvPr id="2827" name="Straight Arrow Connector 2826">
          <a:extLst>
            <a:ext uri="{FF2B5EF4-FFF2-40B4-BE49-F238E27FC236}">
              <a16:creationId xmlns:a16="http://schemas.microsoft.com/office/drawing/2014/main" id="{00000000-0008-0000-1200-00000B0B0000}"/>
            </a:ext>
          </a:extLst>
        </xdr:cNvPr>
        <xdr:cNvCxnSpPr/>
      </xdr:nvCxnSpPr>
      <xdr:spPr>
        <a:xfrm flipV="1">
          <a:off x="11324166"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580</xdr:row>
      <xdr:rowOff>158750</xdr:rowOff>
    </xdr:from>
    <xdr:to>
      <xdr:col>15</xdr:col>
      <xdr:colOff>582083</xdr:colOff>
      <xdr:row>581</xdr:row>
      <xdr:rowOff>137583</xdr:rowOff>
    </xdr:to>
    <xdr:cxnSp macro="">
      <xdr:nvCxnSpPr>
        <xdr:cNvPr id="2828" name="Straight Arrow Connector 2827">
          <a:extLst>
            <a:ext uri="{FF2B5EF4-FFF2-40B4-BE49-F238E27FC236}">
              <a16:creationId xmlns:a16="http://schemas.microsoft.com/office/drawing/2014/main" id="{00000000-0008-0000-1200-00000C0B0000}"/>
            </a:ext>
          </a:extLst>
        </xdr:cNvPr>
        <xdr:cNvCxnSpPr/>
      </xdr:nvCxnSpPr>
      <xdr:spPr>
        <a:xfrm>
          <a:off x="11345333"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580</xdr:row>
      <xdr:rowOff>105834</xdr:rowOff>
    </xdr:from>
    <xdr:to>
      <xdr:col>16</xdr:col>
      <xdr:colOff>0</xdr:colOff>
      <xdr:row>584</xdr:row>
      <xdr:rowOff>84667</xdr:rowOff>
    </xdr:to>
    <xdr:cxnSp macro="">
      <xdr:nvCxnSpPr>
        <xdr:cNvPr id="2829" name="Straight Arrow Connector 2828">
          <a:extLst>
            <a:ext uri="{FF2B5EF4-FFF2-40B4-BE49-F238E27FC236}">
              <a16:creationId xmlns:a16="http://schemas.microsoft.com/office/drawing/2014/main" id="{00000000-0008-0000-1200-00000D0B0000}"/>
            </a:ext>
          </a:extLst>
        </xdr:cNvPr>
        <xdr:cNvCxnSpPr/>
      </xdr:nvCxnSpPr>
      <xdr:spPr>
        <a:xfrm>
          <a:off x="11260667" y="24489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588</xdr:row>
      <xdr:rowOff>52916</xdr:rowOff>
    </xdr:from>
    <xdr:to>
      <xdr:col>16</xdr:col>
      <xdr:colOff>0</xdr:colOff>
      <xdr:row>590</xdr:row>
      <xdr:rowOff>0</xdr:rowOff>
    </xdr:to>
    <xdr:cxnSp macro="">
      <xdr:nvCxnSpPr>
        <xdr:cNvPr id="2830" name="Straight Arrow Connector 2829">
          <a:extLst>
            <a:ext uri="{FF2B5EF4-FFF2-40B4-BE49-F238E27FC236}">
              <a16:creationId xmlns:a16="http://schemas.microsoft.com/office/drawing/2014/main" id="{00000000-0008-0000-1200-00000E0B0000}"/>
            </a:ext>
          </a:extLst>
        </xdr:cNvPr>
        <xdr:cNvCxnSpPr/>
      </xdr:nvCxnSpPr>
      <xdr:spPr>
        <a:xfrm flipV="1">
          <a:off x="11281833" y="25960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590</xdr:row>
      <xdr:rowOff>21167</xdr:rowOff>
    </xdr:from>
    <xdr:to>
      <xdr:col>15</xdr:col>
      <xdr:colOff>582083</xdr:colOff>
      <xdr:row>591</xdr:row>
      <xdr:rowOff>42333</xdr:rowOff>
    </xdr:to>
    <xdr:cxnSp macro="">
      <xdr:nvCxnSpPr>
        <xdr:cNvPr id="2831" name="Straight Arrow Connector 2830">
          <a:extLst>
            <a:ext uri="{FF2B5EF4-FFF2-40B4-BE49-F238E27FC236}">
              <a16:creationId xmlns:a16="http://schemas.microsoft.com/office/drawing/2014/main" id="{00000000-0008-0000-1200-00000F0B0000}"/>
            </a:ext>
          </a:extLst>
        </xdr:cNvPr>
        <xdr:cNvCxnSpPr/>
      </xdr:nvCxnSpPr>
      <xdr:spPr>
        <a:xfrm>
          <a:off x="11292416"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590</xdr:row>
      <xdr:rowOff>21167</xdr:rowOff>
    </xdr:from>
    <xdr:to>
      <xdr:col>16</xdr:col>
      <xdr:colOff>42333</xdr:colOff>
      <xdr:row>595</xdr:row>
      <xdr:rowOff>21168</xdr:rowOff>
    </xdr:to>
    <xdr:cxnSp macro="">
      <xdr:nvCxnSpPr>
        <xdr:cNvPr id="2832" name="Straight Arrow Connector 2831">
          <a:extLst>
            <a:ext uri="{FF2B5EF4-FFF2-40B4-BE49-F238E27FC236}">
              <a16:creationId xmlns:a16="http://schemas.microsoft.com/office/drawing/2014/main" id="{00000000-0008-0000-1200-0000100B0000}"/>
            </a:ext>
          </a:extLst>
        </xdr:cNvPr>
        <xdr:cNvCxnSpPr/>
      </xdr:nvCxnSpPr>
      <xdr:spPr>
        <a:xfrm>
          <a:off x="11271250" y="26310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2833" name="Straight Arrow Connector 2832">
          <a:extLst>
            <a:ext uri="{FF2B5EF4-FFF2-40B4-BE49-F238E27FC236}">
              <a16:creationId xmlns:a16="http://schemas.microsoft.com/office/drawing/2014/main" id="{00000000-0008-0000-1200-0000110B0000}"/>
            </a:ext>
          </a:extLst>
        </xdr:cNvPr>
        <xdr:cNvCxnSpPr/>
      </xdr:nvCxnSpPr>
      <xdr:spPr>
        <a:xfrm>
          <a:off x="11281833" y="263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643</xdr:row>
      <xdr:rowOff>158750</xdr:rowOff>
    </xdr:from>
    <xdr:to>
      <xdr:col>11</xdr:col>
      <xdr:colOff>571500</xdr:colOff>
      <xdr:row>646</xdr:row>
      <xdr:rowOff>0</xdr:rowOff>
    </xdr:to>
    <xdr:cxnSp macro="">
      <xdr:nvCxnSpPr>
        <xdr:cNvPr id="2834" name="Straight Arrow Connector 2833">
          <a:extLst>
            <a:ext uri="{FF2B5EF4-FFF2-40B4-BE49-F238E27FC236}">
              <a16:creationId xmlns:a16="http://schemas.microsoft.com/office/drawing/2014/main" id="{00000000-0008-0000-1200-0000120B0000}"/>
            </a:ext>
          </a:extLst>
        </xdr:cNvPr>
        <xdr:cNvCxnSpPr/>
      </xdr:nvCxnSpPr>
      <xdr:spPr>
        <a:xfrm flipV="1">
          <a:off x="7874000" y="36734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601</xdr:row>
      <xdr:rowOff>0</xdr:rowOff>
    </xdr:from>
    <xdr:to>
      <xdr:col>15</xdr:col>
      <xdr:colOff>603250</xdr:colOff>
      <xdr:row>603</xdr:row>
      <xdr:rowOff>1</xdr:rowOff>
    </xdr:to>
    <xdr:cxnSp macro="">
      <xdr:nvCxnSpPr>
        <xdr:cNvPr id="2835" name="Straight Arrow Connector 2834">
          <a:extLst>
            <a:ext uri="{FF2B5EF4-FFF2-40B4-BE49-F238E27FC236}">
              <a16:creationId xmlns:a16="http://schemas.microsoft.com/office/drawing/2014/main" id="{00000000-0008-0000-1200-0000130B0000}"/>
            </a:ext>
          </a:extLst>
        </xdr:cNvPr>
        <xdr:cNvCxnSpPr/>
      </xdr:nvCxnSpPr>
      <xdr:spPr>
        <a:xfrm flipV="1">
          <a:off x="11271250"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603</xdr:row>
      <xdr:rowOff>10584</xdr:rowOff>
    </xdr:from>
    <xdr:to>
      <xdr:col>15</xdr:col>
      <xdr:colOff>592666</xdr:colOff>
      <xdr:row>604</xdr:row>
      <xdr:rowOff>95250</xdr:rowOff>
    </xdr:to>
    <xdr:cxnSp macro="">
      <xdr:nvCxnSpPr>
        <xdr:cNvPr id="2836" name="Straight Arrow Connector 2835">
          <a:extLst>
            <a:ext uri="{FF2B5EF4-FFF2-40B4-BE49-F238E27FC236}">
              <a16:creationId xmlns:a16="http://schemas.microsoft.com/office/drawing/2014/main" id="{00000000-0008-0000-1200-0000140B0000}"/>
            </a:ext>
          </a:extLst>
        </xdr:cNvPr>
        <xdr:cNvCxnSpPr/>
      </xdr:nvCxnSpPr>
      <xdr:spPr>
        <a:xfrm>
          <a:off x="11313583"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603</xdr:row>
      <xdr:rowOff>10584</xdr:rowOff>
    </xdr:from>
    <xdr:to>
      <xdr:col>15</xdr:col>
      <xdr:colOff>560916</xdr:colOff>
      <xdr:row>607</xdr:row>
      <xdr:rowOff>52917</xdr:rowOff>
    </xdr:to>
    <xdr:cxnSp macro="">
      <xdr:nvCxnSpPr>
        <xdr:cNvPr id="2837" name="Straight Arrow Connector 2836">
          <a:extLst>
            <a:ext uri="{FF2B5EF4-FFF2-40B4-BE49-F238E27FC236}">
              <a16:creationId xmlns:a16="http://schemas.microsoft.com/office/drawing/2014/main" id="{00000000-0008-0000-1200-0000150B0000}"/>
            </a:ext>
          </a:extLst>
        </xdr:cNvPr>
        <xdr:cNvCxnSpPr/>
      </xdr:nvCxnSpPr>
      <xdr:spPr>
        <a:xfrm>
          <a:off x="11292416"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838" name="Straight Arrow Connector 2837">
          <a:extLst>
            <a:ext uri="{FF2B5EF4-FFF2-40B4-BE49-F238E27FC236}">
              <a16:creationId xmlns:a16="http://schemas.microsoft.com/office/drawing/2014/main" id="{00000000-0008-0000-1200-0000160B0000}"/>
            </a:ext>
          </a:extLst>
        </xdr:cNvPr>
        <xdr:cNvCxnSpPr/>
      </xdr:nvCxnSpPr>
      <xdr:spPr>
        <a:xfrm>
          <a:off x="11324166" y="28987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617</xdr:row>
      <xdr:rowOff>0</xdr:rowOff>
    </xdr:from>
    <xdr:to>
      <xdr:col>16</xdr:col>
      <xdr:colOff>0</xdr:colOff>
      <xdr:row>617</xdr:row>
      <xdr:rowOff>42334</xdr:rowOff>
    </xdr:to>
    <xdr:cxnSp macro="">
      <xdr:nvCxnSpPr>
        <xdr:cNvPr id="2839" name="Straight Arrow Connector 2838">
          <a:extLst>
            <a:ext uri="{FF2B5EF4-FFF2-40B4-BE49-F238E27FC236}">
              <a16:creationId xmlns:a16="http://schemas.microsoft.com/office/drawing/2014/main" id="{00000000-0008-0000-1200-0000170B0000}"/>
            </a:ext>
          </a:extLst>
        </xdr:cNvPr>
        <xdr:cNvCxnSpPr/>
      </xdr:nvCxnSpPr>
      <xdr:spPr>
        <a:xfrm>
          <a:off x="11302999" y="31623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617</xdr:row>
      <xdr:rowOff>21166</xdr:rowOff>
    </xdr:from>
    <xdr:to>
      <xdr:col>15</xdr:col>
      <xdr:colOff>560916</xdr:colOff>
      <xdr:row>620</xdr:row>
      <xdr:rowOff>84667</xdr:rowOff>
    </xdr:to>
    <xdr:cxnSp macro="">
      <xdr:nvCxnSpPr>
        <xdr:cNvPr id="2840" name="Straight Arrow Connector 2839">
          <a:extLst>
            <a:ext uri="{FF2B5EF4-FFF2-40B4-BE49-F238E27FC236}">
              <a16:creationId xmlns:a16="http://schemas.microsoft.com/office/drawing/2014/main" id="{00000000-0008-0000-1200-0000180B0000}"/>
            </a:ext>
          </a:extLst>
        </xdr:cNvPr>
        <xdr:cNvCxnSpPr/>
      </xdr:nvCxnSpPr>
      <xdr:spPr>
        <a:xfrm>
          <a:off x="11355916"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617</xdr:row>
      <xdr:rowOff>52916</xdr:rowOff>
    </xdr:from>
    <xdr:to>
      <xdr:col>15</xdr:col>
      <xdr:colOff>592666</xdr:colOff>
      <xdr:row>623</xdr:row>
      <xdr:rowOff>63501</xdr:rowOff>
    </xdr:to>
    <xdr:cxnSp macro="">
      <xdr:nvCxnSpPr>
        <xdr:cNvPr id="2841" name="Straight Arrow Connector 2840">
          <a:extLst>
            <a:ext uri="{FF2B5EF4-FFF2-40B4-BE49-F238E27FC236}">
              <a16:creationId xmlns:a16="http://schemas.microsoft.com/office/drawing/2014/main" id="{00000000-0008-0000-1200-0000190B0000}"/>
            </a:ext>
          </a:extLst>
        </xdr:cNvPr>
        <xdr:cNvCxnSpPr/>
      </xdr:nvCxnSpPr>
      <xdr:spPr>
        <a:xfrm>
          <a:off x="11313583"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631</xdr:row>
      <xdr:rowOff>116416</xdr:rowOff>
    </xdr:from>
    <xdr:to>
      <xdr:col>15</xdr:col>
      <xdr:colOff>592666</xdr:colOff>
      <xdr:row>634</xdr:row>
      <xdr:rowOff>158750</xdr:rowOff>
    </xdr:to>
    <xdr:cxnSp macro="">
      <xdr:nvCxnSpPr>
        <xdr:cNvPr id="2842" name="Straight Arrow Connector 2841">
          <a:extLst>
            <a:ext uri="{FF2B5EF4-FFF2-40B4-BE49-F238E27FC236}">
              <a16:creationId xmlns:a16="http://schemas.microsoft.com/office/drawing/2014/main" id="{00000000-0008-0000-1200-00001A0B0000}"/>
            </a:ext>
          </a:extLst>
        </xdr:cNvPr>
        <xdr:cNvCxnSpPr/>
      </xdr:nvCxnSpPr>
      <xdr:spPr>
        <a:xfrm flipV="1">
          <a:off x="11302999"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633</xdr:row>
      <xdr:rowOff>95250</xdr:rowOff>
    </xdr:from>
    <xdr:to>
      <xdr:col>15</xdr:col>
      <xdr:colOff>582083</xdr:colOff>
      <xdr:row>635</xdr:row>
      <xdr:rowOff>52917</xdr:rowOff>
    </xdr:to>
    <xdr:cxnSp macro="">
      <xdr:nvCxnSpPr>
        <xdr:cNvPr id="2843" name="Straight Arrow Connector 2842">
          <a:extLst>
            <a:ext uri="{FF2B5EF4-FFF2-40B4-BE49-F238E27FC236}">
              <a16:creationId xmlns:a16="http://schemas.microsoft.com/office/drawing/2014/main" id="{00000000-0008-0000-1200-00001B0B0000}"/>
            </a:ext>
          </a:extLst>
        </xdr:cNvPr>
        <xdr:cNvCxnSpPr/>
      </xdr:nvCxnSpPr>
      <xdr:spPr>
        <a:xfrm flipV="1">
          <a:off x="11345333"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116417</xdr:rowOff>
    </xdr:from>
    <xdr:to>
      <xdr:col>15</xdr:col>
      <xdr:colOff>592666</xdr:colOff>
      <xdr:row>639</xdr:row>
      <xdr:rowOff>95250</xdr:rowOff>
    </xdr:to>
    <xdr:cxnSp macro="">
      <xdr:nvCxnSpPr>
        <xdr:cNvPr id="2844" name="Straight Arrow Connector 2843">
          <a:extLst>
            <a:ext uri="{FF2B5EF4-FFF2-40B4-BE49-F238E27FC236}">
              <a16:creationId xmlns:a16="http://schemas.microsoft.com/office/drawing/2014/main" id="{00000000-0008-0000-1200-00001C0B0000}"/>
            </a:ext>
          </a:extLst>
        </xdr:cNvPr>
        <xdr:cNvCxnSpPr/>
      </xdr:nvCxnSpPr>
      <xdr:spPr>
        <a:xfrm>
          <a:off x="11334749"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646</xdr:row>
      <xdr:rowOff>116416</xdr:rowOff>
    </xdr:from>
    <xdr:to>
      <xdr:col>16</xdr:col>
      <xdr:colOff>0</xdr:colOff>
      <xdr:row>653</xdr:row>
      <xdr:rowOff>74084</xdr:rowOff>
    </xdr:to>
    <xdr:cxnSp macro="">
      <xdr:nvCxnSpPr>
        <xdr:cNvPr id="2845" name="Straight Arrow Connector 2844">
          <a:extLst>
            <a:ext uri="{FF2B5EF4-FFF2-40B4-BE49-F238E27FC236}">
              <a16:creationId xmlns:a16="http://schemas.microsoft.com/office/drawing/2014/main" id="{00000000-0008-0000-1200-00001D0B0000}"/>
            </a:ext>
          </a:extLst>
        </xdr:cNvPr>
        <xdr:cNvCxnSpPr/>
      </xdr:nvCxnSpPr>
      <xdr:spPr>
        <a:xfrm>
          <a:off x="11313583" y="37263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614</xdr:row>
      <xdr:rowOff>52917</xdr:rowOff>
    </xdr:from>
    <xdr:to>
      <xdr:col>15</xdr:col>
      <xdr:colOff>603250</xdr:colOff>
      <xdr:row>616</xdr:row>
      <xdr:rowOff>148167</xdr:rowOff>
    </xdr:to>
    <xdr:cxnSp macro="">
      <xdr:nvCxnSpPr>
        <xdr:cNvPr id="2846" name="Straight Arrow Connector 2845">
          <a:extLst>
            <a:ext uri="{FF2B5EF4-FFF2-40B4-BE49-F238E27FC236}">
              <a16:creationId xmlns:a16="http://schemas.microsoft.com/office/drawing/2014/main" id="{00000000-0008-0000-1200-00001E0B0000}"/>
            </a:ext>
          </a:extLst>
        </xdr:cNvPr>
        <xdr:cNvCxnSpPr/>
      </xdr:nvCxnSpPr>
      <xdr:spPr>
        <a:xfrm flipV="1">
          <a:off x="11324166"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649</xdr:row>
      <xdr:rowOff>42333</xdr:rowOff>
    </xdr:from>
    <xdr:to>
      <xdr:col>11</xdr:col>
      <xdr:colOff>603250</xdr:colOff>
      <xdr:row>661</xdr:row>
      <xdr:rowOff>10583</xdr:rowOff>
    </xdr:to>
    <xdr:cxnSp macro="">
      <xdr:nvCxnSpPr>
        <xdr:cNvPr id="2847" name="Straight Arrow Connector 2846">
          <a:extLst>
            <a:ext uri="{FF2B5EF4-FFF2-40B4-BE49-F238E27FC236}">
              <a16:creationId xmlns:a16="http://schemas.microsoft.com/office/drawing/2014/main" id="{00000000-0008-0000-1200-00001F0B0000}"/>
            </a:ext>
          </a:extLst>
        </xdr:cNvPr>
        <xdr:cNvCxnSpPr/>
      </xdr:nvCxnSpPr>
      <xdr:spPr>
        <a:xfrm>
          <a:off x="7926917"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639</xdr:row>
      <xdr:rowOff>21167</xdr:rowOff>
    </xdr:from>
    <xdr:to>
      <xdr:col>13</xdr:col>
      <xdr:colOff>592667</xdr:colOff>
      <xdr:row>641</xdr:row>
      <xdr:rowOff>0</xdr:rowOff>
    </xdr:to>
    <xdr:cxnSp macro="">
      <xdr:nvCxnSpPr>
        <xdr:cNvPr id="2848" name="Straight Arrow Connector 2847">
          <a:extLst>
            <a:ext uri="{FF2B5EF4-FFF2-40B4-BE49-F238E27FC236}">
              <a16:creationId xmlns:a16="http://schemas.microsoft.com/office/drawing/2014/main" id="{00000000-0008-0000-1200-0000200B0000}"/>
            </a:ext>
          </a:extLst>
        </xdr:cNvPr>
        <xdr:cNvCxnSpPr/>
      </xdr:nvCxnSpPr>
      <xdr:spPr>
        <a:xfrm flipV="1">
          <a:off x="9133417" y="35835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644</xdr:row>
      <xdr:rowOff>21166</xdr:rowOff>
    </xdr:from>
    <xdr:to>
      <xdr:col>13</xdr:col>
      <xdr:colOff>592667</xdr:colOff>
      <xdr:row>645</xdr:row>
      <xdr:rowOff>169334</xdr:rowOff>
    </xdr:to>
    <xdr:cxnSp macro="">
      <xdr:nvCxnSpPr>
        <xdr:cNvPr id="2849" name="Straight Arrow Connector 2848">
          <a:extLst>
            <a:ext uri="{FF2B5EF4-FFF2-40B4-BE49-F238E27FC236}">
              <a16:creationId xmlns:a16="http://schemas.microsoft.com/office/drawing/2014/main" id="{00000000-0008-0000-1200-0000210B0000}"/>
            </a:ext>
          </a:extLst>
        </xdr:cNvPr>
        <xdr:cNvCxnSpPr/>
      </xdr:nvCxnSpPr>
      <xdr:spPr>
        <a:xfrm>
          <a:off x="9122833" y="36787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659</xdr:row>
      <xdr:rowOff>21167</xdr:rowOff>
    </xdr:from>
    <xdr:to>
      <xdr:col>13</xdr:col>
      <xdr:colOff>592667</xdr:colOff>
      <xdr:row>661</xdr:row>
      <xdr:rowOff>63500</xdr:rowOff>
    </xdr:to>
    <xdr:cxnSp macro="">
      <xdr:nvCxnSpPr>
        <xdr:cNvPr id="2850" name="Straight Arrow Connector 2849">
          <a:extLst>
            <a:ext uri="{FF2B5EF4-FFF2-40B4-BE49-F238E27FC236}">
              <a16:creationId xmlns:a16="http://schemas.microsoft.com/office/drawing/2014/main" id="{00000000-0008-0000-1200-0000220B0000}"/>
            </a:ext>
          </a:extLst>
        </xdr:cNvPr>
        <xdr:cNvCxnSpPr/>
      </xdr:nvCxnSpPr>
      <xdr:spPr>
        <a:xfrm flipV="1">
          <a:off x="952500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664</xdr:row>
      <xdr:rowOff>0</xdr:rowOff>
    </xdr:from>
    <xdr:to>
      <xdr:col>14</xdr:col>
      <xdr:colOff>10584</xdr:colOff>
      <xdr:row>672</xdr:row>
      <xdr:rowOff>148167</xdr:rowOff>
    </xdr:to>
    <xdr:cxnSp macro="">
      <xdr:nvCxnSpPr>
        <xdr:cNvPr id="2851" name="Straight Arrow Connector 2850">
          <a:extLst>
            <a:ext uri="{FF2B5EF4-FFF2-40B4-BE49-F238E27FC236}">
              <a16:creationId xmlns:a16="http://schemas.microsoft.com/office/drawing/2014/main" id="{00000000-0008-0000-1200-0000230B0000}"/>
            </a:ext>
          </a:extLst>
        </xdr:cNvPr>
        <xdr:cNvCxnSpPr/>
      </xdr:nvCxnSpPr>
      <xdr:spPr>
        <a:xfrm>
          <a:off x="9535583" y="40767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635</xdr:row>
      <xdr:rowOff>95250</xdr:rowOff>
    </xdr:from>
    <xdr:to>
      <xdr:col>15</xdr:col>
      <xdr:colOff>582083</xdr:colOff>
      <xdr:row>637</xdr:row>
      <xdr:rowOff>137583</xdr:rowOff>
    </xdr:to>
    <xdr:cxnSp macro="">
      <xdr:nvCxnSpPr>
        <xdr:cNvPr id="2852" name="Straight Arrow Connector 2851">
          <a:extLst>
            <a:ext uri="{FF2B5EF4-FFF2-40B4-BE49-F238E27FC236}">
              <a16:creationId xmlns:a16="http://schemas.microsoft.com/office/drawing/2014/main" id="{00000000-0008-0000-1200-0000240B0000}"/>
            </a:ext>
          </a:extLst>
        </xdr:cNvPr>
        <xdr:cNvCxnSpPr/>
      </xdr:nvCxnSpPr>
      <xdr:spPr>
        <a:xfrm>
          <a:off x="11334749"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644</xdr:row>
      <xdr:rowOff>52916</xdr:rowOff>
    </xdr:from>
    <xdr:to>
      <xdr:col>16</xdr:col>
      <xdr:colOff>0</xdr:colOff>
      <xdr:row>646</xdr:row>
      <xdr:rowOff>0</xdr:rowOff>
    </xdr:to>
    <xdr:cxnSp macro="">
      <xdr:nvCxnSpPr>
        <xdr:cNvPr id="2853" name="Straight Arrow Connector 2852">
          <a:extLst>
            <a:ext uri="{FF2B5EF4-FFF2-40B4-BE49-F238E27FC236}">
              <a16:creationId xmlns:a16="http://schemas.microsoft.com/office/drawing/2014/main" id="{00000000-0008-0000-1200-0000250B0000}"/>
            </a:ext>
          </a:extLst>
        </xdr:cNvPr>
        <xdr:cNvCxnSpPr/>
      </xdr:nvCxnSpPr>
      <xdr:spPr>
        <a:xfrm flipV="1">
          <a:off x="11281833" y="36819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21167</xdr:rowOff>
    </xdr:from>
    <xdr:to>
      <xdr:col>15</xdr:col>
      <xdr:colOff>592666</xdr:colOff>
      <xdr:row>647</xdr:row>
      <xdr:rowOff>84667</xdr:rowOff>
    </xdr:to>
    <xdr:cxnSp macro="">
      <xdr:nvCxnSpPr>
        <xdr:cNvPr id="2854" name="Straight Arrow Connector 2853">
          <a:extLst>
            <a:ext uri="{FF2B5EF4-FFF2-40B4-BE49-F238E27FC236}">
              <a16:creationId xmlns:a16="http://schemas.microsoft.com/office/drawing/2014/main" id="{00000000-0008-0000-1200-0000260B0000}"/>
            </a:ext>
          </a:extLst>
        </xdr:cNvPr>
        <xdr:cNvCxnSpPr/>
      </xdr:nvCxnSpPr>
      <xdr:spPr>
        <a:xfrm>
          <a:off x="11271250"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646</xdr:row>
      <xdr:rowOff>0</xdr:rowOff>
    </xdr:from>
    <xdr:to>
      <xdr:col>16</xdr:col>
      <xdr:colOff>0</xdr:colOff>
      <xdr:row>650</xdr:row>
      <xdr:rowOff>42334</xdr:rowOff>
    </xdr:to>
    <xdr:cxnSp macro="">
      <xdr:nvCxnSpPr>
        <xdr:cNvPr id="2855" name="Straight Arrow Connector 2854">
          <a:extLst>
            <a:ext uri="{FF2B5EF4-FFF2-40B4-BE49-F238E27FC236}">
              <a16:creationId xmlns:a16="http://schemas.microsoft.com/office/drawing/2014/main" id="{00000000-0008-0000-1200-0000270B0000}"/>
            </a:ext>
          </a:extLst>
        </xdr:cNvPr>
        <xdr:cNvCxnSpPr/>
      </xdr:nvCxnSpPr>
      <xdr:spPr>
        <a:xfrm>
          <a:off x="11271250" y="37147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657</xdr:row>
      <xdr:rowOff>0</xdr:rowOff>
    </xdr:from>
    <xdr:to>
      <xdr:col>15</xdr:col>
      <xdr:colOff>603250</xdr:colOff>
      <xdr:row>659</xdr:row>
      <xdr:rowOff>1</xdr:rowOff>
    </xdr:to>
    <xdr:cxnSp macro="">
      <xdr:nvCxnSpPr>
        <xdr:cNvPr id="2856" name="Straight Arrow Connector 2855">
          <a:extLst>
            <a:ext uri="{FF2B5EF4-FFF2-40B4-BE49-F238E27FC236}">
              <a16:creationId xmlns:a16="http://schemas.microsoft.com/office/drawing/2014/main" id="{00000000-0008-0000-1200-0000280B0000}"/>
            </a:ext>
          </a:extLst>
        </xdr:cNvPr>
        <xdr:cNvCxnSpPr/>
      </xdr:nvCxnSpPr>
      <xdr:spPr>
        <a:xfrm flipV="1">
          <a:off x="11271250"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659</xdr:row>
      <xdr:rowOff>10584</xdr:rowOff>
    </xdr:from>
    <xdr:to>
      <xdr:col>15</xdr:col>
      <xdr:colOff>592666</xdr:colOff>
      <xdr:row>660</xdr:row>
      <xdr:rowOff>95250</xdr:rowOff>
    </xdr:to>
    <xdr:cxnSp macro="">
      <xdr:nvCxnSpPr>
        <xdr:cNvPr id="2857" name="Straight Arrow Connector 2856">
          <a:extLst>
            <a:ext uri="{FF2B5EF4-FFF2-40B4-BE49-F238E27FC236}">
              <a16:creationId xmlns:a16="http://schemas.microsoft.com/office/drawing/2014/main" id="{00000000-0008-0000-1200-0000290B0000}"/>
            </a:ext>
          </a:extLst>
        </xdr:cNvPr>
        <xdr:cNvCxnSpPr/>
      </xdr:nvCxnSpPr>
      <xdr:spPr>
        <a:xfrm>
          <a:off x="11313583"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659</xdr:row>
      <xdr:rowOff>10584</xdr:rowOff>
    </xdr:from>
    <xdr:to>
      <xdr:col>15</xdr:col>
      <xdr:colOff>560916</xdr:colOff>
      <xdr:row>663</xdr:row>
      <xdr:rowOff>52917</xdr:rowOff>
    </xdr:to>
    <xdr:cxnSp macro="">
      <xdr:nvCxnSpPr>
        <xdr:cNvPr id="2858" name="Straight Arrow Connector 2857">
          <a:extLst>
            <a:ext uri="{FF2B5EF4-FFF2-40B4-BE49-F238E27FC236}">
              <a16:creationId xmlns:a16="http://schemas.microsoft.com/office/drawing/2014/main" id="{00000000-0008-0000-1200-00002A0B0000}"/>
            </a:ext>
          </a:extLst>
        </xdr:cNvPr>
        <xdr:cNvCxnSpPr/>
      </xdr:nvCxnSpPr>
      <xdr:spPr>
        <a:xfrm>
          <a:off x="11292416"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859" name="Straight Arrow Connector 2858">
          <a:extLst>
            <a:ext uri="{FF2B5EF4-FFF2-40B4-BE49-F238E27FC236}">
              <a16:creationId xmlns:a16="http://schemas.microsoft.com/office/drawing/2014/main" id="{00000000-0008-0000-1200-00002B0B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673</xdr:row>
      <xdr:rowOff>0</xdr:rowOff>
    </xdr:from>
    <xdr:to>
      <xdr:col>16</xdr:col>
      <xdr:colOff>0</xdr:colOff>
      <xdr:row>673</xdr:row>
      <xdr:rowOff>42334</xdr:rowOff>
    </xdr:to>
    <xdr:cxnSp macro="">
      <xdr:nvCxnSpPr>
        <xdr:cNvPr id="2860" name="Straight Arrow Connector 2859">
          <a:extLst>
            <a:ext uri="{FF2B5EF4-FFF2-40B4-BE49-F238E27FC236}">
              <a16:creationId xmlns:a16="http://schemas.microsoft.com/office/drawing/2014/main" id="{00000000-0008-0000-1200-00002C0B0000}"/>
            </a:ext>
          </a:extLst>
        </xdr:cNvPr>
        <xdr:cNvCxnSpPr/>
      </xdr:nvCxnSpPr>
      <xdr:spPr>
        <a:xfrm>
          <a:off x="11302999" y="42481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673</xdr:row>
      <xdr:rowOff>21166</xdr:rowOff>
    </xdr:from>
    <xdr:to>
      <xdr:col>15</xdr:col>
      <xdr:colOff>560916</xdr:colOff>
      <xdr:row>676</xdr:row>
      <xdr:rowOff>84667</xdr:rowOff>
    </xdr:to>
    <xdr:cxnSp macro="">
      <xdr:nvCxnSpPr>
        <xdr:cNvPr id="2861" name="Straight Arrow Connector 2860">
          <a:extLst>
            <a:ext uri="{FF2B5EF4-FFF2-40B4-BE49-F238E27FC236}">
              <a16:creationId xmlns:a16="http://schemas.microsoft.com/office/drawing/2014/main" id="{00000000-0008-0000-1200-00002D0B0000}"/>
            </a:ext>
          </a:extLst>
        </xdr:cNvPr>
        <xdr:cNvCxnSpPr/>
      </xdr:nvCxnSpPr>
      <xdr:spPr>
        <a:xfrm>
          <a:off x="11355916"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673</xdr:row>
      <xdr:rowOff>52916</xdr:rowOff>
    </xdr:from>
    <xdr:to>
      <xdr:col>15</xdr:col>
      <xdr:colOff>592666</xdr:colOff>
      <xdr:row>679</xdr:row>
      <xdr:rowOff>63501</xdr:rowOff>
    </xdr:to>
    <xdr:cxnSp macro="">
      <xdr:nvCxnSpPr>
        <xdr:cNvPr id="2862" name="Straight Arrow Connector 2861">
          <a:extLst>
            <a:ext uri="{FF2B5EF4-FFF2-40B4-BE49-F238E27FC236}">
              <a16:creationId xmlns:a16="http://schemas.microsoft.com/office/drawing/2014/main" id="{00000000-0008-0000-1200-00002E0B0000}"/>
            </a:ext>
          </a:extLst>
        </xdr:cNvPr>
        <xdr:cNvCxnSpPr/>
      </xdr:nvCxnSpPr>
      <xdr:spPr>
        <a:xfrm>
          <a:off x="11313583"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670</xdr:row>
      <xdr:rowOff>52917</xdr:rowOff>
    </xdr:from>
    <xdr:to>
      <xdr:col>15</xdr:col>
      <xdr:colOff>603250</xdr:colOff>
      <xdr:row>672</xdr:row>
      <xdr:rowOff>148167</xdr:rowOff>
    </xdr:to>
    <xdr:cxnSp macro="">
      <xdr:nvCxnSpPr>
        <xdr:cNvPr id="2863" name="Straight Arrow Connector 2862">
          <a:extLst>
            <a:ext uri="{FF2B5EF4-FFF2-40B4-BE49-F238E27FC236}">
              <a16:creationId xmlns:a16="http://schemas.microsoft.com/office/drawing/2014/main" id="{00000000-0008-0000-1200-00002F0B0000}"/>
            </a:ext>
          </a:extLst>
        </xdr:cNvPr>
        <xdr:cNvCxnSpPr/>
      </xdr:nvCxnSpPr>
      <xdr:spPr>
        <a:xfrm flipV="1">
          <a:off x="11324166"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864" name="Straight Arrow Connector 2863">
          <a:extLst>
            <a:ext uri="{FF2B5EF4-FFF2-40B4-BE49-F238E27FC236}">
              <a16:creationId xmlns:a16="http://schemas.microsoft.com/office/drawing/2014/main" id="{00000000-0008-0000-1200-0000300B0000}"/>
            </a:ext>
          </a:extLst>
        </xdr:cNvPr>
        <xdr:cNvCxnSpPr/>
      </xdr:nvCxnSpPr>
      <xdr:spPr>
        <a:xfrm>
          <a:off x="11281833" y="37179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865" name="Straight Arrow Connector 2864">
          <a:extLst>
            <a:ext uri="{FF2B5EF4-FFF2-40B4-BE49-F238E27FC236}">
              <a16:creationId xmlns:a16="http://schemas.microsoft.com/office/drawing/2014/main" id="{00000000-0008-0000-1200-0000310B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866" name="Straight Arrow Connector 2865">
          <a:extLst>
            <a:ext uri="{FF2B5EF4-FFF2-40B4-BE49-F238E27FC236}">
              <a16:creationId xmlns:a16="http://schemas.microsoft.com/office/drawing/2014/main" id="{00000000-0008-0000-1200-0000320B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867" name="Straight Arrow Connector 2866">
          <a:extLst>
            <a:ext uri="{FF2B5EF4-FFF2-40B4-BE49-F238E27FC236}">
              <a16:creationId xmlns:a16="http://schemas.microsoft.com/office/drawing/2014/main" id="{00000000-0008-0000-1200-0000330B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868" name="Straight Arrow Connector 2867">
          <a:extLst>
            <a:ext uri="{FF2B5EF4-FFF2-40B4-BE49-F238E27FC236}">
              <a16:creationId xmlns:a16="http://schemas.microsoft.com/office/drawing/2014/main" id="{00000000-0008-0000-1200-0000340B0000}"/>
            </a:ext>
          </a:extLst>
        </xdr:cNvPr>
        <xdr:cNvCxnSpPr/>
      </xdr:nvCxnSpPr>
      <xdr:spPr>
        <a:xfrm>
          <a:off x="11281833" y="480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869" name="Straight Arrow Connector 2868">
          <a:extLst>
            <a:ext uri="{FF2B5EF4-FFF2-40B4-BE49-F238E27FC236}">
              <a16:creationId xmlns:a16="http://schemas.microsoft.com/office/drawing/2014/main" id="{00000000-0008-0000-1200-0000350B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785</xdr:row>
      <xdr:rowOff>21167</xdr:rowOff>
    </xdr:from>
    <xdr:to>
      <xdr:col>15</xdr:col>
      <xdr:colOff>592666</xdr:colOff>
      <xdr:row>786</xdr:row>
      <xdr:rowOff>84667</xdr:rowOff>
    </xdr:to>
    <xdr:cxnSp macro="">
      <xdr:nvCxnSpPr>
        <xdr:cNvPr id="2870" name="Straight Arrow Connector 2869">
          <a:extLst>
            <a:ext uri="{FF2B5EF4-FFF2-40B4-BE49-F238E27FC236}">
              <a16:creationId xmlns:a16="http://schemas.microsoft.com/office/drawing/2014/main" id="{00000000-0008-0000-1200-0000360B0000}"/>
            </a:ext>
          </a:extLst>
        </xdr:cNvPr>
        <xdr:cNvCxnSpPr/>
      </xdr:nvCxnSpPr>
      <xdr:spPr>
        <a:xfrm>
          <a:off x="11271250" y="64219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871" name="Straight Arrow Connector 2870">
          <a:extLst>
            <a:ext uri="{FF2B5EF4-FFF2-40B4-BE49-F238E27FC236}">
              <a16:creationId xmlns:a16="http://schemas.microsoft.com/office/drawing/2014/main" id="{00000000-0008-0000-1200-0000370B0000}"/>
            </a:ext>
          </a:extLst>
        </xdr:cNvPr>
        <xdr:cNvCxnSpPr/>
      </xdr:nvCxnSpPr>
      <xdr:spPr>
        <a:xfrm>
          <a:off x="11281833" y="588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872" name="Straight Arrow Connector 2871">
          <a:extLst>
            <a:ext uri="{FF2B5EF4-FFF2-40B4-BE49-F238E27FC236}">
              <a16:creationId xmlns:a16="http://schemas.microsoft.com/office/drawing/2014/main" id="{00000000-0008-0000-1200-0000380B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873" name="Straight Arrow Connector 2872">
          <a:extLst>
            <a:ext uri="{FF2B5EF4-FFF2-40B4-BE49-F238E27FC236}">
              <a16:creationId xmlns:a16="http://schemas.microsoft.com/office/drawing/2014/main" id="{00000000-0008-0000-1200-0000390B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874" name="Straight Arrow Connector 2873">
          <a:extLst>
            <a:ext uri="{FF2B5EF4-FFF2-40B4-BE49-F238E27FC236}">
              <a16:creationId xmlns:a16="http://schemas.microsoft.com/office/drawing/2014/main" id="{00000000-0008-0000-1200-00003A0B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875" name="Straight Arrow Connector 2874">
          <a:extLst>
            <a:ext uri="{FF2B5EF4-FFF2-40B4-BE49-F238E27FC236}">
              <a16:creationId xmlns:a16="http://schemas.microsoft.com/office/drawing/2014/main" id="{00000000-0008-0000-1200-00003B0B0000}"/>
            </a:ext>
          </a:extLst>
        </xdr:cNvPr>
        <xdr:cNvCxnSpPr/>
      </xdr:nvCxnSpPr>
      <xdr:spPr>
        <a:xfrm>
          <a:off x="11281833" y="588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876" name="Straight Arrow Connector 2875">
          <a:extLst>
            <a:ext uri="{FF2B5EF4-FFF2-40B4-BE49-F238E27FC236}">
              <a16:creationId xmlns:a16="http://schemas.microsoft.com/office/drawing/2014/main" id="{00000000-0008-0000-1200-00003C0B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811</xdr:row>
      <xdr:rowOff>169333</xdr:rowOff>
    </xdr:from>
    <xdr:to>
      <xdr:col>11</xdr:col>
      <xdr:colOff>603250</xdr:colOff>
      <xdr:row>814</xdr:row>
      <xdr:rowOff>21167</xdr:rowOff>
    </xdr:to>
    <xdr:cxnSp macro="">
      <xdr:nvCxnSpPr>
        <xdr:cNvPr id="2877" name="Straight Arrow Connector 2876">
          <a:extLst>
            <a:ext uri="{FF2B5EF4-FFF2-40B4-BE49-F238E27FC236}">
              <a16:creationId xmlns:a16="http://schemas.microsoft.com/office/drawing/2014/main" id="{00000000-0008-0000-1200-00003D0B0000}"/>
            </a:ext>
          </a:extLst>
        </xdr:cNvPr>
        <xdr:cNvCxnSpPr/>
      </xdr:nvCxnSpPr>
      <xdr:spPr>
        <a:xfrm flipV="1">
          <a:off x="7937500"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817</xdr:row>
      <xdr:rowOff>42333</xdr:rowOff>
    </xdr:from>
    <xdr:to>
      <xdr:col>11</xdr:col>
      <xdr:colOff>603250</xdr:colOff>
      <xdr:row>829</xdr:row>
      <xdr:rowOff>10583</xdr:rowOff>
    </xdr:to>
    <xdr:cxnSp macro="">
      <xdr:nvCxnSpPr>
        <xdr:cNvPr id="2878" name="Straight Arrow Connector 2877">
          <a:extLst>
            <a:ext uri="{FF2B5EF4-FFF2-40B4-BE49-F238E27FC236}">
              <a16:creationId xmlns:a16="http://schemas.microsoft.com/office/drawing/2014/main" id="{00000000-0008-0000-1200-00003E0B0000}"/>
            </a:ext>
          </a:extLst>
        </xdr:cNvPr>
        <xdr:cNvCxnSpPr/>
      </xdr:nvCxnSpPr>
      <xdr:spPr>
        <a:xfrm>
          <a:off x="7926917"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807</xdr:row>
      <xdr:rowOff>21167</xdr:rowOff>
    </xdr:from>
    <xdr:to>
      <xdr:col>13</xdr:col>
      <xdr:colOff>592667</xdr:colOff>
      <xdr:row>809</xdr:row>
      <xdr:rowOff>0</xdr:rowOff>
    </xdr:to>
    <xdr:cxnSp macro="">
      <xdr:nvCxnSpPr>
        <xdr:cNvPr id="2879" name="Straight Arrow Connector 2878">
          <a:extLst>
            <a:ext uri="{FF2B5EF4-FFF2-40B4-BE49-F238E27FC236}">
              <a16:creationId xmlns:a16="http://schemas.microsoft.com/office/drawing/2014/main" id="{00000000-0008-0000-1200-00003F0B0000}"/>
            </a:ext>
          </a:extLst>
        </xdr:cNvPr>
        <xdr:cNvCxnSpPr/>
      </xdr:nvCxnSpPr>
      <xdr:spPr>
        <a:xfrm flipV="1">
          <a:off x="9133417" y="68410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812</xdr:row>
      <xdr:rowOff>21166</xdr:rowOff>
    </xdr:from>
    <xdr:to>
      <xdr:col>13</xdr:col>
      <xdr:colOff>592667</xdr:colOff>
      <xdr:row>813</xdr:row>
      <xdr:rowOff>169334</xdr:rowOff>
    </xdr:to>
    <xdr:cxnSp macro="">
      <xdr:nvCxnSpPr>
        <xdr:cNvPr id="2880" name="Straight Arrow Connector 2879">
          <a:extLst>
            <a:ext uri="{FF2B5EF4-FFF2-40B4-BE49-F238E27FC236}">
              <a16:creationId xmlns:a16="http://schemas.microsoft.com/office/drawing/2014/main" id="{00000000-0008-0000-1200-0000400B0000}"/>
            </a:ext>
          </a:extLst>
        </xdr:cNvPr>
        <xdr:cNvCxnSpPr/>
      </xdr:nvCxnSpPr>
      <xdr:spPr>
        <a:xfrm>
          <a:off x="9122833" y="69363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799</xdr:row>
      <xdr:rowOff>0</xdr:rowOff>
    </xdr:from>
    <xdr:to>
      <xdr:col>15</xdr:col>
      <xdr:colOff>603250</xdr:colOff>
      <xdr:row>804</xdr:row>
      <xdr:rowOff>31750</xdr:rowOff>
    </xdr:to>
    <xdr:cxnSp macro="">
      <xdr:nvCxnSpPr>
        <xdr:cNvPr id="2883" name="Straight Arrow Connector 2882">
          <a:extLst>
            <a:ext uri="{FF2B5EF4-FFF2-40B4-BE49-F238E27FC236}">
              <a16:creationId xmlns:a16="http://schemas.microsoft.com/office/drawing/2014/main" id="{00000000-0008-0000-1200-0000430B0000}"/>
            </a:ext>
          </a:extLst>
        </xdr:cNvPr>
        <xdr:cNvCxnSpPr/>
      </xdr:nvCxnSpPr>
      <xdr:spPr>
        <a:xfrm flipV="1">
          <a:off x="11281833"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802</xdr:row>
      <xdr:rowOff>52917</xdr:rowOff>
    </xdr:from>
    <xdr:to>
      <xdr:col>15</xdr:col>
      <xdr:colOff>603250</xdr:colOff>
      <xdr:row>804</xdr:row>
      <xdr:rowOff>95250</xdr:rowOff>
    </xdr:to>
    <xdr:cxnSp macro="">
      <xdr:nvCxnSpPr>
        <xdr:cNvPr id="2884" name="Straight Arrow Connector 2883">
          <a:extLst>
            <a:ext uri="{FF2B5EF4-FFF2-40B4-BE49-F238E27FC236}">
              <a16:creationId xmlns:a16="http://schemas.microsoft.com/office/drawing/2014/main" id="{00000000-0008-0000-1200-0000440B0000}"/>
            </a:ext>
          </a:extLst>
        </xdr:cNvPr>
        <xdr:cNvCxnSpPr/>
      </xdr:nvCxnSpPr>
      <xdr:spPr>
        <a:xfrm flipV="1">
          <a:off x="11324166"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804</xdr:row>
      <xdr:rowOff>158750</xdr:rowOff>
    </xdr:from>
    <xdr:to>
      <xdr:col>15</xdr:col>
      <xdr:colOff>582083</xdr:colOff>
      <xdr:row>805</xdr:row>
      <xdr:rowOff>137583</xdr:rowOff>
    </xdr:to>
    <xdr:cxnSp macro="">
      <xdr:nvCxnSpPr>
        <xdr:cNvPr id="2885" name="Straight Arrow Connector 2884">
          <a:extLst>
            <a:ext uri="{FF2B5EF4-FFF2-40B4-BE49-F238E27FC236}">
              <a16:creationId xmlns:a16="http://schemas.microsoft.com/office/drawing/2014/main" id="{00000000-0008-0000-1200-0000450B0000}"/>
            </a:ext>
          </a:extLst>
        </xdr:cNvPr>
        <xdr:cNvCxnSpPr/>
      </xdr:nvCxnSpPr>
      <xdr:spPr>
        <a:xfrm>
          <a:off x="11345333"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804</xdr:row>
      <xdr:rowOff>105834</xdr:rowOff>
    </xdr:from>
    <xdr:to>
      <xdr:col>16</xdr:col>
      <xdr:colOff>0</xdr:colOff>
      <xdr:row>808</xdr:row>
      <xdr:rowOff>84667</xdr:rowOff>
    </xdr:to>
    <xdr:cxnSp macro="">
      <xdr:nvCxnSpPr>
        <xdr:cNvPr id="2886" name="Straight Arrow Connector 2885">
          <a:extLst>
            <a:ext uri="{FF2B5EF4-FFF2-40B4-BE49-F238E27FC236}">
              <a16:creationId xmlns:a16="http://schemas.microsoft.com/office/drawing/2014/main" id="{00000000-0008-0000-1200-0000460B0000}"/>
            </a:ext>
          </a:extLst>
        </xdr:cNvPr>
        <xdr:cNvCxnSpPr/>
      </xdr:nvCxnSpPr>
      <xdr:spPr>
        <a:xfrm>
          <a:off x="11260667" y="67923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2890" name="Straight Arrow Connector 2889">
          <a:extLst>
            <a:ext uri="{FF2B5EF4-FFF2-40B4-BE49-F238E27FC236}">
              <a16:creationId xmlns:a16="http://schemas.microsoft.com/office/drawing/2014/main" id="{00000000-0008-0000-1200-00004A0B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867</xdr:row>
      <xdr:rowOff>158750</xdr:rowOff>
    </xdr:from>
    <xdr:to>
      <xdr:col>11</xdr:col>
      <xdr:colOff>571500</xdr:colOff>
      <xdr:row>870</xdr:row>
      <xdr:rowOff>0</xdr:rowOff>
    </xdr:to>
    <xdr:cxnSp macro="">
      <xdr:nvCxnSpPr>
        <xdr:cNvPr id="2891" name="Straight Arrow Connector 2890">
          <a:extLst>
            <a:ext uri="{FF2B5EF4-FFF2-40B4-BE49-F238E27FC236}">
              <a16:creationId xmlns:a16="http://schemas.microsoft.com/office/drawing/2014/main" id="{00000000-0008-0000-1200-00004B0B0000}"/>
            </a:ext>
          </a:extLst>
        </xdr:cNvPr>
        <xdr:cNvCxnSpPr/>
      </xdr:nvCxnSpPr>
      <xdr:spPr>
        <a:xfrm flipV="1">
          <a:off x="7874000" y="80168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855</xdr:row>
      <xdr:rowOff>116416</xdr:rowOff>
    </xdr:from>
    <xdr:to>
      <xdr:col>15</xdr:col>
      <xdr:colOff>592666</xdr:colOff>
      <xdr:row>858</xdr:row>
      <xdr:rowOff>158750</xdr:rowOff>
    </xdr:to>
    <xdr:cxnSp macro="">
      <xdr:nvCxnSpPr>
        <xdr:cNvPr id="2899" name="Straight Arrow Connector 2898">
          <a:extLst>
            <a:ext uri="{FF2B5EF4-FFF2-40B4-BE49-F238E27FC236}">
              <a16:creationId xmlns:a16="http://schemas.microsoft.com/office/drawing/2014/main" id="{00000000-0008-0000-1200-0000530B0000}"/>
            </a:ext>
          </a:extLst>
        </xdr:cNvPr>
        <xdr:cNvCxnSpPr/>
      </xdr:nvCxnSpPr>
      <xdr:spPr>
        <a:xfrm flipV="1">
          <a:off x="11302999"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857</xdr:row>
      <xdr:rowOff>95250</xdr:rowOff>
    </xdr:from>
    <xdr:to>
      <xdr:col>15</xdr:col>
      <xdr:colOff>582083</xdr:colOff>
      <xdr:row>859</xdr:row>
      <xdr:rowOff>52917</xdr:rowOff>
    </xdr:to>
    <xdr:cxnSp macro="">
      <xdr:nvCxnSpPr>
        <xdr:cNvPr id="2900" name="Straight Arrow Connector 2899">
          <a:extLst>
            <a:ext uri="{FF2B5EF4-FFF2-40B4-BE49-F238E27FC236}">
              <a16:creationId xmlns:a16="http://schemas.microsoft.com/office/drawing/2014/main" id="{00000000-0008-0000-1200-0000540B0000}"/>
            </a:ext>
          </a:extLst>
        </xdr:cNvPr>
        <xdr:cNvCxnSpPr/>
      </xdr:nvCxnSpPr>
      <xdr:spPr>
        <a:xfrm flipV="1">
          <a:off x="11345333"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116417</xdr:rowOff>
    </xdr:from>
    <xdr:to>
      <xdr:col>15</xdr:col>
      <xdr:colOff>592666</xdr:colOff>
      <xdr:row>863</xdr:row>
      <xdr:rowOff>95250</xdr:rowOff>
    </xdr:to>
    <xdr:cxnSp macro="">
      <xdr:nvCxnSpPr>
        <xdr:cNvPr id="2901" name="Straight Arrow Connector 2900">
          <a:extLst>
            <a:ext uri="{FF2B5EF4-FFF2-40B4-BE49-F238E27FC236}">
              <a16:creationId xmlns:a16="http://schemas.microsoft.com/office/drawing/2014/main" id="{00000000-0008-0000-1200-0000550B0000}"/>
            </a:ext>
          </a:extLst>
        </xdr:cNvPr>
        <xdr:cNvCxnSpPr/>
      </xdr:nvCxnSpPr>
      <xdr:spPr>
        <a:xfrm>
          <a:off x="11334749"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873</xdr:row>
      <xdr:rowOff>42333</xdr:rowOff>
    </xdr:from>
    <xdr:to>
      <xdr:col>11</xdr:col>
      <xdr:colOff>603250</xdr:colOff>
      <xdr:row>885</xdr:row>
      <xdr:rowOff>10583</xdr:rowOff>
    </xdr:to>
    <xdr:cxnSp macro="">
      <xdr:nvCxnSpPr>
        <xdr:cNvPr id="2904" name="Straight Arrow Connector 2903">
          <a:extLst>
            <a:ext uri="{FF2B5EF4-FFF2-40B4-BE49-F238E27FC236}">
              <a16:creationId xmlns:a16="http://schemas.microsoft.com/office/drawing/2014/main" id="{00000000-0008-0000-1200-0000580B0000}"/>
            </a:ext>
          </a:extLst>
        </xdr:cNvPr>
        <xdr:cNvCxnSpPr/>
      </xdr:nvCxnSpPr>
      <xdr:spPr>
        <a:xfrm>
          <a:off x="7926917"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863</xdr:row>
      <xdr:rowOff>21167</xdr:rowOff>
    </xdr:from>
    <xdr:to>
      <xdr:col>13</xdr:col>
      <xdr:colOff>592667</xdr:colOff>
      <xdr:row>865</xdr:row>
      <xdr:rowOff>0</xdr:rowOff>
    </xdr:to>
    <xdr:cxnSp macro="">
      <xdr:nvCxnSpPr>
        <xdr:cNvPr id="2905" name="Straight Arrow Connector 2904">
          <a:extLst>
            <a:ext uri="{FF2B5EF4-FFF2-40B4-BE49-F238E27FC236}">
              <a16:creationId xmlns:a16="http://schemas.microsoft.com/office/drawing/2014/main" id="{00000000-0008-0000-1200-0000590B0000}"/>
            </a:ext>
          </a:extLst>
        </xdr:cNvPr>
        <xdr:cNvCxnSpPr/>
      </xdr:nvCxnSpPr>
      <xdr:spPr>
        <a:xfrm flipV="1">
          <a:off x="9133417" y="7926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868</xdr:row>
      <xdr:rowOff>21166</xdr:rowOff>
    </xdr:from>
    <xdr:to>
      <xdr:col>13</xdr:col>
      <xdr:colOff>592667</xdr:colOff>
      <xdr:row>869</xdr:row>
      <xdr:rowOff>169334</xdr:rowOff>
    </xdr:to>
    <xdr:cxnSp macro="">
      <xdr:nvCxnSpPr>
        <xdr:cNvPr id="2906" name="Straight Arrow Connector 2905">
          <a:extLst>
            <a:ext uri="{FF2B5EF4-FFF2-40B4-BE49-F238E27FC236}">
              <a16:creationId xmlns:a16="http://schemas.microsoft.com/office/drawing/2014/main" id="{00000000-0008-0000-1200-00005A0B0000}"/>
            </a:ext>
          </a:extLst>
        </xdr:cNvPr>
        <xdr:cNvCxnSpPr/>
      </xdr:nvCxnSpPr>
      <xdr:spPr>
        <a:xfrm>
          <a:off x="9122833" y="8022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883</xdr:row>
      <xdr:rowOff>21167</xdr:rowOff>
    </xdr:from>
    <xdr:to>
      <xdr:col>13</xdr:col>
      <xdr:colOff>592667</xdr:colOff>
      <xdr:row>885</xdr:row>
      <xdr:rowOff>63500</xdr:rowOff>
    </xdr:to>
    <xdr:cxnSp macro="">
      <xdr:nvCxnSpPr>
        <xdr:cNvPr id="2907" name="Straight Arrow Connector 2906">
          <a:extLst>
            <a:ext uri="{FF2B5EF4-FFF2-40B4-BE49-F238E27FC236}">
              <a16:creationId xmlns:a16="http://schemas.microsoft.com/office/drawing/2014/main" id="{00000000-0008-0000-1200-00005B0B0000}"/>
            </a:ext>
          </a:extLst>
        </xdr:cNvPr>
        <xdr:cNvCxnSpPr/>
      </xdr:nvCxnSpPr>
      <xdr:spPr>
        <a:xfrm flipV="1">
          <a:off x="952500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888</xdr:row>
      <xdr:rowOff>0</xdr:rowOff>
    </xdr:from>
    <xdr:to>
      <xdr:col>14</xdr:col>
      <xdr:colOff>10584</xdr:colOff>
      <xdr:row>896</xdr:row>
      <xdr:rowOff>148167</xdr:rowOff>
    </xdr:to>
    <xdr:cxnSp macro="">
      <xdr:nvCxnSpPr>
        <xdr:cNvPr id="2908" name="Straight Arrow Connector 2907">
          <a:extLst>
            <a:ext uri="{FF2B5EF4-FFF2-40B4-BE49-F238E27FC236}">
              <a16:creationId xmlns:a16="http://schemas.microsoft.com/office/drawing/2014/main" id="{00000000-0008-0000-1200-00005C0B0000}"/>
            </a:ext>
          </a:extLst>
        </xdr:cNvPr>
        <xdr:cNvCxnSpPr/>
      </xdr:nvCxnSpPr>
      <xdr:spPr>
        <a:xfrm>
          <a:off x="9535583" y="8420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859</xdr:row>
      <xdr:rowOff>95250</xdr:rowOff>
    </xdr:from>
    <xdr:to>
      <xdr:col>15</xdr:col>
      <xdr:colOff>582083</xdr:colOff>
      <xdr:row>861</xdr:row>
      <xdr:rowOff>137583</xdr:rowOff>
    </xdr:to>
    <xdr:cxnSp macro="">
      <xdr:nvCxnSpPr>
        <xdr:cNvPr id="2909" name="Straight Arrow Connector 2908">
          <a:extLst>
            <a:ext uri="{FF2B5EF4-FFF2-40B4-BE49-F238E27FC236}">
              <a16:creationId xmlns:a16="http://schemas.microsoft.com/office/drawing/2014/main" id="{00000000-0008-0000-1200-00005D0B0000}"/>
            </a:ext>
          </a:extLst>
        </xdr:cNvPr>
        <xdr:cNvCxnSpPr/>
      </xdr:nvCxnSpPr>
      <xdr:spPr>
        <a:xfrm>
          <a:off x="11334749"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868</xdr:row>
      <xdr:rowOff>52916</xdr:rowOff>
    </xdr:from>
    <xdr:to>
      <xdr:col>16</xdr:col>
      <xdr:colOff>0</xdr:colOff>
      <xdr:row>870</xdr:row>
      <xdr:rowOff>0</xdr:rowOff>
    </xdr:to>
    <xdr:cxnSp macro="">
      <xdr:nvCxnSpPr>
        <xdr:cNvPr id="2910" name="Straight Arrow Connector 2909">
          <a:extLst>
            <a:ext uri="{FF2B5EF4-FFF2-40B4-BE49-F238E27FC236}">
              <a16:creationId xmlns:a16="http://schemas.microsoft.com/office/drawing/2014/main" id="{00000000-0008-0000-1200-00005E0B0000}"/>
            </a:ext>
          </a:extLst>
        </xdr:cNvPr>
        <xdr:cNvCxnSpPr/>
      </xdr:nvCxnSpPr>
      <xdr:spPr>
        <a:xfrm flipV="1">
          <a:off x="11281833" y="8025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21167</xdr:rowOff>
    </xdr:from>
    <xdr:to>
      <xdr:col>15</xdr:col>
      <xdr:colOff>592666</xdr:colOff>
      <xdr:row>871</xdr:row>
      <xdr:rowOff>84667</xdr:rowOff>
    </xdr:to>
    <xdr:cxnSp macro="">
      <xdr:nvCxnSpPr>
        <xdr:cNvPr id="2911" name="Straight Arrow Connector 2910">
          <a:extLst>
            <a:ext uri="{FF2B5EF4-FFF2-40B4-BE49-F238E27FC236}">
              <a16:creationId xmlns:a16="http://schemas.microsoft.com/office/drawing/2014/main" id="{00000000-0008-0000-1200-00005F0B0000}"/>
            </a:ext>
          </a:extLst>
        </xdr:cNvPr>
        <xdr:cNvCxnSpPr/>
      </xdr:nvCxnSpPr>
      <xdr:spPr>
        <a:xfrm>
          <a:off x="11271250"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870</xdr:row>
      <xdr:rowOff>0</xdr:rowOff>
    </xdr:from>
    <xdr:to>
      <xdr:col>16</xdr:col>
      <xdr:colOff>0</xdr:colOff>
      <xdr:row>874</xdr:row>
      <xdr:rowOff>42334</xdr:rowOff>
    </xdr:to>
    <xdr:cxnSp macro="">
      <xdr:nvCxnSpPr>
        <xdr:cNvPr id="2912" name="Straight Arrow Connector 2911">
          <a:extLst>
            <a:ext uri="{FF2B5EF4-FFF2-40B4-BE49-F238E27FC236}">
              <a16:creationId xmlns:a16="http://schemas.microsoft.com/office/drawing/2014/main" id="{00000000-0008-0000-1200-0000600B0000}"/>
            </a:ext>
          </a:extLst>
        </xdr:cNvPr>
        <xdr:cNvCxnSpPr/>
      </xdr:nvCxnSpPr>
      <xdr:spPr>
        <a:xfrm>
          <a:off x="11271250" y="80581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881</xdr:row>
      <xdr:rowOff>0</xdr:rowOff>
    </xdr:from>
    <xdr:to>
      <xdr:col>15</xdr:col>
      <xdr:colOff>603250</xdr:colOff>
      <xdr:row>883</xdr:row>
      <xdr:rowOff>1</xdr:rowOff>
    </xdr:to>
    <xdr:cxnSp macro="">
      <xdr:nvCxnSpPr>
        <xdr:cNvPr id="2913" name="Straight Arrow Connector 2912">
          <a:extLst>
            <a:ext uri="{FF2B5EF4-FFF2-40B4-BE49-F238E27FC236}">
              <a16:creationId xmlns:a16="http://schemas.microsoft.com/office/drawing/2014/main" id="{00000000-0008-0000-1200-0000610B0000}"/>
            </a:ext>
          </a:extLst>
        </xdr:cNvPr>
        <xdr:cNvCxnSpPr/>
      </xdr:nvCxnSpPr>
      <xdr:spPr>
        <a:xfrm flipV="1">
          <a:off x="11271250"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883</xdr:row>
      <xdr:rowOff>10584</xdr:rowOff>
    </xdr:from>
    <xdr:to>
      <xdr:col>15</xdr:col>
      <xdr:colOff>592666</xdr:colOff>
      <xdr:row>884</xdr:row>
      <xdr:rowOff>95250</xdr:rowOff>
    </xdr:to>
    <xdr:cxnSp macro="">
      <xdr:nvCxnSpPr>
        <xdr:cNvPr id="2914" name="Straight Arrow Connector 2913">
          <a:extLst>
            <a:ext uri="{FF2B5EF4-FFF2-40B4-BE49-F238E27FC236}">
              <a16:creationId xmlns:a16="http://schemas.microsoft.com/office/drawing/2014/main" id="{00000000-0008-0000-1200-0000620B0000}"/>
            </a:ext>
          </a:extLst>
        </xdr:cNvPr>
        <xdr:cNvCxnSpPr/>
      </xdr:nvCxnSpPr>
      <xdr:spPr>
        <a:xfrm>
          <a:off x="11313583"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883</xdr:row>
      <xdr:rowOff>10584</xdr:rowOff>
    </xdr:from>
    <xdr:to>
      <xdr:col>15</xdr:col>
      <xdr:colOff>560916</xdr:colOff>
      <xdr:row>887</xdr:row>
      <xdr:rowOff>52917</xdr:rowOff>
    </xdr:to>
    <xdr:cxnSp macro="">
      <xdr:nvCxnSpPr>
        <xdr:cNvPr id="2915" name="Straight Arrow Connector 2914">
          <a:extLst>
            <a:ext uri="{FF2B5EF4-FFF2-40B4-BE49-F238E27FC236}">
              <a16:creationId xmlns:a16="http://schemas.microsoft.com/office/drawing/2014/main" id="{00000000-0008-0000-1200-0000630B0000}"/>
            </a:ext>
          </a:extLst>
        </xdr:cNvPr>
        <xdr:cNvCxnSpPr/>
      </xdr:nvCxnSpPr>
      <xdr:spPr>
        <a:xfrm>
          <a:off x="11292416"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916" name="Straight Arrow Connector 2915">
          <a:extLst>
            <a:ext uri="{FF2B5EF4-FFF2-40B4-BE49-F238E27FC236}">
              <a16:creationId xmlns:a16="http://schemas.microsoft.com/office/drawing/2014/main" id="{00000000-0008-0000-1200-0000640B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897</xdr:row>
      <xdr:rowOff>0</xdr:rowOff>
    </xdr:from>
    <xdr:to>
      <xdr:col>16</xdr:col>
      <xdr:colOff>0</xdr:colOff>
      <xdr:row>897</xdr:row>
      <xdr:rowOff>42334</xdr:rowOff>
    </xdr:to>
    <xdr:cxnSp macro="">
      <xdr:nvCxnSpPr>
        <xdr:cNvPr id="2917" name="Straight Arrow Connector 2916">
          <a:extLst>
            <a:ext uri="{FF2B5EF4-FFF2-40B4-BE49-F238E27FC236}">
              <a16:creationId xmlns:a16="http://schemas.microsoft.com/office/drawing/2014/main" id="{00000000-0008-0000-1200-0000650B0000}"/>
            </a:ext>
          </a:extLst>
        </xdr:cNvPr>
        <xdr:cNvCxnSpPr/>
      </xdr:nvCxnSpPr>
      <xdr:spPr>
        <a:xfrm>
          <a:off x="11302999" y="8591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897</xdr:row>
      <xdr:rowOff>21166</xdr:rowOff>
    </xdr:from>
    <xdr:to>
      <xdr:col>15</xdr:col>
      <xdr:colOff>560916</xdr:colOff>
      <xdr:row>900</xdr:row>
      <xdr:rowOff>84667</xdr:rowOff>
    </xdr:to>
    <xdr:cxnSp macro="">
      <xdr:nvCxnSpPr>
        <xdr:cNvPr id="2918" name="Straight Arrow Connector 2917">
          <a:extLst>
            <a:ext uri="{FF2B5EF4-FFF2-40B4-BE49-F238E27FC236}">
              <a16:creationId xmlns:a16="http://schemas.microsoft.com/office/drawing/2014/main" id="{00000000-0008-0000-1200-0000660B0000}"/>
            </a:ext>
          </a:extLst>
        </xdr:cNvPr>
        <xdr:cNvCxnSpPr/>
      </xdr:nvCxnSpPr>
      <xdr:spPr>
        <a:xfrm>
          <a:off x="11355916"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897</xdr:row>
      <xdr:rowOff>52916</xdr:rowOff>
    </xdr:from>
    <xdr:to>
      <xdr:col>15</xdr:col>
      <xdr:colOff>592666</xdr:colOff>
      <xdr:row>903</xdr:row>
      <xdr:rowOff>63501</xdr:rowOff>
    </xdr:to>
    <xdr:cxnSp macro="">
      <xdr:nvCxnSpPr>
        <xdr:cNvPr id="2919" name="Straight Arrow Connector 2918">
          <a:extLst>
            <a:ext uri="{FF2B5EF4-FFF2-40B4-BE49-F238E27FC236}">
              <a16:creationId xmlns:a16="http://schemas.microsoft.com/office/drawing/2014/main" id="{00000000-0008-0000-1200-0000670B0000}"/>
            </a:ext>
          </a:extLst>
        </xdr:cNvPr>
        <xdr:cNvCxnSpPr/>
      </xdr:nvCxnSpPr>
      <xdr:spPr>
        <a:xfrm>
          <a:off x="11313583"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894</xdr:row>
      <xdr:rowOff>52917</xdr:rowOff>
    </xdr:from>
    <xdr:to>
      <xdr:col>15</xdr:col>
      <xdr:colOff>603250</xdr:colOff>
      <xdr:row>896</xdr:row>
      <xdr:rowOff>148167</xdr:rowOff>
    </xdr:to>
    <xdr:cxnSp macro="">
      <xdr:nvCxnSpPr>
        <xdr:cNvPr id="2920" name="Straight Arrow Connector 2919">
          <a:extLst>
            <a:ext uri="{FF2B5EF4-FFF2-40B4-BE49-F238E27FC236}">
              <a16:creationId xmlns:a16="http://schemas.microsoft.com/office/drawing/2014/main" id="{00000000-0008-0000-1200-0000680B0000}"/>
            </a:ext>
          </a:extLst>
        </xdr:cNvPr>
        <xdr:cNvCxnSpPr/>
      </xdr:nvCxnSpPr>
      <xdr:spPr>
        <a:xfrm flipV="1">
          <a:off x="11324166"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2923" name="Straight Arrow Connector 2922">
          <a:extLst>
            <a:ext uri="{FF2B5EF4-FFF2-40B4-BE49-F238E27FC236}">
              <a16:creationId xmlns:a16="http://schemas.microsoft.com/office/drawing/2014/main" id="{00000000-0008-0000-1200-00006B0B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897</xdr:row>
      <xdr:rowOff>21167</xdr:rowOff>
    </xdr:from>
    <xdr:to>
      <xdr:col>15</xdr:col>
      <xdr:colOff>592666</xdr:colOff>
      <xdr:row>898</xdr:row>
      <xdr:rowOff>84667</xdr:rowOff>
    </xdr:to>
    <xdr:cxnSp macro="">
      <xdr:nvCxnSpPr>
        <xdr:cNvPr id="2925" name="Straight Arrow Connector 2924">
          <a:extLst>
            <a:ext uri="{FF2B5EF4-FFF2-40B4-BE49-F238E27FC236}">
              <a16:creationId xmlns:a16="http://schemas.microsoft.com/office/drawing/2014/main" id="{00000000-0008-0000-1200-00006D0B0000}"/>
            </a:ext>
          </a:extLst>
        </xdr:cNvPr>
        <xdr:cNvCxnSpPr/>
      </xdr:nvCxnSpPr>
      <xdr:spPr>
        <a:xfrm>
          <a:off x="11271250" y="85936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927" name="Straight Arrow Connector 2926">
          <a:extLst>
            <a:ext uri="{FF2B5EF4-FFF2-40B4-BE49-F238E27FC236}">
              <a16:creationId xmlns:a16="http://schemas.microsoft.com/office/drawing/2014/main" id="{00000000-0008-0000-1200-00006F0B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928" name="Straight Arrow Connector 2927">
          <a:extLst>
            <a:ext uri="{FF2B5EF4-FFF2-40B4-BE49-F238E27FC236}">
              <a16:creationId xmlns:a16="http://schemas.microsoft.com/office/drawing/2014/main" id="{00000000-0008-0000-1200-0000700B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929" name="Straight Arrow Connector 2928">
          <a:extLst>
            <a:ext uri="{FF2B5EF4-FFF2-40B4-BE49-F238E27FC236}">
              <a16:creationId xmlns:a16="http://schemas.microsoft.com/office/drawing/2014/main" id="{00000000-0008-0000-1200-0000710B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2931" name="Straight Arrow Connector 2930">
          <a:extLst>
            <a:ext uri="{FF2B5EF4-FFF2-40B4-BE49-F238E27FC236}">
              <a16:creationId xmlns:a16="http://schemas.microsoft.com/office/drawing/2014/main" id="{00000000-0008-0000-1200-0000730B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504</xdr:row>
      <xdr:rowOff>31750</xdr:rowOff>
    </xdr:from>
    <xdr:to>
      <xdr:col>16</xdr:col>
      <xdr:colOff>42334</xdr:colOff>
      <xdr:row>511</xdr:row>
      <xdr:rowOff>63501</xdr:rowOff>
    </xdr:to>
    <xdr:cxnSp macro="">
      <xdr:nvCxnSpPr>
        <xdr:cNvPr id="2932" name="Straight Arrow Connector 2931">
          <a:extLst>
            <a:ext uri="{FF2B5EF4-FFF2-40B4-BE49-F238E27FC236}">
              <a16:creationId xmlns:a16="http://schemas.microsoft.com/office/drawing/2014/main" id="{00000000-0008-0000-1200-0000740B0000}"/>
            </a:ext>
          </a:extLst>
        </xdr:cNvPr>
        <xdr:cNvCxnSpPr/>
      </xdr:nvCxnSpPr>
      <xdr:spPr>
        <a:xfrm>
          <a:off x="11281833" y="9204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504</xdr:row>
      <xdr:rowOff>31750</xdr:rowOff>
    </xdr:from>
    <xdr:to>
      <xdr:col>16</xdr:col>
      <xdr:colOff>42334</xdr:colOff>
      <xdr:row>511</xdr:row>
      <xdr:rowOff>63501</xdr:rowOff>
    </xdr:to>
    <xdr:cxnSp macro="">
      <xdr:nvCxnSpPr>
        <xdr:cNvPr id="2933" name="Straight Arrow Connector 2932">
          <a:extLst>
            <a:ext uri="{FF2B5EF4-FFF2-40B4-BE49-F238E27FC236}">
              <a16:creationId xmlns:a16="http://schemas.microsoft.com/office/drawing/2014/main" id="{00000000-0008-0000-1200-0000750B0000}"/>
            </a:ext>
          </a:extLst>
        </xdr:cNvPr>
        <xdr:cNvCxnSpPr/>
      </xdr:nvCxnSpPr>
      <xdr:spPr>
        <a:xfrm>
          <a:off x="11281833" y="9204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940" name="Straight Arrow Connector 2939">
          <a:extLst>
            <a:ext uri="{FF2B5EF4-FFF2-40B4-BE49-F238E27FC236}">
              <a16:creationId xmlns:a16="http://schemas.microsoft.com/office/drawing/2014/main" id="{00000000-0008-0000-1200-00007C0B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941" name="Straight Arrow Connector 2940">
          <a:extLst>
            <a:ext uri="{FF2B5EF4-FFF2-40B4-BE49-F238E27FC236}">
              <a16:creationId xmlns:a16="http://schemas.microsoft.com/office/drawing/2014/main" id="{00000000-0008-0000-1200-00007D0B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2942" name="Straight Arrow Connector 2941">
          <a:extLst>
            <a:ext uri="{FF2B5EF4-FFF2-40B4-BE49-F238E27FC236}">
              <a16:creationId xmlns:a16="http://schemas.microsoft.com/office/drawing/2014/main" id="{00000000-0008-0000-1200-00007E0B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943" name="Straight Arrow Connector 2942">
          <a:extLst>
            <a:ext uri="{FF2B5EF4-FFF2-40B4-BE49-F238E27FC236}">
              <a16:creationId xmlns:a16="http://schemas.microsoft.com/office/drawing/2014/main" id="{00000000-0008-0000-1200-00007F0B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2944" name="Straight Arrow Connector 2943">
          <a:extLst>
            <a:ext uri="{FF2B5EF4-FFF2-40B4-BE49-F238E27FC236}">
              <a16:creationId xmlns:a16="http://schemas.microsoft.com/office/drawing/2014/main" id="{00000000-0008-0000-1200-0000800B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945" name="Straight Arrow Connector 2944">
          <a:extLst>
            <a:ext uri="{FF2B5EF4-FFF2-40B4-BE49-F238E27FC236}">
              <a16:creationId xmlns:a16="http://schemas.microsoft.com/office/drawing/2014/main" id="{00000000-0008-0000-1200-0000810B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590</xdr:row>
      <xdr:rowOff>31750</xdr:rowOff>
    </xdr:from>
    <xdr:to>
      <xdr:col>16</xdr:col>
      <xdr:colOff>42334</xdr:colOff>
      <xdr:row>597</xdr:row>
      <xdr:rowOff>63501</xdr:rowOff>
    </xdr:to>
    <xdr:cxnSp macro="">
      <xdr:nvCxnSpPr>
        <xdr:cNvPr id="2946" name="Straight Arrow Connector 2945">
          <a:extLst>
            <a:ext uri="{FF2B5EF4-FFF2-40B4-BE49-F238E27FC236}">
              <a16:creationId xmlns:a16="http://schemas.microsoft.com/office/drawing/2014/main" id="{00000000-0008-0000-1200-0000820B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603</xdr:row>
      <xdr:rowOff>31750</xdr:rowOff>
    </xdr:from>
    <xdr:to>
      <xdr:col>16</xdr:col>
      <xdr:colOff>21167</xdr:colOff>
      <xdr:row>610</xdr:row>
      <xdr:rowOff>95250</xdr:rowOff>
    </xdr:to>
    <xdr:cxnSp macro="">
      <xdr:nvCxnSpPr>
        <xdr:cNvPr id="2947" name="Straight Arrow Connector 2946">
          <a:extLst>
            <a:ext uri="{FF2B5EF4-FFF2-40B4-BE49-F238E27FC236}">
              <a16:creationId xmlns:a16="http://schemas.microsoft.com/office/drawing/2014/main" id="{00000000-0008-0000-1200-0000830B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616</xdr:row>
      <xdr:rowOff>31750</xdr:rowOff>
    </xdr:from>
    <xdr:to>
      <xdr:col>16</xdr:col>
      <xdr:colOff>42334</xdr:colOff>
      <xdr:row>623</xdr:row>
      <xdr:rowOff>63501</xdr:rowOff>
    </xdr:to>
    <xdr:cxnSp macro="">
      <xdr:nvCxnSpPr>
        <xdr:cNvPr id="2948" name="Straight Arrow Connector 2947">
          <a:extLst>
            <a:ext uri="{FF2B5EF4-FFF2-40B4-BE49-F238E27FC236}">
              <a16:creationId xmlns:a16="http://schemas.microsoft.com/office/drawing/2014/main" id="{00000000-0008-0000-1200-0000840B0000}"/>
            </a:ext>
          </a:extLst>
        </xdr:cNvPr>
        <xdr:cNvCxnSpPr/>
      </xdr:nvCxnSpPr>
      <xdr:spPr>
        <a:xfrm>
          <a:off x="11281833" y="10804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616</xdr:row>
      <xdr:rowOff>31750</xdr:rowOff>
    </xdr:from>
    <xdr:to>
      <xdr:col>16</xdr:col>
      <xdr:colOff>42334</xdr:colOff>
      <xdr:row>623</xdr:row>
      <xdr:rowOff>63501</xdr:rowOff>
    </xdr:to>
    <xdr:cxnSp macro="">
      <xdr:nvCxnSpPr>
        <xdr:cNvPr id="2949" name="Straight Arrow Connector 2948">
          <a:extLst>
            <a:ext uri="{FF2B5EF4-FFF2-40B4-BE49-F238E27FC236}">
              <a16:creationId xmlns:a16="http://schemas.microsoft.com/office/drawing/2014/main" id="{00000000-0008-0000-1200-0000850B0000}"/>
            </a:ext>
          </a:extLst>
        </xdr:cNvPr>
        <xdr:cNvCxnSpPr/>
      </xdr:nvCxnSpPr>
      <xdr:spPr>
        <a:xfrm>
          <a:off x="11281833" y="10804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50" name="Straight Arrow Connector 2949">
          <a:extLst>
            <a:ext uri="{FF2B5EF4-FFF2-40B4-BE49-F238E27FC236}">
              <a16:creationId xmlns:a16="http://schemas.microsoft.com/office/drawing/2014/main" id="{00000000-0008-0000-1200-000086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1" name="Straight Arrow Connector 2950">
          <a:extLst>
            <a:ext uri="{FF2B5EF4-FFF2-40B4-BE49-F238E27FC236}">
              <a16:creationId xmlns:a16="http://schemas.microsoft.com/office/drawing/2014/main" id="{00000000-0008-0000-1200-000087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52" name="Straight Arrow Connector 2951">
          <a:extLst>
            <a:ext uri="{FF2B5EF4-FFF2-40B4-BE49-F238E27FC236}">
              <a16:creationId xmlns:a16="http://schemas.microsoft.com/office/drawing/2014/main" id="{00000000-0008-0000-1200-000088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3" name="Straight Arrow Connector 2952">
          <a:extLst>
            <a:ext uri="{FF2B5EF4-FFF2-40B4-BE49-F238E27FC236}">
              <a16:creationId xmlns:a16="http://schemas.microsoft.com/office/drawing/2014/main" id="{00000000-0008-0000-1200-000089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54" name="Straight Arrow Connector 2953">
          <a:extLst>
            <a:ext uri="{FF2B5EF4-FFF2-40B4-BE49-F238E27FC236}">
              <a16:creationId xmlns:a16="http://schemas.microsoft.com/office/drawing/2014/main" id="{00000000-0008-0000-1200-00008A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5" name="Straight Arrow Connector 2954">
          <a:extLst>
            <a:ext uri="{FF2B5EF4-FFF2-40B4-BE49-F238E27FC236}">
              <a16:creationId xmlns:a16="http://schemas.microsoft.com/office/drawing/2014/main" id="{00000000-0008-0000-1200-00008B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6" name="Straight Arrow Connector 2955">
          <a:extLst>
            <a:ext uri="{FF2B5EF4-FFF2-40B4-BE49-F238E27FC236}">
              <a16:creationId xmlns:a16="http://schemas.microsoft.com/office/drawing/2014/main" id="{00000000-0008-0000-1200-00008C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7" name="Straight Arrow Connector 2956">
          <a:extLst>
            <a:ext uri="{FF2B5EF4-FFF2-40B4-BE49-F238E27FC236}">
              <a16:creationId xmlns:a16="http://schemas.microsoft.com/office/drawing/2014/main" id="{00000000-0008-0000-1200-00008D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58" name="Straight Arrow Connector 2957">
          <a:extLst>
            <a:ext uri="{FF2B5EF4-FFF2-40B4-BE49-F238E27FC236}">
              <a16:creationId xmlns:a16="http://schemas.microsoft.com/office/drawing/2014/main" id="{00000000-0008-0000-1200-00008E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59" name="Straight Arrow Connector 2958">
          <a:extLst>
            <a:ext uri="{FF2B5EF4-FFF2-40B4-BE49-F238E27FC236}">
              <a16:creationId xmlns:a16="http://schemas.microsoft.com/office/drawing/2014/main" id="{00000000-0008-0000-1200-00008F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60" name="Straight Arrow Connector 2959">
          <a:extLst>
            <a:ext uri="{FF2B5EF4-FFF2-40B4-BE49-F238E27FC236}">
              <a16:creationId xmlns:a16="http://schemas.microsoft.com/office/drawing/2014/main" id="{00000000-0008-0000-1200-000090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61" name="Straight Arrow Connector 2960">
          <a:extLst>
            <a:ext uri="{FF2B5EF4-FFF2-40B4-BE49-F238E27FC236}">
              <a16:creationId xmlns:a16="http://schemas.microsoft.com/office/drawing/2014/main" id="{00000000-0008-0000-1200-000091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646</xdr:row>
      <xdr:rowOff>31750</xdr:rowOff>
    </xdr:from>
    <xdr:to>
      <xdr:col>16</xdr:col>
      <xdr:colOff>42334</xdr:colOff>
      <xdr:row>653</xdr:row>
      <xdr:rowOff>63501</xdr:rowOff>
    </xdr:to>
    <xdr:cxnSp macro="">
      <xdr:nvCxnSpPr>
        <xdr:cNvPr id="2962" name="Straight Arrow Connector 2961">
          <a:extLst>
            <a:ext uri="{FF2B5EF4-FFF2-40B4-BE49-F238E27FC236}">
              <a16:creationId xmlns:a16="http://schemas.microsoft.com/office/drawing/2014/main" id="{00000000-0008-0000-1200-0000920B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659</xdr:row>
      <xdr:rowOff>31750</xdr:rowOff>
    </xdr:from>
    <xdr:to>
      <xdr:col>16</xdr:col>
      <xdr:colOff>21167</xdr:colOff>
      <xdr:row>666</xdr:row>
      <xdr:rowOff>95250</xdr:rowOff>
    </xdr:to>
    <xdr:cxnSp macro="">
      <xdr:nvCxnSpPr>
        <xdr:cNvPr id="2963" name="Straight Arrow Connector 2962">
          <a:extLst>
            <a:ext uri="{FF2B5EF4-FFF2-40B4-BE49-F238E27FC236}">
              <a16:creationId xmlns:a16="http://schemas.microsoft.com/office/drawing/2014/main" id="{00000000-0008-0000-1200-0000930B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672</xdr:row>
      <xdr:rowOff>31750</xdr:rowOff>
    </xdr:from>
    <xdr:to>
      <xdr:col>16</xdr:col>
      <xdr:colOff>42334</xdr:colOff>
      <xdr:row>679</xdr:row>
      <xdr:rowOff>63501</xdr:rowOff>
    </xdr:to>
    <xdr:cxnSp macro="">
      <xdr:nvCxnSpPr>
        <xdr:cNvPr id="2964" name="Straight Arrow Connector 2963">
          <a:extLst>
            <a:ext uri="{FF2B5EF4-FFF2-40B4-BE49-F238E27FC236}">
              <a16:creationId xmlns:a16="http://schemas.microsoft.com/office/drawing/2014/main" id="{00000000-0008-0000-1200-0000940B0000}"/>
            </a:ext>
          </a:extLst>
        </xdr:cNvPr>
        <xdr:cNvCxnSpPr/>
      </xdr:nvCxnSpPr>
      <xdr:spPr>
        <a:xfrm>
          <a:off x="11281833" y="11890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672</xdr:row>
      <xdr:rowOff>31750</xdr:rowOff>
    </xdr:from>
    <xdr:to>
      <xdr:col>16</xdr:col>
      <xdr:colOff>42334</xdr:colOff>
      <xdr:row>679</xdr:row>
      <xdr:rowOff>63501</xdr:rowOff>
    </xdr:to>
    <xdr:cxnSp macro="">
      <xdr:nvCxnSpPr>
        <xdr:cNvPr id="2965" name="Straight Arrow Connector 2964">
          <a:extLst>
            <a:ext uri="{FF2B5EF4-FFF2-40B4-BE49-F238E27FC236}">
              <a16:creationId xmlns:a16="http://schemas.microsoft.com/office/drawing/2014/main" id="{00000000-0008-0000-1200-0000950B0000}"/>
            </a:ext>
          </a:extLst>
        </xdr:cNvPr>
        <xdr:cNvCxnSpPr/>
      </xdr:nvCxnSpPr>
      <xdr:spPr>
        <a:xfrm>
          <a:off x="11281833" y="11890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66" name="Straight Arrow Connector 2965">
          <a:extLst>
            <a:ext uri="{FF2B5EF4-FFF2-40B4-BE49-F238E27FC236}">
              <a16:creationId xmlns:a16="http://schemas.microsoft.com/office/drawing/2014/main" id="{00000000-0008-0000-1200-000096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67" name="Straight Arrow Connector 2966">
          <a:extLst>
            <a:ext uri="{FF2B5EF4-FFF2-40B4-BE49-F238E27FC236}">
              <a16:creationId xmlns:a16="http://schemas.microsoft.com/office/drawing/2014/main" id="{00000000-0008-0000-1200-000097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68" name="Straight Arrow Connector 2967">
          <a:extLst>
            <a:ext uri="{FF2B5EF4-FFF2-40B4-BE49-F238E27FC236}">
              <a16:creationId xmlns:a16="http://schemas.microsoft.com/office/drawing/2014/main" id="{00000000-0008-0000-1200-000098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69" name="Straight Arrow Connector 2968">
          <a:extLst>
            <a:ext uri="{FF2B5EF4-FFF2-40B4-BE49-F238E27FC236}">
              <a16:creationId xmlns:a16="http://schemas.microsoft.com/office/drawing/2014/main" id="{00000000-0008-0000-1200-000099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0" name="Straight Arrow Connector 2969">
          <a:extLst>
            <a:ext uri="{FF2B5EF4-FFF2-40B4-BE49-F238E27FC236}">
              <a16:creationId xmlns:a16="http://schemas.microsoft.com/office/drawing/2014/main" id="{00000000-0008-0000-1200-00009A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71" name="Straight Arrow Connector 2970">
          <a:extLst>
            <a:ext uri="{FF2B5EF4-FFF2-40B4-BE49-F238E27FC236}">
              <a16:creationId xmlns:a16="http://schemas.microsoft.com/office/drawing/2014/main" id="{00000000-0008-0000-1200-00009B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2" name="Straight Arrow Connector 2971">
          <a:extLst>
            <a:ext uri="{FF2B5EF4-FFF2-40B4-BE49-F238E27FC236}">
              <a16:creationId xmlns:a16="http://schemas.microsoft.com/office/drawing/2014/main" id="{00000000-0008-0000-1200-00009C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73" name="Straight Arrow Connector 2972">
          <a:extLst>
            <a:ext uri="{FF2B5EF4-FFF2-40B4-BE49-F238E27FC236}">
              <a16:creationId xmlns:a16="http://schemas.microsoft.com/office/drawing/2014/main" id="{00000000-0008-0000-1200-00009D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4" name="Straight Arrow Connector 2973">
          <a:extLst>
            <a:ext uri="{FF2B5EF4-FFF2-40B4-BE49-F238E27FC236}">
              <a16:creationId xmlns:a16="http://schemas.microsoft.com/office/drawing/2014/main" id="{00000000-0008-0000-1200-00009E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75" name="Straight Arrow Connector 2974">
          <a:extLst>
            <a:ext uri="{FF2B5EF4-FFF2-40B4-BE49-F238E27FC236}">
              <a16:creationId xmlns:a16="http://schemas.microsoft.com/office/drawing/2014/main" id="{00000000-0008-0000-1200-00009F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6" name="Straight Arrow Connector 2975">
          <a:extLst>
            <a:ext uri="{FF2B5EF4-FFF2-40B4-BE49-F238E27FC236}">
              <a16:creationId xmlns:a16="http://schemas.microsoft.com/office/drawing/2014/main" id="{00000000-0008-0000-1200-0000A0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7" name="Straight Arrow Connector 2976">
          <a:extLst>
            <a:ext uri="{FF2B5EF4-FFF2-40B4-BE49-F238E27FC236}">
              <a16:creationId xmlns:a16="http://schemas.microsoft.com/office/drawing/2014/main" id="{00000000-0008-0000-1200-0000A1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78" name="Straight Arrow Connector 2977">
          <a:extLst>
            <a:ext uri="{FF2B5EF4-FFF2-40B4-BE49-F238E27FC236}">
              <a16:creationId xmlns:a16="http://schemas.microsoft.com/office/drawing/2014/main" id="{00000000-0008-0000-1200-0000A2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79" name="Straight Arrow Connector 2978">
          <a:extLst>
            <a:ext uri="{FF2B5EF4-FFF2-40B4-BE49-F238E27FC236}">
              <a16:creationId xmlns:a16="http://schemas.microsoft.com/office/drawing/2014/main" id="{00000000-0008-0000-1200-0000A3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80" name="Straight Arrow Connector 2979">
          <a:extLst>
            <a:ext uri="{FF2B5EF4-FFF2-40B4-BE49-F238E27FC236}">
              <a16:creationId xmlns:a16="http://schemas.microsoft.com/office/drawing/2014/main" id="{00000000-0008-0000-1200-0000A4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81" name="Straight Arrow Connector 2980">
          <a:extLst>
            <a:ext uri="{FF2B5EF4-FFF2-40B4-BE49-F238E27FC236}">
              <a16:creationId xmlns:a16="http://schemas.microsoft.com/office/drawing/2014/main" id="{00000000-0008-0000-1200-0000A5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82" name="Straight Arrow Connector 2981">
          <a:extLst>
            <a:ext uri="{FF2B5EF4-FFF2-40B4-BE49-F238E27FC236}">
              <a16:creationId xmlns:a16="http://schemas.microsoft.com/office/drawing/2014/main" id="{00000000-0008-0000-1200-0000A6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702</xdr:row>
      <xdr:rowOff>31750</xdr:rowOff>
    </xdr:from>
    <xdr:to>
      <xdr:col>16</xdr:col>
      <xdr:colOff>42334</xdr:colOff>
      <xdr:row>709</xdr:row>
      <xdr:rowOff>63501</xdr:rowOff>
    </xdr:to>
    <xdr:cxnSp macro="">
      <xdr:nvCxnSpPr>
        <xdr:cNvPr id="2983" name="Straight Arrow Connector 2982">
          <a:extLst>
            <a:ext uri="{FF2B5EF4-FFF2-40B4-BE49-F238E27FC236}">
              <a16:creationId xmlns:a16="http://schemas.microsoft.com/office/drawing/2014/main" id="{00000000-0008-0000-1200-0000A70B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715</xdr:row>
      <xdr:rowOff>31750</xdr:rowOff>
    </xdr:from>
    <xdr:to>
      <xdr:col>16</xdr:col>
      <xdr:colOff>21167</xdr:colOff>
      <xdr:row>722</xdr:row>
      <xdr:rowOff>95250</xdr:rowOff>
    </xdr:to>
    <xdr:cxnSp macro="">
      <xdr:nvCxnSpPr>
        <xdr:cNvPr id="2984" name="Straight Arrow Connector 2983">
          <a:extLst>
            <a:ext uri="{FF2B5EF4-FFF2-40B4-BE49-F238E27FC236}">
              <a16:creationId xmlns:a16="http://schemas.microsoft.com/office/drawing/2014/main" id="{00000000-0008-0000-1200-0000A80B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728</xdr:row>
      <xdr:rowOff>31750</xdr:rowOff>
    </xdr:from>
    <xdr:to>
      <xdr:col>16</xdr:col>
      <xdr:colOff>42334</xdr:colOff>
      <xdr:row>735</xdr:row>
      <xdr:rowOff>63501</xdr:rowOff>
    </xdr:to>
    <xdr:cxnSp macro="">
      <xdr:nvCxnSpPr>
        <xdr:cNvPr id="2985" name="Straight Arrow Connector 2984">
          <a:extLst>
            <a:ext uri="{FF2B5EF4-FFF2-40B4-BE49-F238E27FC236}">
              <a16:creationId xmlns:a16="http://schemas.microsoft.com/office/drawing/2014/main" id="{00000000-0008-0000-1200-0000A90B0000}"/>
            </a:ext>
          </a:extLst>
        </xdr:cNvPr>
        <xdr:cNvCxnSpPr/>
      </xdr:nvCxnSpPr>
      <xdr:spPr>
        <a:xfrm>
          <a:off x="11281833" y="129762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728</xdr:row>
      <xdr:rowOff>31750</xdr:rowOff>
    </xdr:from>
    <xdr:to>
      <xdr:col>16</xdr:col>
      <xdr:colOff>42334</xdr:colOff>
      <xdr:row>735</xdr:row>
      <xdr:rowOff>63501</xdr:rowOff>
    </xdr:to>
    <xdr:cxnSp macro="">
      <xdr:nvCxnSpPr>
        <xdr:cNvPr id="2986" name="Straight Arrow Connector 2985">
          <a:extLst>
            <a:ext uri="{FF2B5EF4-FFF2-40B4-BE49-F238E27FC236}">
              <a16:creationId xmlns:a16="http://schemas.microsoft.com/office/drawing/2014/main" id="{00000000-0008-0000-1200-0000AA0B0000}"/>
            </a:ext>
          </a:extLst>
        </xdr:cNvPr>
        <xdr:cNvCxnSpPr/>
      </xdr:nvCxnSpPr>
      <xdr:spPr>
        <a:xfrm>
          <a:off x="11281833" y="129762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987" name="Straight Arrow Connector 2986">
          <a:extLst>
            <a:ext uri="{FF2B5EF4-FFF2-40B4-BE49-F238E27FC236}">
              <a16:creationId xmlns:a16="http://schemas.microsoft.com/office/drawing/2014/main" id="{00000000-0008-0000-1200-0000AB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88" name="Straight Arrow Connector 2987">
          <a:extLst>
            <a:ext uri="{FF2B5EF4-FFF2-40B4-BE49-F238E27FC236}">
              <a16:creationId xmlns:a16="http://schemas.microsoft.com/office/drawing/2014/main" id="{00000000-0008-0000-1200-0000AC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989" name="Straight Arrow Connector 2988">
          <a:extLst>
            <a:ext uri="{FF2B5EF4-FFF2-40B4-BE49-F238E27FC236}">
              <a16:creationId xmlns:a16="http://schemas.microsoft.com/office/drawing/2014/main" id="{00000000-0008-0000-1200-0000AD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0" name="Straight Arrow Connector 2989">
          <a:extLst>
            <a:ext uri="{FF2B5EF4-FFF2-40B4-BE49-F238E27FC236}">
              <a16:creationId xmlns:a16="http://schemas.microsoft.com/office/drawing/2014/main" id="{00000000-0008-0000-1200-0000AE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1" name="Straight Arrow Connector 2990">
          <a:extLst>
            <a:ext uri="{FF2B5EF4-FFF2-40B4-BE49-F238E27FC236}">
              <a16:creationId xmlns:a16="http://schemas.microsoft.com/office/drawing/2014/main" id="{00000000-0008-0000-1200-0000AF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2" name="Straight Arrow Connector 2991">
          <a:extLst>
            <a:ext uri="{FF2B5EF4-FFF2-40B4-BE49-F238E27FC236}">
              <a16:creationId xmlns:a16="http://schemas.microsoft.com/office/drawing/2014/main" id="{00000000-0008-0000-1200-0000B0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993" name="Straight Arrow Connector 2992">
          <a:extLst>
            <a:ext uri="{FF2B5EF4-FFF2-40B4-BE49-F238E27FC236}">
              <a16:creationId xmlns:a16="http://schemas.microsoft.com/office/drawing/2014/main" id="{00000000-0008-0000-1200-0000B1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4" name="Straight Arrow Connector 2993">
          <a:extLst>
            <a:ext uri="{FF2B5EF4-FFF2-40B4-BE49-F238E27FC236}">
              <a16:creationId xmlns:a16="http://schemas.microsoft.com/office/drawing/2014/main" id="{00000000-0008-0000-1200-0000B2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5" name="Straight Arrow Connector 2994">
          <a:extLst>
            <a:ext uri="{FF2B5EF4-FFF2-40B4-BE49-F238E27FC236}">
              <a16:creationId xmlns:a16="http://schemas.microsoft.com/office/drawing/2014/main" id="{00000000-0008-0000-1200-0000B3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6" name="Straight Arrow Connector 2995">
          <a:extLst>
            <a:ext uri="{FF2B5EF4-FFF2-40B4-BE49-F238E27FC236}">
              <a16:creationId xmlns:a16="http://schemas.microsoft.com/office/drawing/2014/main" id="{00000000-0008-0000-1200-0000B4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7" name="Straight Arrow Connector 2996">
          <a:extLst>
            <a:ext uri="{FF2B5EF4-FFF2-40B4-BE49-F238E27FC236}">
              <a16:creationId xmlns:a16="http://schemas.microsoft.com/office/drawing/2014/main" id="{00000000-0008-0000-1200-0000B5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2998" name="Straight Arrow Connector 2997">
          <a:extLst>
            <a:ext uri="{FF2B5EF4-FFF2-40B4-BE49-F238E27FC236}">
              <a16:creationId xmlns:a16="http://schemas.microsoft.com/office/drawing/2014/main" id="{00000000-0008-0000-1200-0000B6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2999" name="Straight Arrow Connector 2998">
          <a:extLst>
            <a:ext uri="{FF2B5EF4-FFF2-40B4-BE49-F238E27FC236}">
              <a16:creationId xmlns:a16="http://schemas.microsoft.com/office/drawing/2014/main" id="{00000000-0008-0000-1200-0000B7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00" name="Straight Arrow Connector 2999">
          <a:extLst>
            <a:ext uri="{FF2B5EF4-FFF2-40B4-BE49-F238E27FC236}">
              <a16:creationId xmlns:a16="http://schemas.microsoft.com/office/drawing/2014/main" id="{00000000-0008-0000-1200-0000B8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1" name="Straight Arrow Connector 3000">
          <a:extLst>
            <a:ext uri="{FF2B5EF4-FFF2-40B4-BE49-F238E27FC236}">
              <a16:creationId xmlns:a16="http://schemas.microsoft.com/office/drawing/2014/main" id="{00000000-0008-0000-1200-0000B9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02" name="Straight Arrow Connector 3001">
          <a:extLst>
            <a:ext uri="{FF2B5EF4-FFF2-40B4-BE49-F238E27FC236}">
              <a16:creationId xmlns:a16="http://schemas.microsoft.com/office/drawing/2014/main" id="{00000000-0008-0000-1200-0000BA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3" name="Straight Arrow Connector 3002">
          <a:extLst>
            <a:ext uri="{FF2B5EF4-FFF2-40B4-BE49-F238E27FC236}">
              <a16:creationId xmlns:a16="http://schemas.microsoft.com/office/drawing/2014/main" id="{00000000-0008-0000-1200-0000BB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04" name="Straight Arrow Connector 3003">
          <a:extLst>
            <a:ext uri="{FF2B5EF4-FFF2-40B4-BE49-F238E27FC236}">
              <a16:creationId xmlns:a16="http://schemas.microsoft.com/office/drawing/2014/main" id="{00000000-0008-0000-1200-0000BC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5" name="Straight Arrow Connector 3004">
          <a:extLst>
            <a:ext uri="{FF2B5EF4-FFF2-40B4-BE49-F238E27FC236}">
              <a16:creationId xmlns:a16="http://schemas.microsoft.com/office/drawing/2014/main" id="{00000000-0008-0000-1200-0000BD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6" name="Straight Arrow Connector 3005">
          <a:extLst>
            <a:ext uri="{FF2B5EF4-FFF2-40B4-BE49-F238E27FC236}">
              <a16:creationId xmlns:a16="http://schemas.microsoft.com/office/drawing/2014/main" id="{00000000-0008-0000-1200-0000BE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7" name="Straight Arrow Connector 3006">
          <a:extLst>
            <a:ext uri="{FF2B5EF4-FFF2-40B4-BE49-F238E27FC236}">
              <a16:creationId xmlns:a16="http://schemas.microsoft.com/office/drawing/2014/main" id="{00000000-0008-0000-1200-0000BF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08" name="Straight Arrow Connector 3007">
          <a:extLst>
            <a:ext uri="{FF2B5EF4-FFF2-40B4-BE49-F238E27FC236}">
              <a16:creationId xmlns:a16="http://schemas.microsoft.com/office/drawing/2014/main" id="{00000000-0008-0000-1200-0000C0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09" name="Straight Arrow Connector 3008">
          <a:extLst>
            <a:ext uri="{FF2B5EF4-FFF2-40B4-BE49-F238E27FC236}">
              <a16:creationId xmlns:a16="http://schemas.microsoft.com/office/drawing/2014/main" id="{00000000-0008-0000-1200-0000C1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10" name="Straight Arrow Connector 3009">
          <a:extLst>
            <a:ext uri="{FF2B5EF4-FFF2-40B4-BE49-F238E27FC236}">
              <a16:creationId xmlns:a16="http://schemas.microsoft.com/office/drawing/2014/main" id="{00000000-0008-0000-1200-0000C2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11" name="Straight Arrow Connector 3010">
          <a:extLst>
            <a:ext uri="{FF2B5EF4-FFF2-40B4-BE49-F238E27FC236}">
              <a16:creationId xmlns:a16="http://schemas.microsoft.com/office/drawing/2014/main" id="{00000000-0008-0000-1200-0000C3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758</xdr:row>
      <xdr:rowOff>31750</xdr:rowOff>
    </xdr:from>
    <xdr:to>
      <xdr:col>16</xdr:col>
      <xdr:colOff>42334</xdr:colOff>
      <xdr:row>765</xdr:row>
      <xdr:rowOff>63501</xdr:rowOff>
    </xdr:to>
    <xdr:cxnSp macro="">
      <xdr:nvCxnSpPr>
        <xdr:cNvPr id="3012" name="Straight Arrow Connector 3011">
          <a:extLst>
            <a:ext uri="{FF2B5EF4-FFF2-40B4-BE49-F238E27FC236}">
              <a16:creationId xmlns:a16="http://schemas.microsoft.com/office/drawing/2014/main" id="{00000000-0008-0000-1200-0000C40B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771</xdr:row>
      <xdr:rowOff>31750</xdr:rowOff>
    </xdr:from>
    <xdr:to>
      <xdr:col>16</xdr:col>
      <xdr:colOff>21167</xdr:colOff>
      <xdr:row>778</xdr:row>
      <xdr:rowOff>95250</xdr:rowOff>
    </xdr:to>
    <xdr:cxnSp macro="">
      <xdr:nvCxnSpPr>
        <xdr:cNvPr id="3013" name="Straight Arrow Connector 3012">
          <a:extLst>
            <a:ext uri="{FF2B5EF4-FFF2-40B4-BE49-F238E27FC236}">
              <a16:creationId xmlns:a16="http://schemas.microsoft.com/office/drawing/2014/main" id="{00000000-0008-0000-1200-0000C50B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784</xdr:row>
      <xdr:rowOff>31750</xdr:rowOff>
    </xdr:from>
    <xdr:to>
      <xdr:col>16</xdr:col>
      <xdr:colOff>42334</xdr:colOff>
      <xdr:row>791</xdr:row>
      <xdr:rowOff>63501</xdr:rowOff>
    </xdr:to>
    <xdr:cxnSp macro="">
      <xdr:nvCxnSpPr>
        <xdr:cNvPr id="3014" name="Straight Arrow Connector 3013">
          <a:extLst>
            <a:ext uri="{FF2B5EF4-FFF2-40B4-BE49-F238E27FC236}">
              <a16:creationId xmlns:a16="http://schemas.microsoft.com/office/drawing/2014/main" id="{00000000-0008-0000-1200-0000C60B0000}"/>
            </a:ext>
          </a:extLst>
        </xdr:cNvPr>
        <xdr:cNvCxnSpPr/>
      </xdr:nvCxnSpPr>
      <xdr:spPr>
        <a:xfrm>
          <a:off x="11281833" y="1406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784</xdr:row>
      <xdr:rowOff>31750</xdr:rowOff>
    </xdr:from>
    <xdr:to>
      <xdr:col>16</xdr:col>
      <xdr:colOff>42334</xdr:colOff>
      <xdr:row>791</xdr:row>
      <xdr:rowOff>63501</xdr:rowOff>
    </xdr:to>
    <xdr:cxnSp macro="">
      <xdr:nvCxnSpPr>
        <xdr:cNvPr id="3015" name="Straight Arrow Connector 3014">
          <a:extLst>
            <a:ext uri="{FF2B5EF4-FFF2-40B4-BE49-F238E27FC236}">
              <a16:creationId xmlns:a16="http://schemas.microsoft.com/office/drawing/2014/main" id="{00000000-0008-0000-1200-0000C70B0000}"/>
            </a:ext>
          </a:extLst>
        </xdr:cNvPr>
        <xdr:cNvCxnSpPr/>
      </xdr:nvCxnSpPr>
      <xdr:spPr>
        <a:xfrm>
          <a:off x="11281833" y="1406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18" name="Straight Arrow Connector 3017">
          <a:extLst>
            <a:ext uri="{FF2B5EF4-FFF2-40B4-BE49-F238E27FC236}">
              <a16:creationId xmlns:a16="http://schemas.microsoft.com/office/drawing/2014/main" id="{00000000-0008-0000-1200-0000CA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22" name="Straight Arrow Connector 3021">
          <a:extLst>
            <a:ext uri="{FF2B5EF4-FFF2-40B4-BE49-F238E27FC236}">
              <a16:creationId xmlns:a16="http://schemas.microsoft.com/office/drawing/2014/main" id="{00000000-0008-0000-1200-0000CE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24" name="Straight Arrow Connector 3023">
          <a:extLst>
            <a:ext uri="{FF2B5EF4-FFF2-40B4-BE49-F238E27FC236}">
              <a16:creationId xmlns:a16="http://schemas.microsoft.com/office/drawing/2014/main" id="{00000000-0008-0000-1200-0000D0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26" name="Straight Arrow Connector 3025">
          <a:extLst>
            <a:ext uri="{FF2B5EF4-FFF2-40B4-BE49-F238E27FC236}">
              <a16:creationId xmlns:a16="http://schemas.microsoft.com/office/drawing/2014/main" id="{00000000-0008-0000-1200-0000D2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30" name="Straight Arrow Connector 3029">
          <a:extLst>
            <a:ext uri="{FF2B5EF4-FFF2-40B4-BE49-F238E27FC236}">
              <a16:creationId xmlns:a16="http://schemas.microsoft.com/office/drawing/2014/main" id="{00000000-0008-0000-1200-0000D6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35" name="Straight Arrow Connector 3034">
          <a:extLst>
            <a:ext uri="{FF2B5EF4-FFF2-40B4-BE49-F238E27FC236}">
              <a16:creationId xmlns:a16="http://schemas.microsoft.com/office/drawing/2014/main" id="{00000000-0008-0000-1200-0000DB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37" name="Straight Arrow Connector 3036">
          <a:extLst>
            <a:ext uri="{FF2B5EF4-FFF2-40B4-BE49-F238E27FC236}">
              <a16:creationId xmlns:a16="http://schemas.microsoft.com/office/drawing/2014/main" id="{00000000-0008-0000-1200-0000DD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39" name="Straight Arrow Connector 3038">
          <a:extLst>
            <a:ext uri="{FF2B5EF4-FFF2-40B4-BE49-F238E27FC236}">
              <a16:creationId xmlns:a16="http://schemas.microsoft.com/office/drawing/2014/main" id="{00000000-0008-0000-1200-0000DF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41" name="Straight Arrow Connector 3040">
          <a:extLst>
            <a:ext uri="{FF2B5EF4-FFF2-40B4-BE49-F238E27FC236}">
              <a16:creationId xmlns:a16="http://schemas.microsoft.com/office/drawing/2014/main" id="{00000000-0008-0000-1200-0000E1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814</xdr:row>
      <xdr:rowOff>31750</xdr:rowOff>
    </xdr:from>
    <xdr:to>
      <xdr:col>16</xdr:col>
      <xdr:colOff>42334</xdr:colOff>
      <xdr:row>821</xdr:row>
      <xdr:rowOff>63501</xdr:rowOff>
    </xdr:to>
    <xdr:cxnSp macro="">
      <xdr:nvCxnSpPr>
        <xdr:cNvPr id="3045" name="Straight Arrow Connector 3044">
          <a:extLst>
            <a:ext uri="{FF2B5EF4-FFF2-40B4-BE49-F238E27FC236}">
              <a16:creationId xmlns:a16="http://schemas.microsoft.com/office/drawing/2014/main" id="{00000000-0008-0000-1200-0000E50B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54" name="Straight Arrow Connector 3053">
          <a:extLst>
            <a:ext uri="{FF2B5EF4-FFF2-40B4-BE49-F238E27FC236}">
              <a16:creationId xmlns:a16="http://schemas.microsoft.com/office/drawing/2014/main" id="{00000000-0008-0000-1200-0000EE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56" name="Straight Arrow Connector 3055">
          <a:extLst>
            <a:ext uri="{FF2B5EF4-FFF2-40B4-BE49-F238E27FC236}">
              <a16:creationId xmlns:a16="http://schemas.microsoft.com/office/drawing/2014/main" id="{00000000-0008-0000-1200-0000F0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58" name="Straight Arrow Connector 3057">
          <a:extLst>
            <a:ext uri="{FF2B5EF4-FFF2-40B4-BE49-F238E27FC236}">
              <a16:creationId xmlns:a16="http://schemas.microsoft.com/office/drawing/2014/main" id="{00000000-0008-0000-1200-0000F2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59" name="Straight Arrow Connector 3058">
          <a:extLst>
            <a:ext uri="{FF2B5EF4-FFF2-40B4-BE49-F238E27FC236}">
              <a16:creationId xmlns:a16="http://schemas.microsoft.com/office/drawing/2014/main" id="{00000000-0008-0000-1200-0000F3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0" name="Straight Arrow Connector 3059">
          <a:extLst>
            <a:ext uri="{FF2B5EF4-FFF2-40B4-BE49-F238E27FC236}">
              <a16:creationId xmlns:a16="http://schemas.microsoft.com/office/drawing/2014/main" id="{00000000-0008-0000-1200-0000F4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2" name="Straight Arrow Connector 3061">
          <a:extLst>
            <a:ext uri="{FF2B5EF4-FFF2-40B4-BE49-F238E27FC236}">
              <a16:creationId xmlns:a16="http://schemas.microsoft.com/office/drawing/2014/main" id="{00000000-0008-0000-1200-0000F6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3" name="Straight Arrow Connector 3062">
          <a:extLst>
            <a:ext uri="{FF2B5EF4-FFF2-40B4-BE49-F238E27FC236}">
              <a16:creationId xmlns:a16="http://schemas.microsoft.com/office/drawing/2014/main" id="{00000000-0008-0000-1200-0000F7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4" name="Straight Arrow Connector 3063">
          <a:extLst>
            <a:ext uri="{FF2B5EF4-FFF2-40B4-BE49-F238E27FC236}">
              <a16:creationId xmlns:a16="http://schemas.microsoft.com/office/drawing/2014/main" id="{00000000-0008-0000-1200-0000F8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6" name="Straight Arrow Connector 3065">
          <a:extLst>
            <a:ext uri="{FF2B5EF4-FFF2-40B4-BE49-F238E27FC236}">
              <a16:creationId xmlns:a16="http://schemas.microsoft.com/office/drawing/2014/main" id="{00000000-0008-0000-1200-0000FA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7" name="Straight Arrow Connector 3066">
          <a:extLst>
            <a:ext uri="{FF2B5EF4-FFF2-40B4-BE49-F238E27FC236}">
              <a16:creationId xmlns:a16="http://schemas.microsoft.com/office/drawing/2014/main" id="{00000000-0008-0000-1200-0000FB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68" name="Straight Arrow Connector 3067">
          <a:extLst>
            <a:ext uri="{FF2B5EF4-FFF2-40B4-BE49-F238E27FC236}">
              <a16:creationId xmlns:a16="http://schemas.microsoft.com/office/drawing/2014/main" id="{00000000-0008-0000-1200-0000FC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0" name="Straight Arrow Connector 3069">
          <a:extLst>
            <a:ext uri="{FF2B5EF4-FFF2-40B4-BE49-F238E27FC236}">
              <a16:creationId xmlns:a16="http://schemas.microsoft.com/office/drawing/2014/main" id="{00000000-0008-0000-1200-0000FE0B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2" name="Straight Arrow Connector 3071">
          <a:extLst>
            <a:ext uri="{FF2B5EF4-FFF2-40B4-BE49-F238E27FC236}">
              <a16:creationId xmlns:a16="http://schemas.microsoft.com/office/drawing/2014/main" id="{00000000-0008-0000-1200-000000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4" name="Straight Arrow Connector 3073">
          <a:extLst>
            <a:ext uri="{FF2B5EF4-FFF2-40B4-BE49-F238E27FC236}">
              <a16:creationId xmlns:a16="http://schemas.microsoft.com/office/drawing/2014/main" id="{00000000-0008-0000-1200-000002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5" name="Straight Arrow Connector 3074">
          <a:extLst>
            <a:ext uri="{FF2B5EF4-FFF2-40B4-BE49-F238E27FC236}">
              <a16:creationId xmlns:a16="http://schemas.microsoft.com/office/drawing/2014/main" id="{00000000-0008-0000-1200-000003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6" name="Straight Arrow Connector 3075">
          <a:extLst>
            <a:ext uri="{FF2B5EF4-FFF2-40B4-BE49-F238E27FC236}">
              <a16:creationId xmlns:a16="http://schemas.microsoft.com/office/drawing/2014/main" id="{00000000-0008-0000-1200-000004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8" name="Straight Arrow Connector 3077">
          <a:extLst>
            <a:ext uri="{FF2B5EF4-FFF2-40B4-BE49-F238E27FC236}">
              <a16:creationId xmlns:a16="http://schemas.microsoft.com/office/drawing/2014/main" id="{00000000-0008-0000-1200-000006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79" name="Straight Arrow Connector 3078">
          <a:extLst>
            <a:ext uri="{FF2B5EF4-FFF2-40B4-BE49-F238E27FC236}">
              <a16:creationId xmlns:a16="http://schemas.microsoft.com/office/drawing/2014/main" id="{00000000-0008-0000-1200-000007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80" name="Straight Arrow Connector 3079">
          <a:extLst>
            <a:ext uri="{FF2B5EF4-FFF2-40B4-BE49-F238E27FC236}">
              <a16:creationId xmlns:a16="http://schemas.microsoft.com/office/drawing/2014/main" id="{00000000-0008-0000-1200-000008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81" name="Straight Arrow Connector 3080">
          <a:extLst>
            <a:ext uri="{FF2B5EF4-FFF2-40B4-BE49-F238E27FC236}">
              <a16:creationId xmlns:a16="http://schemas.microsoft.com/office/drawing/2014/main" id="{00000000-0008-0000-1200-000009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83" name="Straight Arrow Connector 3082">
          <a:extLst>
            <a:ext uri="{FF2B5EF4-FFF2-40B4-BE49-F238E27FC236}">
              <a16:creationId xmlns:a16="http://schemas.microsoft.com/office/drawing/2014/main" id="{00000000-0008-0000-1200-00000B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85" name="Straight Arrow Connector 3084">
          <a:extLst>
            <a:ext uri="{FF2B5EF4-FFF2-40B4-BE49-F238E27FC236}">
              <a16:creationId xmlns:a16="http://schemas.microsoft.com/office/drawing/2014/main" id="{00000000-0008-0000-1200-00000D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883</xdr:row>
      <xdr:rowOff>31750</xdr:rowOff>
    </xdr:from>
    <xdr:to>
      <xdr:col>16</xdr:col>
      <xdr:colOff>21167</xdr:colOff>
      <xdr:row>890</xdr:row>
      <xdr:rowOff>95250</xdr:rowOff>
    </xdr:to>
    <xdr:cxnSp macro="">
      <xdr:nvCxnSpPr>
        <xdr:cNvPr id="3087" name="Straight Arrow Connector 3086">
          <a:extLst>
            <a:ext uri="{FF2B5EF4-FFF2-40B4-BE49-F238E27FC236}">
              <a16:creationId xmlns:a16="http://schemas.microsoft.com/office/drawing/2014/main" id="{00000000-0008-0000-1200-00000F0C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912</xdr:row>
      <xdr:rowOff>10584</xdr:rowOff>
    </xdr:from>
    <xdr:to>
      <xdr:col>1</xdr:col>
      <xdr:colOff>603250</xdr:colOff>
      <xdr:row>1005</xdr:row>
      <xdr:rowOff>158750</xdr:rowOff>
    </xdr:to>
    <xdr:cxnSp macro="">
      <xdr:nvCxnSpPr>
        <xdr:cNvPr id="3100" name="Straight Arrow Connector 3099">
          <a:extLst>
            <a:ext uri="{FF2B5EF4-FFF2-40B4-BE49-F238E27FC236}">
              <a16:creationId xmlns:a16="http://schemas.microsoft.com/office/drawing/2014/main" id="{00000000-0008-0000-1200-00001C0C0000}"/>
            </a:ext>
          </a:extLst>
        </xdr:cNvPr>
        <xdr:cNvCxnSpPr/>
      </xdr:nvCxnSpPr>
      <xdr:spPr>
        <a:xfrm flipV="1">
          <a:off x="603250" y="963084"/>
          <a:ext cx="613833"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1008</xdr:row>
      <xdr:rowOff>169333</xdr:rowOff>
    </xdr:from>
    <xdr:to>
      <xdr:col>1</xdr:col>
      <xdr:colOff>603250</xdr:colOff>
      <xdr:row>1050</xdr:row>
      <xdr:rowOff>148167</xdr:rowOff>
    </xdr:to>
    <xdr:cxnSp macro="">
      <xdr:nvCxnSpPr>
        <xdr:cNvPr id="3101" name="Straight Arrow Connector 3100">
          <a:extLst>
            <a:ext uri="{FF2B5EF4-FFF2-40B4-BE49-F238E27FC236}">
              <a16:creationId xmlns:a16="http://schemas.microsoft.com/office/drawing/2014/main" id="{00000000-0008-0000-1200-00001D0C0000}"/>
            </a:ext>
          </a:extLst>
        </xdr:cNvPr>
        <xdr:cNvCxnSpPr/>
      </xdr:nvCxnSpPr>
      <xdr:spPr>
        <a:xfrm>
          <a:off x="603250" y="19790833"/>
          <a:ext cx="613833"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984</xdr:row>
      <xdr:rowOff>158750</xdr:rowOff>
    </xdr:from>
    <xdr:to>
      <xdr:col>3</xdr:col>
      <xdr:colOff>603250</xdr:colOff>
      <xdr:row>1051</xdr:row>
      <xdr:rowOff>10583</xdr:rowOff>
    </xdr:to>
    <xdr:cxnSp macro="">
      <xdr:nvCxnSpPr>
        <xdr:cNvPr id="3102" name="Straight Arrow Connector 3101">
          <a:extLst>
            <a:ext uri="{FF2B5EF4-FFF2-40B4-BE49-F238E27FC236}">
              <a16:creationId xmlns:a16="http://schemas.microsoft.com/office/drawing/2014/main" id="{00000000-0008-0000-1200-00001E0C0000}"/>
            </a:ext>
          </a:extLst>
        </xdr:cNvPr>
        <xdr:cNvCxnSpPr/>
      </xdr:nvCxnSpPr>
      <xdr:spPr>
        <a:xfrm flipV="1">
          <a:off x="2381251" y="150177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1053</xdr:row>
      <xdr:rowOff>10583</xdr:rowOff>
    </xdr:from>
    <xdr:to>
      <xdr:col>4</xdr:col>
      <xdr:colOff>63500</xdr:colOff>
      <xdr:row>1204</xdr:row>
      <xdr:rowOff>158750</xdr:rowOff>
    </xdr:to>
    <xdr:cxnSp macro="">
      <xdr:nvCxnSpPr>
        <xdr:cNvPr id="3103" name="Straight Arrow Connector 3102">
          <a:extLst>
            <a:ext uri="{FF2B5EF4-FFF2-40B4-BE49-F238E27FC236}">
              <a16:creationId xmlns:a16="http://schemas.microsoft.com/office/drawing/2014/main" id="{00000000-0008-0000-1200-00001F0C0000}"/>
            </a:ext>
          </a:extLst>
        </xdr:cNvPr>
        <xdr:cNvCxnSpPr/>
      </xdr:nvCxnSpPr>
      <xdr:spPr>
        <a:xfrm>
          <a:off x="2391834" y="28395083"/>
          <a:ext cx="656166"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947</xdr:row>
      <xdr:rowOff>1</xdr:rowOff>
    </xdr:from>
    <xdr:to>
      <xdr:col>6</xdr:col>
      <xdr:colOff>0</xdr:colOff>
      <xdr:row>981</xdr:row>
      <xdr:rowOff>116417</xdr:rowOff>
    </xdr:to>
    <xdr:cxnSp macro="">
      <xdr:nvCxnSpPr>
        <xdr:cNvPr id="3104" name="Straight Arrow Connector 3103">
          <a:extLst>
            <a:ext uri="{FF2B5EF4-FFF2-40B4-BE49-F238E27FC236}">
              <a16:creationId xmlns:a16="http://schemas.microsoft.com/office/drawing/2014/main" id="{00000000-0008-0000-1200-0000200C0000}"/>
            </a:ext>
          </a:extLst>
        </xdr:cNvPr>
        <xdr:cNvCxnSpPr/>
      </xdr:nvCxnSpPr>
      <xdr:spPr>
        <a:xfrm flipV="1">
          <a:off x="3810000" y="78105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984</xdr:row>
      <xdr:rowOff>169334</xdr:rowOff>
    </xdr:from>
    <xdr:to>
      <xdr:col>5</xdr:col>
      <xdr:colOff>571500</xdr:colOff>
      <xdr:row>1053</xdr:row>
      <xdr:rowOff>0</xdr:rowOff>
    </xdr:to>
    <xdr:cxnSp macro="">
      <xdr:nvCxnSpPr>
        <xdr:cNvPr id="3105" name="Straight Arrow Connector 3104">
          <a:extLst>
            <a:ext uri="{FF2B5EF4-FFF2-40B4-BE49-F238E27FC236}">
              <a16:creationId xmlns:a16="http://schemas.microsoft.com/office/drawing/2014/main" id="{00000000-0008-0000-1200-0000210C0000}"/>
            </a:ext>
          </a:extLst>
        </xdr:cNvPr>
        <xdr:cNvCxnSpPr/>
      </xdr:nvCxnSpPr>
      <xdr:spPr>
        <a:xfrm>
          <a:off x="3894667" y="15028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922</xdr:row>
      <xdr:rowOff>148167</xdr:rowOff>
    </xdr:from>
    <xdr:to>
      <xdr:col>7</xdr:col>
      <xdr:colOff>603250</xdr:colOff>
      <xdr:row>944</xdr:row>
      <xdr:rowOff>31750</xdr:rowOff>
    </xdr:to>
    <xdr:cxnSp macro="">
      <xdr:nvCxnSpPr>
        <xdr:cNvPr id="3106" name="Straight Arrow Connector 3105">
          <a:extLst>
            <a:ext uri="{FF2B5EF4-FFF2-40B4-BE49-F238E27FC236}">
              <a16:creationId xmlns:a16="http://schemas.microsoft.com/office/drawing/2014/main" id="{00000000-0008-0000-1200-0000220C0000}"/>
            </a:ext>
          </a:extLst>
        </xdr:cNvPr>
        <xdr:cNvCxnSpPr/>
      </xdr:nvCxnSpPr>
      <xdr:spPr>
        <a:xfrm flipV="1">
          <a:off x="5461000" y="3005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947</xdr:row>
      <xdr:rowOff>10584</xdr:rowOff>
    </xdr:from>
    <xdr:to>
      <xdr:col>8</xdr:col>
      <xdr:colOff>21167</xdr:colOff>
      <xdr:row>975</xdr:row>
      <xdr:rowOff>148166</xdr:rowOff>
    </xdr:to>
    <xdr:cxnSp macro="">
      <xdr:nvCxnSpPr>
        <xdr:cNvPr id="3107" name="Straight Arrow Connector 3106">
          <a:extLst>
            <a:ext uri="{FF2B5EF4-FFF2-40B4-BE49-F238E27FC236}">
              <a16:creationId xmlns:a16="http://schemas.microsoft.com/office/drawing/2014/main" id="{00000000-0008-0000-1200-0000230C0000}"/>
            </a:ext>
          </a:extLst>
        </xdr:cNvPr>
        <xdr:cNvCxnSpPr/>
      </xdr:nvCxnSpPr>
      <xdr:spPr>
        <a:xfrm>
          <a:off x="5461000" y="78210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914</xdr:row>
      <xdr:rowOff>137583</xdr:rowOff>
    </xdr:from>
    <xdr:to>
      <xdr:col>9</xdr:col>
      <xdr:colOff>603250</xdr:colOff>
      <xdr:row>920</xdr:row>
      <xdr:rowOff>21166</xdr:rowOff>
    </xdr:to>
    <xdr:cxnSp macro="">
      <xdr:nvCxnSpPr>
        <xdr:cNvPr id="3108" name="Straight Arrow Connector 3107">
          <a:extLst>
            <a:ext uri="{FF2B5EF4-FFF2-40B4-BE49-F238E27FC236}">
              <a16:creationId xmlns:a16="http://schemas.microsoft.com/office/drawing/2014/main" id="{00000000-0008-0000-1200-0000240C0000}"/>
            </a:ext>
          </a:extLst>
        </xdr:cNvPr>
        <xdr:cNvCxnSpPr/>
      </xdr:nvCxnSpPr>
      <xdr:spPr>
        <a:xfrm flipV="1">
          <a:off x="6688667" y="1471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923</xdr:row>
      <xdr:rowOff>0</xdr:rowOff>
    </xdr:from>
    <xdr:to>
      <xdr:col>9</xdr:col>
      <xdr:colOff>582083</xdr:colOff>
      <xdr:row>931</xdr:row>
      <xdr:rowOff>10583</xdr:rowOff>
    </xdr:to>
    <xdr:cxnSp macro="">
      <xdr:nvCxnSpPr>
        <xdr:cNvPr id="3109" name="Straight Arrow Connector 3108">
          <a:extLst>
            <a:ext uri="{FF2B5EF4-FFF2-40B4-BE49-F238E27FC236}">
              <a16:creationId xmlns:a16="http://schemas.microsoft.com/office/drawing/2014/main" id="{00000000-0008-0000-1200-0000250C0000}"/>
            </a:ext>
          </a:extLst>
        </xdr:cNvPr>
        <xdr:cNvCxnSpPr/>
      </xdr:nvCxnSpPr>
      <xdr:spPr>
        <a:xfrm>
          <a:off x="6720417" y="3048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928</xdr:row>
      <xdr:rowOff>169333</xdr:rowOff>
    </xdr:from>
    <xdr:to>
      <xdr:col>11</xdr:col>
      <xdr:colOff>603250</xdr:colOff>
      <xdr:row>931</xdr:row>
      <xdr:rowOff>21167</xdr:rowOff>
    </xdr:to>
    <xdr:cxnSp macro="">
      <xdr:nvCxnSpPr>
        <xdr:cNvPr id="3110" name="Straight Arrow Connector 3109">
          <a:extLst>
            <a:ext uri="{FF2B5EF4-FFF2-40B4-BE49-F238E27FC236}">
              <a16:creationId xmlns:a16="http://schemas.microsoft.com/office/drawing/2014/main" id="{00000000-0008-0000-1200-0000260C0000}"/>
            </a:ext>
          </a:extLst>
        </xdr:cNvPr>
        <xdr:cNvCxnSpPr/>
      </xdr:nvCxnSpPr>
      <xdr:spPr>
        <a:xfrm flipV="1">
          <a:off x="7937500" y="4169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934</xdr:row>
      <xdr:rowOff>42333</xdr:rowOff>
    </xdr:from>
    <xdr:to>
      <xdr:col>11</xdr:col>
      <xdr:colOff>603250</xdr:colOff>
      <xdr:row>946</xdr:row>
      <xdr:rowOff>10583</xdr:rowOff>
    </xdr:to>
    <xdr:cxnSp macro="">
      <xdr:nvCxnSpPr>
        <xdr:cNvPr id="3111" name="Straight Arrow Connector 3110">
          <a:extLst>
            <a:ext uri="{FF2B5EF4-FFF2-40B4-BE49-F238E27FC236}">
              <a16:creationId xmlns:a16="http://schemas.microsoft.com/office/drawing/2014/main" id="{00000000-0008-0000-1200-0000270C0000}"/>
            </a:ext>
          </a:extLst>
        </xdr:cNvPr>
        <xdr:cNvCxnSpPr/>
      </xdr:nvCxnSpPr>
      <xdr:spPr>
        <a:xfrm>
          <a:off x="7926917" y="5185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924</xdr:row>
      <xdr:rowOff>21167</xdr:rowOff>
    </xdr:from>
    <xdr:to>
      <xdr:col>13</xdr:col>
      <xdr:colOff>592667</xdr:colOff>
      <xdr:row>926</xdr:row>
      <xdr:rowOff>0</xdr:rowOff>
    </xdr:to>
    <xdr:cxnSp macro="">
      <xdr:nvCxnSpPr>
        <xdr:cNvPr id="3112" name="Straight Arrow Connector 3111">
          <a:extLst>
            <a:ext uri="{FF2B5EF4-FFF2-40B4-BE49-F238E27FC236}">
              <a16:creationId xmlns:a16="http://schemas.microsoft.com/office/drawing/2014/main" id="{00000000-0008-0000-1200-0000280C0000}"/>
            </a:ext>
          </a:extLst>
        </xdr:cNvPr>
        <xdr:cNvCxnSpPr/>
      </xdr:nvCxnSpPr>
      <xdr:spPr>
        <a:xfrm flipV="1">
          <a:off x="9133417" y="3259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929</xdr:row>
      <xdr:rowOff>21166</xdr:rowOff>
    </xdr:from>
    <xdr:to>
      <xdr:col>13</xdr:col>
      <xdr:colOff>592667</xdr:colOff>
      <xdr:row>930</xdr:row>
      <xdr:rowOff>169334</xdr:rowOff>
    </xdr:to>
    <xdr:cxnSp macro="">
      <xdr:nvCxnSpPr>
        <xdr:cNvPr id="3113" name="Straight Arrow Connector 3112">
          <a:extLst>
            <a:ext uri="{FF2B5EF4-FFF2-40B4-BE49-F238E27FC236}">
              <a16:creationId xmlns:a16="http://schemas.microsoft.com/office/drawing/2014/main" id="{00000000-0008-0000-1200-0000290C0000}"/>
            </a:ext>
          </a:extLst>
        </xdr:cNvPr>
        <xdr:cNvCxnSpPr/>
      </xdr:nvCxnSpPr>
      <xdr:spPr>
        <a:xfrm>
          <a:off x="9122833" y="4212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944</xdr:row>
      <xdr:rowOff>21167</xdr:rowOff>
    </xdr:from>
    <xdr:to>
      <xdr:col>13</xdr:col>
      <xdr:colOff>592667</xdr:colOff>
      <xdr:row>946</xdr:row>
      <xdr:rowOff>63500</xdr:rowOff>
    </xdr:to>
    <xdr:cxnSp macro="">
      <xdr:nvCxnSpPr>
        <xdr:cNvPr id="3114" name="Straight Arrow Connector 3113">
          <a:extLst>
            <a:ext uri="{FF2B5EF4-FFF2-40B4-BE49-F238E27FC236}">
              <a16:creationId xmlns:a16="http://schemas.microsoft.com/office/drawing/2014/main" id="{00000000-0008-0000-1200-00002A0C0000}"/>
            </a:ext>
          </a:extLst>
        </xdr:cNvPr>
        <xdr:cNvCxnSpPr/>
      </xdr:nvCxnSpPr>
      <xdr:spPr>
        <a:xfrm flipV="1">
          <a:off x="9525000" y="7260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949</xdr:row>
      <xdr:rowOff>0</xdr:rowOff>
    </xdr:from>
    <xdr:to>
      <xdr:col>14</xdr:col>
      <xdr:colOff>10584</xdr:colOff>
      <xdr:row>957</xdr:row>
      <xdr:rowOff>148167</xdr:rowOff>
    </xdr:to>
    <xdr:cxnSp macro="">
      <xdr:nvCxnSpPr>
        <xdr:cNvPr id="3115" name="Straight Arrow Connector 3114">
          <a:extLst>
            <a:ext uri="{FF2B5EF4-FFF2-40B4-BE49-F238E27FC236}">
              <a16:creationId xmlns:a16="http://schemas.microsoft.com/office/drawing/2014/main" id="{00000000-0008-0000-1200-00002B0C0000}"/>
            </a:ext>
          </a:extLst>
        </xdr:cNvPr>
        <xdr:cNvCxnSpPr/>
      </xdr:nvCxnSpPr>
      <xdr:spPr>
        <a:xfrm>
          <a:off x="9535583" y="8191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916</xdr:row>
      <xdr:rowOff>0</xdr:rowOff>
    </xdr:from>
    <xdr:to>
      <xdr:col>15</xdr:col>
      <xdr:colOff>603250</xdr:colOff>
      <xdr:row>921</xdr:row>
      <xdr:rowOff>31750</xdr:rowOff>
    </xdr:to>
    <xdr:cxnSp macro="">
      <xdr:nvCxnSpPr>
        <xdr:cNvPr id="3116" name="Straight Arrow Connector 3115">
          <a:extLst>
            <a:ext uri="{FF2B5EF4-FFF2-40B4-BE49-F238E27FC236}">
              <a16:creationId xmlns:a16="http://schemas.microsoft.com/office/drawing/2014/main" id="{00000000-0008-0000-1200-00002C0C0000}"/>
            </a:ext>
          </a:extLst>
        </xdr:cNvPr>
        <xdr:cNvCxnSpPr/>
      </xdr:nvCxnSpPr>
      <xdr:spPr>
        <a:xfrm flipV="1">
          <a:off x="11281833" y="1714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919</xdr:row>
      <xdr:rowOff>52917</xdr:rowOff>
    </xdr:from>
    <xdr:to>
      <xdr:col>15</xdr:col>
      <xdr:colOff>603250</xdr:colOff>
      <xdr:row>921</xdr:row>
      <xdr:rowOff>95250</xdr:rowOff>
    </xdr:to>
    <xdr:cxnSp macro="">
      <xdr:nvCxnSpPr>
        <xdr:cNvPr id="3117" name="Straight Arrow Connector 3116">
          <a:extLst>
            <a:ext uri="{FF2B5EF4-FFF2-40B4-BE49-F238E27FC236}">
              <a16:creationId xmlns:a16="http://schemas.microsoft.com/office/drawing/2014/main" id="{00000000-0008-0000-1200-00002D0C0000}"/>
            </a:ext>
          </a:extLst>
        </xdr:cNvPr>
        <xdr:cNvCxnSpPr/>
      </xdr:nvCxnSpPr>
      <xdr:spPr>
        <a:xfrm flipV="1">
          <a:off x="11324166" y="2338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921</xdr:row>
      <xdr:rowOff>158750</xdr:rowOff>
    </xdr:from>
    <xdr:to>
      <xdr:col>15</xdr:col>
      <xdr:colOff>582083</xdr:colOff>
      <xdr:row>922</xdr:row>
      <xdr:rowOff>137583</xdr:rowOff>
    </xdr:to>
    <xdr:cxnSp macro="">
      <xdr:nvCxnSpPr>
        <xdr:cNvPr id="3118" name="Straight Arrow Connector 3117">
          <a:extLst>
            <a:ext uri="{FF2B5EF4-FFF2-40B4-BE49-F238E27FC236}">
              <a16:creationId xmlns:a16="http://schemas.microsoft.com/office/drawing/2014/main" id="{00000000-0008-0000-1200-00002E0C0000}"/>
            </a:ext>
          </a:extLst>
        </xdr:cNvPr>
        <xdr:cNvCxnSpPr/>
      </xdr:nvCxnSpPr>
      <xdr:spPr>
        <a:xfrm>
          <a:off x="11345333" y="2825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921</xdr:row>
      <xdr:rowOff>105834</xdr:rowOff>
    </xdr:from>
    <xdr:to>
      <xdr:col>16</xdr:col>
      <xdr:colOff>0</xdr:colOff>
      <xdr:row>925</xdr:row>
      <xdr:rowOff>84667</xdr:rowOff>
    </xdr:to>
    <xdr:cxnSp macro="">
      <xdr:nvCxnSpPr>
        <xdr:cNvPr id="3119" name="Straight Arrow Connector 3118">
          <a:extLst>
            <a:ext uri="{FF2B5EF4-FFF2-40B4-BE49-F238E27FC236}">
              <a16:creationId xmlns:a16="http://schemas.microsoft.com/office/drawing/2014/main" id="{00000000-0008-0000-1200-00002F0C0000}"/>
            </a:ext>
          </a:extLst>
        </xdr:cNvPr>
        <xdr:cNvCxnSpPr/>
      </xdr:nvCxnSpPr>
      <xdr:spPr>
        <a:xfrm>
          <a:off x="11260667" y="2772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929</xdr:row>
      <xdr:rowOff>52916</xdr:rowOff>
    </xdr:from>
    <xdr:to>
      <xdr:col>16</xdr:col>
      <xdr:colOff>0</xdr:colOff>
      <xdr:row>931</xdr:row>
      <xdr:rowOff>0</xdr:rowOff>
    </xdr:to>
    <xdr:cxnSp macro="">
      <xdr:nvCxnSpPr>
        <xdr:cNvPr id="3120" name="Straight Arrow Connector 3119">
          <a:extLst>
            <a:ext uri="{FF2B5EF4-FFF2-40B4-BE49-F238E27FC236}">
              <a16:creationId xmlns:a16="http://schemas.microsoft.com/office/drawing/2014/main" id="{00000000-0008-0000-1200-0000300C0000}"/>
            </a:ext>
          </a:extLst>
        </xdr:cNvPr>
        <xdr:cNvCxnSpPr/>
      </xdr:nvCxnSpPr>
      <xdr:spPr>
        <a:xfrm flipV="1">
          <a:off x="11281833" y="4243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931</xdr:row>
      <xdr:rowOff>21167</xdr:rowOff>
    </xdr:from>
    <xdr:to>
      <xdr:col>15</xdr:col>
      <xdr:colOff>582083</xdr:colOff>
      <xdr:row>932</xdr:row>
      <xdr:rowOff>42333</xdr:rowOff>
    </xdr:to>
    <xdr:cxnSp macro="">
      <xdr:nvCxnSpPr>
        <xdr:cNvPr id="3121" name="Straight Arrow Connector 3120">
          <a:extLst>
            <a:ext uri="{FF2B5EF4-FFF2-40B4-BE49-F238E27FC236}">
              <a16:creationId xmlns:a16="http://schemas.microsoft.com/office/drawing/2014/main" id="{00000000-0008-0000-1200-0000310C0000}"/>
            </a:ext>
          </a:extLst>
        </xdr:cNvPr>
        <xdr:cNvCxnSpPr/>
      </xdr:nvCxnSpPr>
      <xdr:spPr>
        <a:xfrm>
          <a:off x="11292416" y="4593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931</xdr:row>
      <xdr:rowOff>21167</xdr:rowOff>
    </xdr:from>
    <xdr:to>
      <xdr:col>16</xdr:col>
      <xdr:colOff>42333</xdr:colOff>
      <xdr:row>936</xdr:row>
      <xdr:rowOff>21168</xdr:rowOff>
    </xdr:to>
    <xdr:cxnSp macro="">
      <xdr:nvCxnSpPr>
        <xdr:cNvPr id="3122" name="Straight Arrow Connector 3121">
          <a:extLst>
            <a:ext uri="{FF2B5EF4-FFF2-40B4-BE49-F238E27FC236}">
              <a16:creationId xmlns:a16="http://schemas.microsoft.com/office/drawing/2014/main" id="{00000000-0008-0000-1200-0000320C0000}"/>
            </a:ext>
          </a:extLst>
        </xdr:cNvPr>
        <xdr:cNvCxnSpPr/>
      </xdr:nvCxnSpPr>
      <xdr:spPr>
        <a:xfrm>
          <a:off x="11271250" y="4593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931</xdr:row>
      <xdr:rowOff>31750</xdr:rowOff>
    </xdr:from>
    <xdr:to>
      <xdr:col>16</xdr:col>
      <xdr:colOff>42334</xdr:colOff>
      <xdr:row>938</xdr:row>
      <xdr:rowOff>63501</xdr:rowOff>
    </xdr:to>
    <xdr:cxnSp macro="">
      <xdr:nvCxnSpPr>
        <xdr:cNvPr id="3123" name="Straight Arrow Connector 3122">
          <a:extLst>
            <a:ext uri="{FF2B5EF4-FFF2-40B4-BE49-F238E27FC236}">
              <a16:creationId xmlns:a16="http://schemas.microsoft.com/office/drawing/2014/main" id="{00000000-0008-0000-1200-0000330C0000}"/>
            </a:ext>
          </a:extLst>
        </xdr:cNvPr>
        <xdr:cNvCxnSpPr/>
      </xdr:nvCxnSpPr>
      <xdr:spPr>
        <a:xfrm>
          <a:off x="11281833" y="460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968</xdr:row>
      <xdr:rowOff>42333</xdr:rowOff>
    </xdr:from>
    <xdr:to>
      <xdr:col>9</xdr:col>
      <xdr:colOff>592666</xdr:colOff>
      <xdr:row>976</xdr:row>
      <xdr:rowOff>42333</xdr:rowOff>
    </xdr:to>
    <xdr:cxnSp macro="">
      <xdr:nvCxnSpPr>
        <xdr:cNvPr id="3124" name="Straight Arrow Connector 3123">
          <a:extLst>
            <a:ext uri="{FF2B5EF4-FFF2-40B4-BE49-F238E27FC236}">
              <a16:creationId xmlns:a16="http://schemas.microsoft.com/office/drawing/2014/main" id="{00000000-0008-0000-1200-0000340C0000}"/>
            </a:ext>
          </a:extLst>
        </xdr:cNvPr>
        <xdr:cNvCxnSpPr/>
      </xdr:nvCxnSpPr>
      <xdr:spPr>
        <a:xfrm flipV="1">
          <a:off x="6699250" y="11853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978</xdr:row>
      <xdr:rowOff>169334</xdr:rowOff>
    </xdr:from>
    <xdr:to>
      <xdr:col>9</xdr:col>
      <xdr:colOff>603250</xdr:colOff>
      <xdr:row>987</xdr:row>
      <xdr:rowOff>31750</xdr:rowOff>
    </xdr:to>
    <xdr:cxnSp macro="">
      <xdr:nvCxnSpPr>
        <xdr:cNvPr id="3125" name="Straight Arrow Connector 3124">
          <a:extLst>
            <a:ext uri="{FF2B5EF4-FFF2-40B4-BE49-F238E27FC236}">
              <a16:creationId xmlns:a16="http://schemas.microsoft.com/office/drawing/2014/main" id="{00000000-0008-0000-1200-0000350C0000}"/>
            </a:ext>
          </a:extLst>
        </xdr:cNvPr>
        <xdr:cNvCxnSpPr/>
      </xdr:nvCxnSpPr>
      <xdr:spPr>
        <a:xfrm>
          <a:off x="6720417" y="13885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984</xdr:row>
      <xdr:rowOff>158750</xdr:rowOff>
    </xdr:from>
    <xdr:to>
      <xdr:col>11</xdr:col>
      <xdr:colOff>571500</xdr:colOff>
      <xdr:row>987</xdr:row>
      <xdr:rowOff>0</xdr:rowOff>
    </xdr:to>
    <xdr:cxnSp macro="">
      <xdr:nvCxnSpPr>
        <xdr:cNvPr id="3126" name="Straight Arrow Connector 3125">
          <a:extLst>
            <a:ext uri="{FF2B5EF4-FFF2-40B4-BE49-F238E27FC236}">
              <a16:creationId xmlns:a16="http://schemas.microsoft.com/office/drawing/2014/main" id="{00000000-0008-0000-1200-0000360C0000}"/>
            </a:ext>
          </a:extLst>
        </xdr:cNvPr>
        <xdr:cNvCxnSpPr/>
      </xdr:nvCxnSpPr>
      <xdr:spPr>
        <a:xfrm flipV="1">
          <a:off x="7874000" y="15017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942</xdr:row>
      <xdr:rowOff>0</xdr:rowOff>
    </xdr:from>
    <xdr:to>
      <xdr:col>15</xdr:col>
      <xdr:colOff>603250</xdr:colOff>
      <xdr:row>944</xdr:row>
      <xdr:rowOff>1</xdr:rowOff>
    </xdr:to>
    <xdr:cxnSp macro="">
      <xdr:nvCxnSpPr>
        <xdr:cNvPr id="3127" name="Straight Arrow Connector 3126">
          <a:extLst>
            <a:ext uri="{FF2B5EF4-FFF2-40B4-BE49-F238E27FC236}">
              <a16:creationId xmlns:a16="http://schemas.microsoft.com/office/drawing/2014/main" id="{00000000-0008-0000-1200-0000370C0000}"/>
            </a:ext>
          </a:extLst>
        </xdr:cNvPr>
        <xdr:cNvCxnSpPr/>
      </xdr:nvCxnSpPr>
      <xdr:spPr>
        <a:xfrm flipV="1">
          <a:off x="11271250" y="6858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944</xdr:row>
      <xdr:rowOff>10584</xdr:rowOff>
    </xdr:from>
    <xdr:to>
      <xdr:col>15</xdr:col>
      <xdr:colOff>592666</xdr:colOff>
      <xdr:row>945</xdr:row>
      <xdr:rowOff>95250</xdr:rowOff>
    </xdr:to>
    <xdr:cxnSp macro="">
      <xdr:nvCxnSpPr>
        <xdr:cNvPr id="3128" name="Straight Arrow Connector 3127">
          <a:extLst>
            <a:ext uri="{FF2B5EF4-FFF2-40B4-BE49-F238E27FC236}">
              <a16:creationId xmlns:a16="http://schemas.microsoft.com/office/drawing/2014/main" id="{00000000-0008-0000-1200-0000380C0000}"/>
            </a:ext>
          </a:extLst>
        </xdr:cNvPr>
        <xdr:cNvCxnSpPr/>
      </xdr:nvCxnSpPr>
      <xdr:spPr>
        <a:xfrm>
          <a:off x="11313583" y="7249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944</xdr:row>
      <xdr:rowOff>10584</xdr:rowOff>
    </xdr:from>
    <xdr:to>
      <xdr:col>15</xdr:col>
      <xdr:colOff>560916</xdr:colOff>
      <xdr:row>948</xdr:row>
      <xdr:rowOff>52917</xdr:rowOff>
    </xdr:to>
    <xdr:cxnSp macro="">
      <xdr:nvCxnSpPr>
        <xdr:cNvPr id="3129" name="Straight Arrow Connector 3128">
          <a:extLst>
            <a:ext uri="{FF2B5EF4-FFF2-40B4-BE49-F238E27FC236}">
              <a16:creationId xmlns:a16="http://schemas.microsoft.com/office/drawing/2014/main" id="{00000000-0008-0000-1200-0000390C0000}"/>
            </a:ext>
          </a:extLst>
        </xdr:cNvPr>
        <xdr:cNvCxnSpPr/>
      </xdr:nvCxnSpPr>
      <xdr:spPr>
        <a:xfrm>
          <a:off x="11292416" y="7249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944</xdr:row>
      <xdr:rowOff>31750</xdr:rowOff>
    </xdr:from>
    <xdr:to>
      <xdr:col>16</xdr:col>
      <xdr:colOff>21167</xdr:colOff>
      <xdr:row>951</xdr:row>
      <xdr:rowOff>95250</xdr:rowOff>
    </xdr:to>
    <xdr:cxnSp macro="">
      <xdr:nvCxnSpPr>
        <xdr:cNvPr id="3130" name="Straight Arrow Connector 3129">
          <a:extLst>
            <a:ext uri="{FF2B5EF4-FFF2-40B4-BE49-F238E27FC236}">
              <a16:creationId xmlns:a16="http://schemas.microsoft.com/office/drawing/2014/main" id="{00000000-0008-0000-1200-00003A0C0000}"/>
            </a:ext>
          </a:extLst>
        </xdr:cNvPr>
        <xdr:cNvCxnSpPr/>
      </xdr:nvCxnSpPr>
      <xdr:spPr>
        <a:xfrm>
          <a:off x="11324166" y="727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958</xdr:row>
      <xdr:rowOff>0</xdr:rowOff>
    </xdr:from>
    <xdr:to>
      <xdr:col>16</xdr:col>
      <xdr:colOff>0</xdr:colOff>
      <xdr:row>958</xdr:row>
      <xdr:rowOff>42334</xdr:rowOff>
    </xdr:to>
    <xdr:cxnSp macro="">
      <xdr:nvCxnSpPr>
        <xdr:cNvPr id="3131" name="Straight Arrow Connector 3130">
          <a:extLst>
            <a:ext uri="{FF2B5EF4-FFF2-40B4-BE49-F238E27FC236}">
              <a16:creationId xmlns:a16="http://schemas.microsoft.com/office/drawing/2014/main" id="{00000000-0008-0000-1200-00003B0C0000}"/>
            </a:ext>
          </a:extLst>
        </xdr:cNvPr>
        <xdr:cNvCxnSpPr/>
      </xdr:nvCxnSpPr>
      <xdr:spPr>
        <a:xfrm>
          <a:off x="11302999" y="9906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958</xdr:row>
      <xdr:rowOff>21166</xdr:rowOff>
    </xdr:from>
    <xdr:to>
      <xdr:col>15</xdr:col>
      <xdr:colOff>560916</xdr:colOff>
      <xdr:row>961</xdr:row>
      <xdr:rowOff>84667</xdr:rowOff>
    </xdr:to>
    <xdr:cxnSp macro="">
      <xdr:nvCxnSpPr>
        <xdr:cNvPr id="3132" name="Straight Arrow Connector 3131">
          <a:extLst>
            <a:ext uri="{FF2B5EF4-FFF2-40B4-BE49-F238E27FC236}">
              <a16:creationId xmlns:a16="http://schemas.microsoft.com/office/drawing/2014/main" id="{00000000-0008-0000-1200-00003C0C0000}"/>
            </a:ext>
          </a:extLst>
        </xdr:cNvPr>
        <xdr:cNvCxnSpPr/>
      </xdr:nvCxnSpPr>
      <xdr:spPr>
        <a:xfrm>
          <a:off x="11355916" y="9927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958</xdr:row>
      <xdr:rowOff>52916</xdr:rowOff>
    </xdr:from>
    <xdr:to>
      <xdr:col>15</xdr:col>
      <xdr:colOff>592666</xdr:colOff>
      <xdr:row>964</xdr:row>
      <xdr:rowOff>63501</xdr:rowOff>
    </xdr:to>
    <xdr:cxnSp macro="">
      <xdr:nvCxnSpPr>
        <xdr:cNvPr id="3133" name="Straight Arrow Connector 3132">
          <a:extLst>
            <a:ext uri="{FF2B5EF4-FFF2-40B4-BE49-F238E27FC236}">
              <a16:creationId xmlns:a16="http://schemas.microsoft.com/office/drawing/2014/main" id="{00000000-0008-0000-1200-00003D0C0000}"/>
            </a:ext>
          </a:extLst>
        </xdr:cNvPr>
        <xdr:cNvCxnSpPr/>
      </xdr:nvCxnSpPr>
      <xdr:spPr>
        <a:xfrm>
          <a:off x="11313583" y="9958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972</xdr:row>
      <xdr:rowOff>116416</xdr:rowOff>
    </xdr:from>
    <xdr:to>
      <xdr:col>15</xdr:col>
      <xdr:colOff>592666</xdr:colOff>
      <xdr:row>975</xdr:row>
      <xdr:rowOff>158750</xdr:rowOff>
    </xdr:to>
    <xdr:cxnSp macro="">
      <xdr:nvCxnSpPr>
        <xdr:cNvPr id="3134" name="Straight Arrow Connector 3133">
          <a:extLst>
            <a:ext uri="{FF2B5EF4-FFF2-40B4-BE49-F238E27FC236}">
              <a16:creationId xmlns:a16="http://schemas.microsoft.com/office/drawing/2014/main" id="{00000000-0008-0000-1200-00003E0C0000}"/>
            </a:ext>
          </a:extLst>
        </xdr:cNvPr>
        <xdr:cNvCxnSpPr/>
      </xdr:nvCxnSpPr>
      <xdr:spPr>
        <a:xfrm flipV="1">
          <a:off x="11302999" y="12689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974</xdr:row>
      <xdr:rowOff>95250</xdr:rowOff>
    </xdr:from>
    <xdr:to>
      <xdr:col>15</xdr:col>
      <xdr:colOff>582083</xdr:colOff>
      <xdr:row>976</xdr:row>
      <xdr:rowOff>52917</xdr:rowOff>
    </xdr:to>
    <xdr:cxnSp macro="">
      <xdr:nvCxnSpPr>
        <xdr:cNvPr id="3135" name="Straight Arrow Connector 3134">
          <a:extLst>
            <a:ext uri="{FF2B5EF4-FFF2-40B4-BE49-F238E27FC236}">
              <a16:creationId xmlns:a16="http://schemas.microsoft.com/office/drawing/2014/main" id="{00000000-0008-0000-1200-00003F0C0000}"/>
            </a:ext>
          </a:extLst>
        </xdr:cNvPr>
        <xdr:cNvCxnSpPr/>
      </xdr:nvCxnSpPr>
      <xdr:spPr>
        <a:xfrm flipV="1">
          <a:off x="11345333" y="13049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116417</xdr:rowOff>
    </xdr:from>
    <xdr:to>
      <xdr:col>15</xdr:col>
      <xdr:colOff>592666</xdr:colOff>
      <xdr:row>980</xdr:row>
      <xdr:rowOff>95250</xdr:rowOff>
    </xdr:to>
    <xdr:cxnSp macro="">
      <xdr:nvCxnSpPr>
        <xdr:cNvPr id="3136" name="Straight Arrow Connector 3135">
          <a:extLst>
            <a:ext uri="{FF2B5EF4-FFF2-40B4-BE49-F238E27FC236}">
              <a16:creationId xmlns:a16="http://schemas.microsoft.com/office/drawing/2014/main" id="{00000000-0008-0000-1200-0000400C0000}"/>
            </a:ext>
          </a:extLst>
        </xdr:cNvPr>
        <xdr:cNvCxnSpPr/>
      </xdr:nvCxnSpPr>
      <xdr:spPr>
        <a:xfrm>
          <a:off x="11334749" y="13451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987</xdr:row>
      <xdr:rowOff>116416</xdr:rowOff>
    </xdr:from>
    <xdr:to>
      <xdr:col>16</xdr:col>
      <xdr:colOff>0</xdr:colOff>
      <xdr:row>994</xdr:row>
      <xdr:rowOff>74084</xdr:rowOff>
    </xdr:to>
    <xdr:cxnSp macro="">
      <xdr:nvCxnSpPr>
        <xdr:cNvPr id="3137" name="Straight Arrow Connector 3136">
          <a:extLst>
            <a:ext uri="{FF2B5EF4-FFF2-40B4-BE49-F238E27FC236}">
              <a16:creationId xmlns:a16="http://schemas.microsoft.com/office/drawing/2014/main" id="{00000000-0008-0000-1200-0000410C0000}"/>
            </a:ext>
          </a:extLst>
        </xdr:cNvPr>
        <xdr:cNvCxnSpPr/>
      </xdr:nvCxnSpPr>
      <xdr:spPr>
        <a:xfrm>
          <a:off x="11313583" y="15546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955</xdr:row>
      <xdr:rowOff>52917</xdr:rowOff>
    </xdr:from>
    <xdr:to>
      <xdr:col>15</xdr:col>
      <xdr:colOff>603250</xdr:colOff>
      <xdr:row>957</xdr:row>
      <xdr:rowOff>148167</xdr:rowOff>
    </xdr:to>
    <xdr:cxnSp macro="">
      <xdr:nvCxnSpPr>
        <xdr:cNvPr id="3138" name="Straight Arrow Connector 3137">
          <a:extLst>
            <a:ext uri="{FF2B5EF4-FFF2-40B4-BE49-F238E27FC236}">
              <a16:creationId xmlns:a16="http://schemas.microsoft.com/office/drawing/2014/main" id="{00000000-0008-0000-1200-0000420C0000}"/>
            </a:ext>
          </a:extLst>
        </xdr:cNvPr>
        <xdr:cNvCxnSpPr/>
      </xdr:nvCxnSpPr>
      <xdr:spPr>
        <a:xfrm flipV="1">
          <a:off x="11324166" y="9387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990</xdr:row>
      <xdr:rowOff>42333</xdr:rowOff>
    </xdr:from>
    <xdr:to>
      <xdr:col>11</xdr:col>
      <xdr:colOff>603250</xdr:colOff>
      <xdr:row>1002</xdr:row>
      <xdr:rowOff>10583</xdr:rowOff>
    </xdr:to>
    <xdr:cxnSp macro="">
      <xdr:nvCxnSpPr>
        <xdr:cNvPr id="3139" name="Straight Arrow Connector 3138">
          <a:extLst>
            <a:ext uri="{FF2B5EF4-FFF2-40B4-BE49-F238E27FC236}">
              <a16:creationId xmlns:a16="http://schemas.microsoft.com/office/drawing/2014/main" id="{00000000-0008-0000-1200-0000430C0000}"/>
            </a:ext>
          </a:extLst>
        </xdr:cNvPr>
        <xdr:cNvCxnSpPr/>
      </xdr:nvCxnSpPr>
      <xdr:spPr>
        <a:xfrm>
          <a:off x="7926917" y="16044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980</xdr:row>
      <xdr:rowOff>21167</xdr:rowOff>
    </xdr:from>
    <xdr:to>
      <xdr:col>13</xdr:col>
      <xdr:colOff>592667</xdr:colOff>
      <xdr:row>982</xdr:row>
      <xdr:rowOff>0</xdr:rowOff>
    </xdr:to>
    <xdr:cxnSp macro="">
      <xdr:nvCxnSpPr>
        <xdr:cNvPr id="3140" name="Straight Arrow Connector 3139">
          <a:extLst>
            <a:ext uri="{FF2B5EF4-FFF2-40B4-BE49-F238E27FC236}">
              <a16:creationId xmlns:a16="http://schemas.microsoft.com/office/drawing/2014/main" id="{00000000-0008-0000-1200-0000440C0000}"/>
            </a:ext>
          </a:extLst>
        </xdr:cNvPr>
        <xdr:cNvCxnSpPr/>
      </xdr:nvCxnSpPr>
      <xdr:spPr>
        <a:xfrm flipV="1">
          <a:off x="9133417" y="14118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985</xdr:row>
      <xdr:rowOff>21166</xdr:rowOff>
    </xdr:from>
    <xdr:to>
      <xdr:col>13</xdr:col>
      <xdr:colOff>592667</xdr:colOff>
      <xdr:row>986</xdr:row>
      <xdr:rowOff>169334</xdr:rowOff>
    </xdr:to>
    <xdr:cxnSp macro="">
      <xdr:nvCxnSpPr>
        <xdr:cNvPr id="3141" name="Straight Arrow Connector 3140">
          <a:extLst>
            <a:ext uri="{FF2B5EF4-FFF2-40B4-BE49-F238E27FC236}">
              <a16:creationId xmlns:a16="http://schemas.microsoft.com/office/drawing/2014/main" id="{00000000-0008-0000-1200-0000450C0000}"/>
            </a:ext>
          </a:extLst>
        </xdr:cNvPr>
        <xdr:cNvCxnSpPr/>
      </xdr:nvCxnSpPr>
      <xdr:spPr>
        <a:xfrm>
          <a:off x="9122833" y="15070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1000</xdr:row>
      <xdr:rowOff>21167</xdr:rowOff>
    </xdr:from>
    <xdr:to>
      <xdr:col>13</xdr:col>
      <xdr:colOff>592667</xdr:colOff>
      <xdr:row>1002</xdr:row>
      <xdr:rowOff>63500</xdr:rowOff>
    </xdr:to>
    <xdr:cxnSp macro="">
      <xdr:nvCxnSpPr>
        <xdr:cNvPr id="3142" name="Straight Arrow Connector 3141">
          <a:extLst>
            <a:ext uri="{FF2B5EF4-FFF2-40B4-BE49-F238E27FC236}">
              <a16:creationId xmlns:a16="http://schemas.microsoft.com/office/drawing/2014/main" id="{00000000-0008-0000-1200-0000460C0000}"/>
            </a:ext>
          </a:extLst>
        </xdr:cNvPr>
        <xdr:cNvCxnSpPr/>
      </xdr:nvCxnSpPr>
      <xdr:spPr>
        <a:xfrm flipV="1">
          <a:off x="9525000" y="18118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1005</xdr:row>
      <xdr:rowOff>0</xdr:rowOff>
    </xdr:from>
    <xdr:to>
      <xdr:col>14</xdr:col>
      <xdr:colOff>10584</xdr:colOff>
      <xdr:row>1013</xdr:row>
      <xdr:rowOff>148167</xdr:rowOff>
    </xdr:to>
    <xdr:cxnSp macro="">
      <xdr:nvCxnSpPr>
        <xdr:cNvPr id="3143" name="Straight Arrow Connector 3142">
          <a:extLst>
            <a:ext uri="{FF2B5EF4-FFF2-40B4-BE49-F238E27FC236}">
              <a16:creationId xmlns:a16="http://schemas.microsoft.com/office/drawing/2014/main" id="{00000000-0008-0000-1200-0000470C0000}"/>
            </a:ext>
          </a:extLst>
        </xdr:cNvPr>
        <xdr:cNvCxnSpPr/>
      </xdr:nvCxnSpPr>
      <xdr:spPr>
        <a:xfrm>
          <a:off x="9535583" y="19050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976</xdr:row>
      <xdr:rowOff>95250</xdr:rowOff>
    </xdr:from>
    <xdr:to>
      <xdr:col>15</xdr:col>
      <xdr:colOff>582083</xdr:colOff>
      <xdr:row>978</xdr:row>
      <xdr:rowOff>137583</xdr:rowOff>
    </xdr:to>
    <xdr:cxnSp macro="">
      <xdr:nvCxnSpPr>
        <xdr:cNvPr id="3144" name="Straight Arrow Connector 3143">
          <a:extLst>
            <a:ext uri="{FF2B5EF4-FFF2-40B4-BE49-F238E27FC236}">
              <a16:creationId xmlns:a16="http://schemas.microsoft.com/office/drawing/2014/main" id="{00000000-0008-0000-1200-0000480C0000}"/>
            </a:ext>
          </a:extLst>
        </xdr:cNvPr>
        <xdr:cNvCxnSpPr/>
      </xdr:nvCxnSpPr>
      <xdr:spPr>
        <a:xfrm>
          <a:off x="11334749" y="13430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985</xdr:row>
      <xdr:rowOff>52916</xdr:rowOff>
    </xdr:from>
    <xdr:to>
      <xdr:col>16</xdr:col>
      <xdr:colOff>0</xdr:colOff>
      <xdr:row>987</xdr:row>
      <xdr:rowOff>0</xdr:rowOff>
    </xdr:to>
    <xdr:cxnSp macro="">
      <xdr:nvCxnSpPr>
        <xdr:cNvPr id="3145" name="Straight Arrow Connector 3144">
          <a:extLst>
            <a:ext uri="{FF2B5EF4-FFF2-40B4-BE49-F238E27FC236}">
              <a16:creationId xmlns:a16="http://schemas.microsoft.com/office/drawing/2014/main" id="{00000000-0008-0000-1200-0000490C0000}"/>
            </a:ext>
          </a:extLst>
        </xdr:cNvPr>
        <xdr:cNvCxnSpPr/>
      </xdr:nvCxnSpPr>
      <xdr:spPr>
        <a:xfrm flipV="1">
          <a:off x="11281833" y="15102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21167</xdr:rowOff>
    </xdr:from>
    <xdr:to>
      <xdr:col>15</xdr:col>
      <xdr:colOff>592666</xdr:colOff>
      <xdr:row>988</xdr:row>
      <xdr:rowOff>84667</xdr:rowOff>
    </xdr:to>
    <xdr:cxnSp macro="">
      <xdr:nvCxnSpPr>
        <xdr:cNvPr id="3146" name="Straight Arrow Connector 3145">
          <a:extLst>
            <a:ext uri="{FF2B5EF4-FFF2-40B4-BE49-F238E27FC236}">
              <a16:creationId xmlns:a16="http://schemas.microsoft.com/office/drawing/2014/main" id="{00000000-0008-0000-1200-00004A0C0000}"/>
            </a:ext>
          </a:extLst>
        </xdr:cNvPr>
        <xdr:cNvCxnSpPr/>
      </xdr:nvCxnSpPr>
      <xdr:spPr>
        <a:xfrm>
          <a:off x="11271250" y="15451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987</xdr:row>
      <xdr:rowOff>0</xdr:rowOff>
    </xdr:from>
    <xdr:to>
      <xdr:col>16</xdr:col>
      <xdr:colOff>0</xdr:colOff>
      <xdr:row>991</xdr:row>
      <xdr:rowOff>42334</xdr:rowOff>
    </xdr:to>
    <xdr:cxnSp macro="">
      <xdr:nvCxnSpPr>
        <xdr:cNvPr id="3147" name="Straight Arrow Connector 3146">
          <a:extLst>
            <a:ext uri="{FF2B5EF4-FFF2-40B4-BE49-F238E27FC236}">
              <a16:creationId xmlns:a16="http://schemas.microsoft.com/office/drawing/2014/main" id="{00000000-0008-0000-1200-00004B0C0000}"/>
            </a:ext>
          </a:extLst>
        </xdr:cNvPr>
        <xdr:cNvCxnSpPr/>
      </xdr:nvCxnSpPr>
      <xdr:spPr>
        <a:xfrm>
          <a:off x="11271250" y="15430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1000</xdr:row>
      <xdr:rowOff>10584</xdr:rowOff>
    </xdr:from>
    <xdr:to>
      <xdr:col>15</xdr:col>
      <xdr:colOff>560916</xdr:colOff>
      <xdr:row>1004</xdr:row>
      <xdr:rowOff>52917</xdr:rowOff>
    </xdr:to>
    <xdr:cxnSp macro="">
      <xdr:nvCxnSpPr>
        <xdr:cNvPr id="3150" name="Straight Arrow Connector 3149">
          <a:extLst>
            <a:ext uri="{FF2B5EF4-FFF2-40B4-BE49-F238E27FC236}">
              <a16:creationId xmlns:a16="http://schemas.microsoft.com/office/drawing/2014/main" id="{00000000-0008-0000-1200-00004E0C0000}"/>
            </a:ext>
          </a:extLst>
        </xdr:cNvPr>
        <xdr:cNvCxnSpPr/>
      </xdr:nvCxnSpPr>
      <xdr:spPr>
        <a:xfrm>
          <a:off x="11292416" y="18108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3151" name="Straight Arrow Connector 3150">
          <a:extLst>
            <a:ext uri="{FF2B5EF4-FFF2-40B4-BE49-F238E27FC236}">
              <a16:creationId xmlns:a16="http://schemas.microsoft.com/office/drawing/2014/main" id="{00000000-0008-0000-1200-00004F0C0000}"/>
            </a:ext>
          </a:extLst>
        </xdr:cNvPr>
        <xdr:cNvCxnSpPr/>
      </xdr:nvCxnSpPr>
      <xdr:spPr>
        <a:xfrm>
          <a:off x="11324166" y="18129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1014</xdr:row>
      <xdr:rowOff>0</xdr:rowOff>
    </xdr:from>
    <xdr:to>
      <xdr:col>16</xdr:col>
      <xdr:colOff>0</xdr:colOff>
      <xdr:row>1014</xdr:row>
      <xdr:rowOff>42334</xdr:rowOff>
    </xdr:to>
    <xdr:cxnSp macro="">
      <xdr:nvCxnSpPr>
        <xdr:cNvPr id="3152" name="Straight Arrow Connector 3151">
          <a:extLst>
            <a:ext uri="{FF2B5EF4-FFF2-40B4-BE49-F238E27FC236}">
              <a16:creationId xmlns:a16="http://schemas.microsoft.com/office/drawing/2014/main" id="{00000000-0008-0000-1200-0000500C0000}"/>
            </a:ext>
          </a:extLst>
        </xdr:cNvPr>
        <xdr:cNvCxnSpPr/>
      </xdr:nvCxnSpPr>
      <xdr:spPr>
        <a:xfrm>
          <a:off x="11302999" y="20764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1014</xdr:row>
      <xdr:rowOff>21166</xdr:rowOff>
    </xdr:from>
    <xdr:to>
      <xdr:col>15</xdr:col>
      <xdr:colOff>560916</xdr:colOff>
      <xdr:row>1017</xdr:row>
      <xdr:rowOff>84667</xdr:rowOff>
    </xdr:to>
    <xdr:cxnSp macro="">
      <xdr:nvCxnSpPr>
        <xdr:cNvPr id="3153" name="Straight Arrow Connector 3152">
          <a:extLst>
            <a:ext uri="{FF2B5EF4-FFF2-40B4-BE49-F238E27FC236}">
              <a16:creationId xmlns:a16="http://schemas.microsoft.com/office/drawing/2014/main" id="{00000000-0008-0000-1200-0000510C0000}"/>
            </a:ext>
          </a:extLst>
        </xdr:cNvPr>
        <xdr:cNvCxnSpPr/>
      </xdr:nvCxnSpPr>
      <xdr:spPr>
        <a:xfrm>
          <a:off x="11355916" y="20785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1014</xdr:row>
      <xdr:rowOff>52916</xdr:rowOff>
    </xdr:from>
    <xdr:to>
      <xdr:col>15</xdr:col>
      <xdr:colOff>592666</xdr:colOff>
      <xdr:row>1020</xdr:row>
      <xdr:rowOff>63501</xdr:rowOff>
    </xdr:to>
    <xdr:cxnSp macro="">
      <xdr:nvCxnSpPr>
        <xdr:cNvPr id="3154" name="Straight Arrow Connector 3153">
          <a:extLst>
            <a:ext uri="{FF2B5EF4-FFF2-40B4-BE49-F238E27FC236}">
              <a16:creationId xmlns:a16="http://schemas.microsoft.com/office/drawing/2014/main" id="{00000000-0008-0000-1200-0000520C0000}"/>
            </a:ext>
          </a:extLst>
        </xdr:cNvPr>
        <xdr:cNvCxnSpPr/>
      </xdr:nvCxnSpPr>
      <xdr:spPr>
        <a:xfrm>
          <a:off x="11313583" y="20817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1011</xdr:row>
      <xdr:rowOff>52917</xdr:rowOff>
    </xdr:from>
    <xdr:to>
      <xdr:col>15</xdr:col>
      <xdr:colOff>603250</xdr:colOff>
      <xdr:row>1013</xdr:row>
      <xdr:rowOff>148167</xdr:rowOff>
    </xdr:to>
    <xdr:cxnSp macro="">
      <xdr:nvCxnSpPr>
        <xdr:cNvPr id="3155" name="Straight Arrow Connector 3154">
          <a:extLst>
            <a:ext uri="{FF2B5EF4-FFF2-40B4-BE49-F238E27FC236}">
              <a16:creationId xmlns:a16="http://schemas.microsoft.com/office/drawing/2014/main" id="{00000000-0008-0000-1200-0000530C0000}"/>
            </a:ext>
          </a:extLst>
        </xdr:cNvPr>
        <xdr:cNvCxnSpPr/>
      </xdr:nvCxnSpPr>
      <xdr:spPr>
        <a:xfrm flipV="1">
          <a:off x="11324166" y="20245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1055</xdr:row>
      <xdr:rowOff>95250</xdr:rowOff>
    </xdr:from>
    <xdr:to>
      <xdr:col>8</xdr:col>
      <xdr:colOff>21167</xdr:colOff>
      <xdr:row>1087</xdr:row>
      <xdr:rowOff>148166</xdr:rowOff>
    </xdr:to>
    <xdr:cxnSp macro="">
      <xdr:nvCxnSpPr>
        <xdr:cNvPr id="3156" name="Straight Arrow Connector 3155">
          <a:extLst>
            <a:ext uri="{FF2B5EF4-FFF2-40B4-BE49-F238E27FC236}">
              <a16:creationId xmlns:a16="http://schemas.microsoft.com/office/drawing/2014/main" id="{00000000-0008-0000-1200-0000540C0000}"/>
            </a:ext>
          </a:extLst>
        </xdr:cNvPr>
        <xdr:cNvCxnSpPr/>
      </xdr:nvCxnSpPr>
      <xdr:spPr>
        <a:xfrm>
          <a:off x="5185833" y="288607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1026</xdr:row>
      <xdr:rowOff>137583</xdr:rowOff>
    </xdr:from>
    <xdr:to>
      <xdr:col>9</xdr:col>
      <xdr:colOff>603250</xdr:colOff>
      <xdr:row>1032</xdr:row>
      <xdr:rowOff>21166</xdr:rowOff>
    </xdr:to>
    <xdr:cxnSp macro="">
      <xdr:nvCxnSpPr>
        <xdr:cNvPr id="3157" name="Straight Arrow Connector 3156">
          <a:extLst>
            <a:ext uri="{FF2B5EF4-FFF2-40B4-BE49-F238E27FC236}">
              <a16:creationId xmlns:a16="http://schemas.microsoft.com/office/drawing/2014/main" id="{00000000-0008-0000-1200-0000550C0000}"/>
            </a:ext>
          </a:extLst>
        </xdr:cNvPr>
        <xdr:cNvCxnSpPr/>
      </xdr:nvCxnSpPr>
      <xdr:spPr>
        <a:xfrm flipV="1">
          <a:off x="6688667" y="23188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1035</xdr:row>
      <xdr:rowOff>0</xdr:rowOff>
    </xdr:from>
    <xdr:to>
      <xdr:col>9</xdr:col>
      <xdr:colOff>582083</xdr:colOff>
      <xdr:row>1043</xdr:row>
      <xdr:rowOff>10583</xdr:rowOff>
    </xdr:to>
    <xdr:cxnSp macro="">
      <xdr:nvCxnSpPr>
        <xdr:cNvPr id="3158" name="Straight Arrow Connector 3157">
          <a:extLst>
            <a:ext uri="{FF2B5EF4-FFF2-40B4-BE49-F238E27FC236}">
              <a16:creationId xmlns:a16="http://schemas.microsoft.com/office/drawing/2014/main" id="{00000000-0008-0000-1200-0000560C0000}"/>
            </a:ext>
          </a:extLst>
        </xdr:cNvPr>
        <xdr:cNvCxnSpPr/>
      </xdr:nvCxnSpPr>
      <xdr:spPr>
        <a:xfrm>
          <a:off x="6720417" y="24765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1040</xdr:row>
      <xdr:rowOff>169333</xdr:rowOff>
    </xdr:from>
    <xdr:to>
      <xdr:col>11</xdr:col>
      <xdr:colOff>603250</xdr:colOff>
      <xdr:row>1043</xdr:row>
      <xdr:rowOff>21167</xdr:rowOff>
    </xdr:to>
    <xdr:cxnSp macro="">
      <xdr:nvCxnSpPr>
        <xdr:cNvPr id="3159" name="Straight Arrow Connector 3158">
          <a:extLst>
            <a:ext uri="{FF2B5EF4-FFF2-40B4-BE49-F238E27FC236}">
              <a16:creationId xmlns:a16="http://schemas.microsoft.com/office/drawing/2014/main" id="{00000000-0008-0000-1200-0000570C0000}"/>
            </a:ext>
          </a:extLst>
        </xdr:cNvPr>
        <xdr:cNvCxnSpPr/>
      </xdr:nvCxnSpPr>
      <xdr:spPr>
        <a:xfrm flipV="1">
          <a:off x="7937500"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1046</xdr:row>
      <xdr:rowOff>42333</xdr:rowOff>
    </xdr:from>
    <xdr:to>
      <xdr:col>11</xdr:col>
      <xdr:colOff>603250</xdr:colOff>
      <xdr:row>1058</xdr:row>
      <xdr:rowOff>10583</xdr:rowOff>
    </xdr:to>
    <xdr:cxnSp macro="">
      <xdr:nvCxnSpPr>
        <xdr:cNvPr id="3160" name="Straight Arrow Connector 3159">
          <a:extLst>
            <a:ext uri="{FF2B5EF4-FFF2-40B4-BE49-F238E27FC236}">
              <a16:creationId xmlns:a16="http://schemas.microsoft.com/office/drawing/2014/main" id="{00000000-0008-0000-1200-0000580C0000}"/>
            </a:ext>
          </a:extLst>
        </xdr:cNvPr>
        <xdr:cNvCxnSpPr/>
      </xdr:nvCxnSpPr>
      <xdr:spPr>
        <a:xfrm>
          <a:off x="7926917"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1036</xdr:row>
      <xdr:rowOff>21167</xdr:rowOff>
    </xdr:from>
    <xdr:to>
      <xdr:col>13</xdr:col>
      <xdr:colOff>592667</xdr:colOff>
      <xdr:row>1038</xdr:row>
      <xdr:rowOff>0</xdr:rowOff>
    </xdr:to>
    <xdr:cxnSp macro="">
      <xdr:nvCxnSpPr>
        <xdr:cNvPr id="3161" name="Straight Arrow Connector 3160">
          <a:extLst>
            <a:ext uri="{FF2B5EF4-FFF2-40B4-BE49-F238E27FC236}">
              <a16:creationId xmlns:a16="http://schemas.microsoft.com/office/drawing/2014/main" id="{00000000-0008-0000-1200-0000590C0000}"/>
            </a:ext>
          </a:extLst>
        </xdr:cNvPr>
        <xdr:cNvCxnSpPr/>
      </xdr:nvCxnSpPr>
      <xdr:spPr>
        <a:xfrm flipV="1">
          <a:off x="9133417" y="24976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1041</xdr:row>
      <xdr:rowOff>21166</xdr:rowOff>
    </xdr:from>
    <xdr:to>
      <xdr:col>13</xdr:col>
      <xdr:colOff>592667</xdr:colOff>
      <xdr:row>1042</xdr:row>
      <xdr:rowOff>169334</xdr:rowOff>
    </xdr:to>
    <xdr:cxnSp macro="">
      <xdr:nvCxnSpPr>
        <xdr:cNvPr id="3162" name="Straight Arrow Connector 3161">
          <a:extLst>
            <a:ext uri="{FF2B5EF4-FFF2-40B4-BE49-F238E27FC236}">
              <a16:creationId xmlns:a16="http://schemas.microsoft.com/office/drawing/2014/main" id="{00000000-0008-0000-1200-00005A0C0000}"/>
            </a:ext>
          </a:extLst>
        </xdr:cNvPr>
        <xdr:cNvCxnSpPr/>
      </xdr:nvCxnSpPr>
      <xdr:spPr>
        <a:xfrm>
          <a:off x="9122833" y="25929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1056</xdr:row>
      <xdr:rowOff>21167</xdr:rowOff>
    </xdr:from>
    <xdr:to>
      <xdr:col>13</xdr:col>
      <xdr:colOff>592667</xdr:colOff>
      <xdr:row>1058</xdr:row>
      <xdr:rowOff>63500</xdr:rowOff>
    </xdr:to>
    <xdr:cxnSp macro="">
      <xdr:nvCxnSpPr>
        <xdr:cNvPr id="3163" name="Straight Arrow Connector 3162">
          <a:extLst>
            <a:ext uri="{FF2B5EF4-FFF2-40B4-BE49-F238E27FC236}">
              <a16:creationId xmlns:a16="http://schemas.microsoft.com/office/drawing/2014/main" id="{00000000-0008-0000-1200-00005B0C0000}"/>
            </a:ext>
          </a:extLst>
        </xdr:cNvPr>
        <xdr:cNvCxnSpPr/>
      </xdr:nvCxnSpPr>
      <xdr:spPr>
        <a:xfrm flipV="1">
          <a:off x="952500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1061</xdr:row>
      <xdr:rowOff>0</xdr:rowOff>
    </xdr:from>
    <xdr:to>
      <xdr:col>14</xdr:col>
      <xdr:colOff>10584</xdr:colOff>
      <xdr:row>1069</xdr:row>
      <xdr:rowOff>148167</xdr:rowOff>
    </xdr:to>
    <xdr:cxnSp macro="">
      <xdr:nvCxnSpPr>
        <xdr:cNvPr id="3164" name="Straight Arrow Connector 3163">
          <a:extLst>
            <a:ext uri="{FF2B5EF4-FFF2-40B4-BE49-F238E27FC236}">
              <a16:creationId xmlns:a16="http://schemas.microsoft.com/office/drawing/2014/main" id="{00000000-0008-0000-1200-00005C0C0000}"/>
            </a:ext>
          </a:extLst>
        </xdr:cNvPr>
        <xdr:cNvCxnSpPr/>
      </xdr:nvCxnSpPr>
      <xdr:spPr>
        <a:xfrm>
          <a:off x="9535583" y="29908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1028</xdr:row>
      <xdr:rowOff>0</xdr:rowOff>
    </xdr:from>
    <xdr:to>
      <xdr:col>15</xdr:col>
      <xdr:colOff>603250</xdr:colOff>
      <xdr:row>1033</xdr:row>
      <xdr:rowOff>31750</xdr:rowOff>
    </xdr:to>
    <xdr:cxnSp macro="">
      <xdr:nvCxnSpPr>
        <xdr:cNvPr id="3165" name="Straight Arrow Connector 3164">
          <a:extLst>
            <a:ext uri="{FF2B5EF4-FFF2-40B4-BE49-F238E27FC236}">
              <a16:creationId xmlns:a16="http://schemas.microsoft.com/office/drawing/2014/main" id="{00000000-0008-0000-1200-00005D0C0000}"/>
            </a:ext>
          </a:extLst>
        </xdr:cNvPr>
        <xdr:cNvCxnSpPr/>
      </xdr:nvCxnSpPr>
      <xdr:spPr>
        <a:xfrm flipV="1">
          <a:off x="11281833"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1031</xdr:row>
      <xdr:rowOff>52917</xdr:rowOff>
    </xdr:from>
    <xdr:to>
      <xdr:col>15</xdr:col>
      <xdr:colOff>603250</xdr:colOff>
      <xdr:row>1033</xdr:row>
      <xdr:rowOff>95250</xdr:rowOff>
    </xdr:to>
    <xdr:cxnSp macro="">
      <xdr:nvCxnSpPr>
        <xdr:cNvPr id="3166" name="Straight Arrow Connector 3165">
          <a:extLst>
            <a:ext uri="{FF2B5EF4-FFF2-40B4-BE49-F238E27FC236}">
              <a16:creationId xmlns:a16="http://schemas.microsoft.com/office/drawing/2014/main" id="{00000000-0008-0000-1200-00005E0C0000}"/>
            </a:ext>
          </a:extLst>
        </xdr:cNvPr>
        <xdr:cNvCxnSpPr/>
      </xdr:nvCxnSpPr>
      <xdr:spPr>
        <a:xfrm flipV="1">
          <a:off x="11324166"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1033</xdr:row>
      <xdr:rowOff>158750</xdr:rowOff>
    </xdr:from>
    <xdr:to>
      <xdr:col>15</xdr:col>
      <xdr:colOff>582083</xdr:colOff>
      <xdr:row>1034</xdr:row>
      <xdr:rowOff>137583</xdr:rowOff>
    </xdr:to>
    <xdr:cxnSp macro="">
      <xdr:nvCxnSpPr>
        <xdr:cNvPr id="3167" name="Straight Arrow Connector 3166">
          <a:extLst>
            <a:ext uri="{FF2B5EF4-FFF2-40B4-BE49-F238E27FC236}">
              <a16:creationId xmlns:a16="http://schemas.microsoft.com/office/drawing/2014/main" id="{00000000-0008-0000-1200-00005F0C0000}"/>
            </a:ext>
          </a:extLst>
        </xdr:cNvPr>
        <xdr:cNvCxnSpPr/>
      </xdr:nvCxnSpPr>
      <xdr:spPr>
        <a:xfrm>
          <a:off x="11345333"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1033</xdr:row>
      <xdr:rowOff>105834</xdr:rowOff>
    </xdr:from>
    <xdr:to>
      <xdr:col>16</xdr:col>
      <xdr:colOff>0</xdr:colOff>
      <xdr:row>1037</xdr:row>
      <xdr:rowOff>84667</xdr:rowOff>
    </xdr:to>
    <xdr:cxnSp macro="">
      <xdr:nvCxnSpPr>
        <xdr:cNvPr id="3168" name="Straight Arrow Connector 3167">
          <a:extLst>
            <a:ext uri="{FF2B5EF4-FFF2-40B4-BE49-F238E27FC236}">
              <a16:creationId xmlns:a16="http://schemas.microsoft.com/office/drawing/2014/main" id="{00000000-0008-0000-1200-0000600C0000}"/>
            </a:ext>
          </a:extLst>
        </xdr:cNvPr>
        <xdr:cNvCxnSpPr/>
      </xdr:nvCxnSpPr>
      <xdr:spPr>
        <a:xfrm>
          <a:off x="11260667" y="24489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1041</xdr:row>
      <xdr:rowOff>52916</xdr:rowOff>
    </xdr:from>
    <xdr:to>
      <xdr:col>16</xdr:col>
      <xdr:colOff>0</xdr:colOff>
      <xdr:row>1043</xdr:row>
      <xdr:rowOff>0</xdr:rowOff>
    </xdr:to>
    <xdr:cxnSp macro="">
      <xdr:nvCxnSpPr>
        <xdr:cNvPr id="3169" name="Straight Arrow Connector 3168">
          <a:extLst>
            <a:ext uri="{FF2B5EF4-FFF2-40B4-BE49-F238E27FC236}">
              <a16:creationId xmlns:a16="http://schemas.microsoft.com/office/drawing/2014/main" id="{00000000-0008-0000-1200-0000610C0000}"/>
            </a:ext>
          </a:extLst>
        </xdr:cNvPr>
        <xdr:cNvCxnSpPr/>
      </xdr:nvCxnSpPr>
      <xdr:spPr>
        <a:xfrm flipV="1">
          <a:off x="11281833" y="25960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1043</xdr:row>
      <xdr:rowOff>21167</xdr:rowOff>
    </xdr:from>
    <xdr:to>
      <xdr:col>15</xdr:col>
      <xdr:colOff>582083</xdr:colOff>
      <xdr:row>1044</xdr:row>
      <xdr:rowOff>42333</xdr:rowOff>
    </xdr:to>
    <xdr:cxnSp macro="">
      <xdr:nvCxnSpPr>
        <xdr:cNvPr id="3170" name="Straight Arrow Connector 3169">
          <a:extLst>
            <a:ext uri="{FF2B5EF4-FFF2-40B4-BE49-F238E27FC236}">
              <a16:creationId xmlns:a16="http://schemas.microsoft.com/office/drawing/2014/main" id="{00000000-0008-0000-1200-0000620C0000}"/>
            </a:ext>
          </a:extLst>
        </xdr:cNvPr>
        <xdr:cNvCxnSpPr/>
      </xdr:nvCxnSpPr>
      <xdr:spPr>
        <a:xfrm>
          <a:off x="11292416"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1043</xdr:row>
      <xdr:rowOff>21167</xdr:rowOff>
    </xdr:from>
    <xdr:to>
      <xdr:col>16</xdr:col>
      <xdr:colOff>42333</xdr:colOff>
      <xdr:row>1048</xdr:row>
      <xdr:rowOff>21168</xdr:rowOff>
    </xdr:to>
    <xdr:cxnSp macro="">
      <xdr:nvCxnSpPr>
        <xdr:cNvPr id="3171" name="Straight Arrow Connector 3170">
          <a:extLst>
            <a:ext uri="{FF2B5EF4-FFF2-40B4-BE49-F238E27FC236}">
              <a16:creationId xmlns:a16="http://schemas.microsoft.com/office/drawing/2014/main" id="{00000000-0008-0000-1200-0000630C0000}"/>
            </a:ext>
          </a:extLst>
        </xdr:cNvPr>
        <xdr:cNvCxnSpPr/>
      </xdr:nvCxnSpPr>
      <xdr:spPr>
        <a:xfrm>
          <a:off x="11271250" y="26310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1043</xdr:row>
      <xdr:rowOff>31750</xdr:rowOff>
    </xdr:from>
    <xdr:to>
      <xdr:col>16</xdr:col>
      <xdr:colOff>42334</xdr:colOff>
      <xdr:row>1050</xdr:row>
      <xdr:rowOff>63501</xdr:rowOff>
    </xdr:to>
    <xdr:cxnSp macro="">
      <xdr:nvCxnSpPr>
        <xdr:cNvPr id="3172" name="Straight Arrow Connector 3171">
          <a:extLst>
            <a:ext uri="{FF2B5EF4-FFF2-40B4-BE49-F238E27FC236}">
              <a16:creationId xmlns:a16="http://schemas.microsoft.com/office/drawing/2014/main" id="{00000000-0008-0000-1200-0000640C0000}"/>
            </a:ext>
          </a:extLst>
        </xdr:cNvPr>
        <xdr:cNvCxnSpPr/>
      </xdr:nvCxnSpPr>
      <xdr:spPr>
        <a:xfrm>
          <a:off x="11281833" y="263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1080</xdr:row>
      <xdr:rowOff>42333</xdr:rowOff>
    </xdr:from>
    <xdr:to>
      <xdr:col>9</xdr:col>
      <xdr:colOff>592666</xdr:colOff>
      <xdr:row>1088</xdr:row>
      <xdr:rowOff>42333</xdr:rowOff>
    </xdr:to>
    <xdr:cxnSp macro="">
      <xdr:nvCxnSpPr>
        <xdr:cNvPr id="3173" name="Straight Arrow Connector 3172">
          <a:extLst>
            <a:ext uri="{FF2B5EF4-FFF2-40B4-BE49-F238E27FC236}">
              <a16:creationId xmlns:a16="http://schemas.microsoft.com/office/drawing/2014/main" id="{00000000-0008-0000-1200-0000650C0000}"/>
            </a:ext>
          </a:extLst>
        </xdr:cNvPr>
        <xdr:cNvCxnSpPr/>
      </xdr:nvCxnSpPr>
      <xdr:spPr>
        <a:xfrm flipV="1">
          <a:off x="6699250" y="33570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1090</xdr:row>
      <xdr:rowOff>169334</xdr:rowOff>
    </xdr:from>
    <xdr:to>
      <xdr:col>9</xdr:col>
      <xdr:colOff>603250</xdr:colOff>
      <xdr:row>1099</xdr:row>
      <xdr:rowOff>31750</xdr:rowOff>
    </xdr:to>
    <xdr:cxnSp macro="">
      <xdr:nvCxnSpPr>
        <xdr:cNvPr id="3174" name="Straight Arrow Connector 3173">
          <a:extLst>
            <a:ext uri="{FF2B5EF4-FFF2-40B4-BE49-F238E27FC236}">
              <a16:creationId xmlns:a16="http://schemas.microsoft.com/office/drawing/2014/main" id="{00000000-0008-0000-1200-0000660C0000}"/>
            </a:ext>
          </a:extLst>
        </xdr:cNvPr>
        <xdr:cNvCxnSpPr/>
      </xdr:nvCxnSpPr>
      <xdr:spPr>
        <a:xfrm>
          <a:off x="6720417" y="35602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1096</xdr:row>
      <xdr:rowOff>158750</xdr:rowOff>
    </xdr:from>
    <xdr:to>
      <xdr:col>11</xdr:col>
      <xdr:colOff>571500</xdr:colOff>
      <xdr:row>1099</xdr:row>
      <xdr:rowOff>0</xdr:rowOff>
    </xdr:to>
    <xdr:cxnSp macro="">
      <xdr:nvCxnSpPr>
        <xdr:cNvPr id="3175" name="Straight Arrow Connector 3174">
          <a:extLst>
            <a:ext uri="{FF2B5EF4-FFF2-40B4-BE49-F238E27FC236}">
              <a16:creationId xmlns:a16="http://schemas.microsoft.com/office/drawing/2014/main" id="{00000000-0008-0000-1200-0000670C0000}"/>
            </a:ext>
          </a:extLst>
        </xdr:cNvPr>
        <xdr:cNvCxnSpPr/>
      </xdr:nvCxnSpPr>
      <xdr:spPr>
        <a:xfrm flipV="1">
          <a:off x="7874000" y="36734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1054</xdr:row>
      <xdr:rowOff>0</xdr:rowOff>
    </xdr:from>
    <xdr:to>
      <xdr:col>15</xdr:col>
      <xdr:colOff>603250</xdr:colOff>
      <xdr:row>1056</xdr:row>
      <xdr:rowOff>1</xdr:rowOff>
    </xdr:to>
    <xdr:cxnSp macro="">
      <xdr:nvCxnSpPr>
        <xdr:cNvPr id="3176" name="Straight Arrow Connector 3175">
          <a:extLst>
            <a:ext uri="{FF2B5EF4-FFF2-40B4-BE49-F238E27FC236}">
              <a16:creationId xmlns:a16="http://schemas.microsoft.com/office/drawing/2014/main" id="{00000000-0008-0000-1200-0000680C0000}"/>
            </a:ext>
          </a:extLst>
        </xdr:cNvPr>
        <xdr:cNvCxnSpPr/>
      </xdr:nvCxnSpPr>
      <xdr:spPr>
        <a:xfrm flipV="1">
          <a:off x="11271250"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1056</xdr:row>
      <xdr:rowOff>10584</xdr:rowOff>
    </xdr:from>
    <xdr:to>
      <xdr:col>15</xdr:col>
      <xdr:colOff>592666</xdr:colOff>
      <xdr:row>1057</xdr:row>
      <xdr:rowOff>95250</xdr:rowOff>
    </xdr:to>
    <xdr:cxnSp macro="">
      <xdr:nvCxnSpPr>
        <xdr:cNvPr id="3177" name="Straight Arrow Connector 3176">
          <a:extLst>
            <a:ext uri="{FF2B5EF4-FFF2-40B4-BE49-F238E27FC236}">
              <a16:creationId xmlns:a16="http://schemas.microsoft.com/office/drawing/2014/main" id="{00000000-0008-0000-1200-0000690C0000}"/>
            </a:ext>
          </a:extLst>
        </xdr:cNvPr>
        <xdr:cNvCxnSpPr/>
      </xdr:nvCxnSpPr>
      <xdr:spPr>
        <a:xfrm>
          <a:off x="11313583"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1056</xdr:row>
      <xdr:rowOff>10584</xdr:rowOff>
    </xdr:from>
    <xdr:to>
      <xdr:col>15</xdr:col>
      <xdr:colOff>560916</xdr:colOff>
      <xdr:row>1060</xdr:row>
      <xdr:rowOff>52917</xdr:rowOff>
    </xdr:to>
    <xdr:cxnSp macro="">
      <xdr:nvCxnSpPr>
        <xdr:cNvPr id="3178" name="Straight Arrow Connector 3177">
          <a:extLst>
            <a:ext uri="{FF2B5EF4-FFF2-40B4-BE49-F238E27FC236}">
              <a16:creationId xmlns:a16="http://schemas.microsoft.com/office/drawing/2014/main" id="{00000000-0008-0000-1200-00006A0C0000}"/>
            </a:ext>
          </a:extLst>
        </xdr:cNvPr>
        <xdr:cNvCxnSpPr/>
      </xdr:nvCxnSpPr>
      <xdr:spPr>
        <a:xfrm>
          <a:off x="11292416"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3179" name="Straight Arrow Connector 3178">
          <a:extLst>
            <a:ext uri="{FF2B5EF4-FFF2-40B4-BE49-F238E27FC236}">
              <a16:creationId xmlns:a16="http://schemas.microsoft.com/office/drawing/2014/main" id="{00000000-0008-0000-1200-00006B0C0000}"/>
            </a:ext>
          </a:extLst>
        </xdr:cNvPr>
        <xdr:cNvCxnSpPr/>
      </xdr:nvCxnSpPr>
      <xdr:spPr>
        <a:xfrm>
          <a:off x="11324166" y="28987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1070</xdr:row>
      <xdr:rowOff>0</xdr:rowOff>
    </xdr:from>
    <xdr:to>
      <xdr:col>16</xdr:col>
      <xdr:colOff>0</xdr:colOff>
      <xdr:row>1070</xdr:row>
      <xdr:rowOff>42334</xdr:rowOff>
    </xdr:to>
    <xdr:cxnSp macro="">
      <xdr:nvCxnSpPr>
        <xdr:cNvPr id="3180" name="Straight Arrow Connector 3179">
          <a:extLst>
            <a:ext uri="{FF2B5EF4-FFF2-40B4-BE49-F238E27FC236}">
              <a16:creationId xmlns:a16="http://schemas.microsoft.com/office/drawing/2014/main" id="{00000000-0008-0000-1200-00006C0C0000}"/>
            </a:ext>
          </a:extLst>
        </xdr:cNvPr>
        <xdr:cNvCxnSpPr/>
      </xdr:nvCxnSpPr>
      <xdr:spPr>
        <a:xfrm>
          <a:off x="11302999" y="31623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1070</xdr:row>
      <xdr:rowOff>21166</xdr:rowOff>
    </xdr:from>
    <xdr:to>
      <xdr:col>15</xdr:col>
      <xdr:colOff>560916</xdr:colOff>
      <xdr:row>1073</xdr:row>
      <xdr:rowOff>84667</xdr:rowOff>
    </xdr:to>
    <xdr:cxnSp macro="">
      <xdr:nvCxnSpPr>
        <xdr:cNvPr id="3181" name="Straight Arrow Connector 3180">
          <a:extLst>
            <a:ext uri="{FF2B5EF4-FFF2-40B4-BE49-F238E27FC236}">
              <a16:creationId xmlns:a16="http://schemas.microsoft.com/office/drawing/2014/main" id="{00000000-0008-0000-1200-00006D0C0000}"/>
            </a:ext>
          </a:extLst>
        </xdr:cNvPr>
        <xdr:cNvCxnSpPr/>
      </xdr:nvCxnSpPr>
      <xdr:spPr>
        <a:xfrm>
          <a:off x="11355916"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1070</xdr:row>
      <xdr:rowOff>52916</xdr:rowOff>
    </xdr:from>
    <xdr:to>
      <xdr:col>15</xdr:col>
      <xdr:colOff>592666</xdr:colOff>
      <xdr:row>1076</xdr:row>
      <xdr:rowOff>63501</xdr:rowOff>
    </xdr:to>
    <xdr:cxnSp macro="">
      <xdr:nvCxnSpPr>
        <xdr:cNvPr id="3182" name="Straight Arrow Connector 3181">
          <a:extLst>
            <a:ext uri="{FF2B5EF4-FFF2-40B4-BE49-F238E27FC236}">
              <a16:creationId xmlns:a16="http://schemas.microsoft.com/office/drawing/2014/main" id="{00000000-0008-0000-1200-00006E0C0000}"/>
            </a:ext>
          </a:extLst>
        </xdr:cNvPr>
        <xdr:cNvCxnSpPr/>
      </xdr:nvCxnSpPr>
      <xdr:spPr>
        <a:xfrm>
          <a:off x="11313583"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1084</xdr:row>
      <xdr:rowOff>116416</xdr:rowOff>
    </xdr:from>
    <xdr:to>
      <xdr:col>15</xdr:col>
      <xdr:colOff>592666</xdr:colOff>
      <xdr:row>1087</xdr:row>
      <xdr:rowOff>158750</xdr:rowOff>
    </xdr:to>
    <xdr:cxnSp macro="">
      <xdr:nvCxnSpPr>
        <xdr:cNvPr id="3183" name="Straight Arrow Connector 3182">
          <a:extLst>
            <a:ext uri="{FF2B5EF4-FFF2-40B4-BE49-F238E27FC236}">
              <a16:creationId xmlns:a16="http://schemas.microsoft.com/office/drawing/2014/main" id="{00000000-0008-0000-1200-00006F0C0000}"/>
            </a:ext>
          </a:extLst>
        </xdr:cNvPr>
        <xdr:cNvCxnSpPr/>
      </xdr:nvCxnSpPr>
      <xdr:spPr>
        <a:xfrm flipV="1">
          <a:off x="11302999"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1086</xdr:row>
      <xdr:rowOff>95250</xdr:rowOff>
    </xdr:from>
    <xdr:to>
      <xdr:col>15</xdr:col>
      <xdr:colOff>582083</xdr:colOff>
      <xdr:row>1088</xdr:row>
      <xdr:rowOff>52917</xdr:rowOff>
    </xdr:to>
    <xdr:cxnSp macro="">
      <xdr:nvCxnSpPr>
        <xdr:cNvPr id="3184" name="Straight Arrow Connector 3183">
          <a:extLst>
            <a:ext uri="{FF2B5EF4-FFF2-40B4-BE49-F238E27FC236}">
              <a16:creationId xmlns:a16="http://schemas.microsoft.com/office/drawing/2014/main" id="{00000000-0008-0000-1200-0000700C0000}"/>
            </a:ext>
          </a:extLst>
        </xdr:cNvPr>
        <xdr:cNvCxnSpPr/>
      </xdr:nvCxnSpPr>
      <xdr:spPr>
        <a:xfrm flipV="1">
          <a:off x="11345333"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116417</xdr:rowOff>
    </xdr:from>
    <xdr:to>
      <xdr:col>15</xdr:col>
      <xdr:colOff>592666</xdr:colOff>
      <xdr:row>1092</xdr:row>
      <xdr:rowOff>95250</xdr:rowOff>
    </xdr:to>
    <xdr:cxnSp macro="">
      <xdr:nvCxnSpPr>
        <xdr:cNvPr id="3185" name="Straight Arrow Connector 3184">
          <a:extLst>
            <a:ext uri="{FF2B5EF4-FFF2-40B4-BE49-F238E27FC236}">
              <a16:creationId xmlns:a16="http://schemas.microsoft.com/office/drawing/2014/main" id="{00000000-0008-0000-1200-0000710C0000}"/>
            </a:ext>
          </a:extLst>
        </xdr:cNvPr>
        <xdr:cNvCxnSpPr/>
      </xdr:nvCxnSpPr>
      <xdr:spPr>
        <a:xfrm>
          <a:off x="11334749"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1099</xdr:row>
      <xdr:rowOff>116416</xdr:rowOff>
    </xdr:from>
    <xdr:to>
      <xdr:col>16</xdr:col>
      <xdr:colOff>0</xdr:colOff>
      <xdr:row>1106</xdr:row>
      <xdr:rowOff>74084</xdr:rowOff>
    </xdr:to>
    <xdr:cxnSp macro="">
      <xdr:nvCxnSpPr>
        <xdr:cNvPr id="3186" name="Straight Arrow Connector 3185">
          <a:extLst>
            <a:ext uri="{FF2B5EF4-FFF2-40B4-BE49-F238E27FC236}">
              <a16:creationId xmlns:a16="http://schemas.microsoft.com/office/drawing/2014/main" id="{00000000-0008-0000-1200-0000720C0000}"/>
            </a:ext>
          </a:extLst>
        </xdr:cNvPr>
        <xdr:cNvCxnSpPr/>
      </xdr:nvCxnSpPr>
      <xdr:spPr>
        <a:xfrm>
          <a:off x="11313583" y="37263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1067</xdr:row>
      <xdr:rowOff>52917</xdr:rowOff>
    </xdr:from>
    <xdr:to>
      <xdr:col>15</xdr:col>
      <xdr:colOff>603250</xdr:colOff>
      <xdr:row>1069</xdr:row>
      <xdr:rowOff>148167</xdr:rowOff>
    </xdr:to>
    <xdr:cxnSp macro="">
      <xdr:nvCxnSpPr>
        <xdr:cNvPr id="3187" name="Straight Arrow Connector 3186">
          <a:extLst>
            <a:ext uri="{FF2B5EF4-FFF2-40B4-BE49-F238E27FC236}">
              <a16:creationId xmlns:a16="http://schemas.microsoft.com/office/drawing/2014/main" id="{00000000-0008-0000-1200-0000730C0000}"/>
            </a:ext>
          </a:extLst>
        </xdr:cNvPr>
        <xdr:cNvCxnSpPr/>
      </xdr:nvCxnSpPr>
      <xdr:spPr>
        <a:xfrm flipV="1">
          <a:off x="11324166"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1102</xdr:row>
      <xdr:rowOff>42333</xdr:rowOff>
    </xdr:from>
    <xdr:to>
      <xdr:col>11</xdr:col>
      <xdr:colOff>603250</xdr:colOff>
      <xdr:row>1114</xdr:row>
      <xdr:rowOff>10583</xdr:rowOff>
    </xdr:to>
    <xdr:cxnSp macro="">
      <xdr:nvCxnSpPr>
        <xdr:cNvPr id="3188" name="Straight Arrow Connector 3187">
          <a:extLst>
            <a:ext uri="{FF2B5EF4-FFF2-40B4-BE49-F238E27FC236}">
              <a16:creationId xmlns:a16="http://schemas.microsoft.com/office/drawing/2014/main" id="{00000000-0008-0000-1200-0000740C0000}"/>
            </a:ext>
          </a:extLst>
        </xdr:cNvPr>
        <xdr:cNvCxnSpPr/>
      </xdr:nvCxnSpPr>
      <xdr:spPr>
        <a:xfrm>
          <a:off x="7926917"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1092</xdr:row>
      <xdr:rowOff>21167</xdr:rowOff>
    </xdr:from>
    <xdr:to>
      <xdr:col>13</xdr:col>
      <xdr:colOff>592667</xdr:colOff>
      <xdr:row>1094</xdr:row>
      <xdr:rowOff>0</xdr:rowOff>
    </xdr:to>
    <xdr:cxnSp macro="">
      <xdr:nvCxnSpPr>
        <xdr:cNvPr id="3189" name="Straight Arrow Connector 3188">
          <a:extLst>
            <a:ext uri="{FF2B5EF4-FFF2-40B4-BE49-F238E27FC236}">
              <a16:creationId xmlns:a16="http://schemas.microsoft.com/office/drawing/2014/main" id="{00000000-0008-0000-1200-0000750C0000}"/>
            </a:ext>
          </a:extLst>
        </xdr:cNvPr>
        <xdr:cNvCxnSpPr/>
      </xdr:nvCxnSpPr>
      <xdr:spPr>
        <a:xfrm flipV="1">
          <a:off x="9133417" y="35835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1097</xdr:row>
      <xdr:rowOff>21166</xdr:rowOff>
    </xdr:from>
    <xdr:to>
      <xdr:col>13</xdr:col>
      <xdr:colOff>592667</xdr:colOff>
      <xdr:row>1098</xdr:row>
      <xdr:rowOff>169334</xdr:rowOff>
    </xdr:to>
    <xdr:cxnSp macro="">
      <xdr:nvCxnSpPr>
        <xdr:cNvPr id="3190" name="Straight Arrow Connector 3189">
          <a:extLst>
            <a:ext uri="{FF2B5EF4-FFF2-40B4-BE49-F238E27FC236}">
              <a16:creationId xmlns:a16="http://schemas.microsoft.com/office/drawing/2014/main" id="{00000000-0008-0000-1200-0000760C0000}"/>
            </a:ext>
          </a:extLst>
        </xdr:cNvPr>
        <xdr:cNvCxnSpPr/>
      </xdr:nvCxnSpPr>
      <xdr:spPr>
        <a:xfrm>
          <a:off x="9122833" y="36787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1112</xdr:row>
      <xdr:rowOff>21167</xdr:rowOff>
    </xdr:from>
    <xdr:to>
      <xdr:col>13</xdr:col>
      <xdr:colOff>592667</xdr:colOff>
      <xdr:row>1114</xdr:row>
      <xdr:rowOff>63500</xdr:rowOff>
    </xdr:to>
    <xdr:cxnSp macro="">
      <xdr:nvCxnSpPr>
        <xdr:cNvPr id="3191" name="Straight Arrow Connector 3190">
          <a:extLst>
            <a:ext uri="{FF2B5EF4-FFF2-40B4-BE49-F238E27FC236}">
              <a16:creationId xmlns:a16="http://schemas.microsoft.com/office/drawing/2014/main" id="{00000000-0008-0000-1200-0000770C0000}"/>
            </a:ext>
          </a:extLst>
        </xdr:cNvPr>
        <xdr:cNvCxnSpPr/>
      </xdr:nvCxnSpPr>
      <xdr:spPr>
        <a:xfrm flipV="1">
          <a:off x="952500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1117</xdr:row>
      <xdr:rowOff>0</xdr:rowOff>
    </xdr:from>
    <xdr:to>
      <xdr:col>14</xdr:col>
      <xdr:colOff>10584</xdr:colOff>
      <xdr:row>1125</xdr:row>
      <xdr:rowOff>148167</xdr:rowOff>
    </xdr:to>
    <xdr:cxnSp macro="">
      <xdr:nvCxnSpPr>
        <xdr:cNvPr id="3192" name="Straight Arrow Connector 3191">
          <a:extLst>
            <a:ext uri="{FF2B5EF4-FFF2-40B4-BE49-F238E27FC236}">
              <a16:creationId xmlns:a16="http://schemas.microsoft.com/office/drawing/2014/main" id="{00000000-0008-0000-1200-0000780C0000}"/>
            </a:ext>
          </a:extLst>
        </xdr:cNvPr>
        <xdr:cNvCxnSpPr/>
      </xdr:nvCxnSpPr>
      <xdr:spPr>
        <a:xfrm>
          <a:off x="9535583" y="40767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95250</xdr:rowOff>
    </xdr:from>
    <xdr:to>
      <xdr:col>15</xdr:col>
      <xdr:colOff>582083</xdr:colOff>
      <xdr:row>1090</xdr:row>
      <xdr:rowOff>137583</xdr:rowOff>
    </xdr:to>
    <xdr:cxnSp macro="">
      <xdr:nvCxnSpPr>
        <xdr:cNvPr id="3193" name="Straight Arrow Connector 3192">
          <a:extLst>
            <a:ext uri="{FF2B5EF4-FFF2-40B4-BE49-F238E27FC236}">
              <a16:creationId xmlns:a16="http://schemas.microsoft.com/office/drawing/2014/main" id="{00000000-0008-0000-1200-0000790C0000}"/>
            </a:ext>
          </a:extLst>
        </xdr:cNvPr>
        <xdr:cNvCxnSpPr/>
      </xdr:nvCxnSpPr>
      <xdr:spPr>
        <a:xfrm>
          <a:off x="11334749"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1097</xdr:row>
      <xdr:rowOff>52916</xdr:rowOff>
    </xdr:from>
    <xdr:to>
      <xdr:col>16</xdr:col>
      <xdr:colOff>0</xdr:colOff>
      <xdr:row>1099</xdr:row>
      <xdr:rowOff>0</xdr:rowOff>
    </xdr:to>
    <xdr:cxnSp macro="">
      <xdr:nvCxnSpPr>
        <xdr:cNvPr id="3194" name="Straight Arrow Connector 3193">
          <a:extLst>
            <a:ext uri="{FF2B5EF4-FFF2-40B4-BE49-F238E27FC236}">
              <a16:creationId xmlns:a16="http://schemas.microsoft.com/office/drawing/2014/main" id="{00000000-0008-0000-1200-00007A0C0000}"/>
            </a:ext>
          </a:extLst>
        </xdr:cNvPr>
        <xdr:cNvCxnSpPr/>
      </xdr:nvCxnSpPr>
      <xdr:spPr>
        <a:xfrm flipV="1">
          <a:off x="11281833" y="36819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21167</xdr:rowOff>
    </xdr:from>
    <xdr:to>
      <xdr:col>15</xdr:col>
      <xdr:colOff>592666</xdr:colOff>
      <xdr:row>1100</xdr:row>
      <xdr:rowOff>84667</xdr:rowOff>
    </xdr:to>
    <xdr:cxnSp macro="">
      <xdr:nvCxnSpPr>
        <xdr:cNvPr id="3195" name="Straight Arrow Connector 3194">
          <a:extLst>
            <a:ext uri="{FF2B5EF4-FFF2-40B4-BE49-F238E27FC236}">
              <a16:creationId xmlns:a16="http://schemas.microsoft.com/office/drawing/2014/main" id="{00000000-0008-0000-1200-00007B0C0000}"/>
            </a:ext>
          </a:extLst>
        </xdr:cNvPr>
        <xdr:cNvCxnSpPr/>
      </xdr:nvCxnSpPr>
      <xdr:spPr>
        <a:xfrm>
          <a:off x="11271250"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0</xdr:rowOff>
    </xdr:from>
    <xdr:to>
      <xdr:col>16</xdr:col>
      <xdr:colOff>0</xdr:colOff>
      <xdr:row>1103</xdr:row>
      <xdr:rowOff>42334</xdr:rowOff>
    </xdr:to>
    <xdr:cxnSp macro="">
      <xdr:nvCxnSpPr>
        <xdr:cNvPr id="3196" name="Straight Arrow Connector 3195">
          <a:extLst>
            <a:ext uri="{FF2B5EF4-FFF2-40B4-BE49-F238E27FC236}">
              <a16:creationId xmlns:a16="http://schemas.microsoft.com/office/drawing/2014/main" id="{00000000-0008-0000-1200-00007C0C0000}"/>
            </a:ext>
          </a:extLst>
        </xdr:cNvPr>
        <xdr:cNvCxnSpPr/>
      </xdr:nvCxnSpPr>
      <xdr:spPr>
        <a:xfrm>
          <a:off x="11271250" y="37147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1110</xdr:row>
      <xdr:rowOff>0</xdr:rowOff>
    </xdr:from>
    <xdr:to>
      <xdr:col>15</xdr:col>
      <xdr:colOff>603250</xdr:colOff>
      <xdr:row>1112</xdr:row>
      <xdr:rowOff>1</xdr:rowOff>
    </xdr:to>
    <xdr:cxnSp macro="">
      <xdr:nvCxnSpPr>
        <xdr:cNvPr id="3197" name="Straight Arrow Connector 3196">
          <a:extLst>
            <a:ext uri="{FF2B5EF4-FFF2-40B4-BE49-F238E27FC236}">
              <a16:creationId xmlns:a16="http://schemas.microsoft.com/office/drawing/2014/main" id="{00000000-0008-0000-1200-00007D0C0000}"/>
            </a:ext>
          </a:extLst>
        </xdr:cNvPr>
        <xdr:cNvCxnSpPr/>
      </xdr:nvCxnSpPr>
      <xdr:spPr>
        <a:xfrm flipV="1">
          <a:off x="11271250"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1112</xdr:row>
      <xdr:rowOff>10584</xdr:rowOff>
    </xdr:from>
    <xdr:to>
      <xdr:col>15</xdr:col>
      <xdr:colOff>592666</xdr:colOff>
      <xdr:row>1113</xdr:row>
      <xdr:rowOff>95250</xdr:rowOff>
    </xdr:to>
    <xdr:cxnSp macro="">
      <xdr:nvCxnSpPr>
        <xdr:cNvPr id="3198" name="Straight Arrow Connector 3197">
          <a:extLst>
            <a:ext uri="{FF2B5EF4-FFF2-40B4-BE49-F238E27FC236}">
              <a16:creationId xmlns:a16="http://schemas.microsoft.com/office/drawing/2014/main" id="{00000000-0008-0000-1200-00007E0C0000}"/>
            </a:ext>
          </a:extLst>
        </xdr:cNvPr>
        <xdr:cNvCxnSpPr/>
      </xdr:nvCxnSpPr>
      <xdr:spPr>
        <a:xfrm>
          <a:off x="11313583"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1112</xdr:row>
      <xdr:rowOff>10584</xdr:rowOff>
    </xdr:from>
    <xdr:to>
      <xdr:col>15</xdr:col>
      <xdr:colOff>560916</xdr:colOff>
      <xdr:row>1116</xdr:row>
      <xdr:rowOff>52917</xdr:rowOff>
    </xdr:to>
    <xdr:cxnSp macro="">
      <xdr:nvCxnSpPr>
        <xdr:cNvPr id="3199" name="Straight Arrow Connector 3198">
          <a:extLst>
            <a:ext uri="{FF2B5EF4-FFF2-40B4-BE49-F238E27FC236}">
              <a16:creationId xmlns:a16="http://schemas.microsoft.com/office/drawing/2014/main" id="{00000000-0008-0000-1200-00007F0C0000}"/>
            </a:ext>
          </a:extLst>
        </xdr:cNvPr>
        <xdr:cNvCxnSpPr/>
      </xdr:nvCxnSpPr>
      <xdr:spPr>
        <a:xfrm>
          <a:off x="11292416"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3200" name="Straight Arrow Connector 3199">
          <a:extLst>
            <a:ext uri="{FF2B5EF4-FFF2-40B4-BE49-F238E27FC236}">
              <a16:creationId xmlns:a16="http://schemas.microsoft.com/office/drawing/2014/main" id="{00000000-0008-0000-1200-0000800C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1126</xdr:row>
      <xdr:rowOff>0</xdr:rowOff>
    </xdr:from>
    <xdr:to>
      <xdr:col>16</xdr:col>
      <xdr:colOff>0</xdr:colOff>
      <xdr:row>1126</xdr:row>
      <xdr:rowOff>42334</xdr:rowOff>
    </xdr:to>
    <xdr:cxnSp macro="">
      <xdr:nvCxnSpPr>
        <xdr:cNvPr id="3201" name="Straight Arrow Connector 3200">
          <a:extLst>
            <a:ext uri="{FF2B5EF4-FFF2-40B4-BE49-F238E27FC236}">
              <a16:creationId xmlns:a16="http://schemas.microsoft.com/office/drawing/2014/main" id="{00000000-0008-0000-1200-0000810C0000}"/>
            </a:ext>
          </a:extLst>
        </xdr:cNvPr>
        <xdr:cNvCxnSpPr/>
      </xdr:nvCxnSpPr>
      <xdr:spPr>
        <a:xfrm>
          <a:off x="11302999" y="42481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1126</xdr:row>
      <xdr:rowOff>21166</xdr:rowOff>
    </xdr:from>
    <xdr:to>
      <xdr:col>15</xdr:col>
      <xdr:colOff>560916</xdr:colOff>
      <xdr:row>1129</xdr:row>
      <xdr:rowOff>84667</xdr:rowOff>
    </xdr:to>
    <xdr:cxnSp macro="">
      <xdr:nvCxnSpPr>
        <xdr:cNvPr id="3202" name="Straight Arrow Connector 3201">
          <a:extLst>
            <a:ext uri="{FF2B5EF4-FFF2-40B4-BE49-F238E27FC236}">
              <a16:creationId xmlns:a16="http://schemas.microsoft.com/office/drawing/2014/main" id="{00000000-0008-0000-1200-0000820C0000}"/>
            </a:ext>
          </a:extLst>
        </xdr:cNvPr>
        <xdr:cNvCxnSpPr/>
      </xdr:nvCxnSpPr>
      <xdr:spPr>
        <a:xfrm>
          <a:off x="11355916"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1126</xdr:row>
      <xdr:rowOff>52916</xdr:rowOff>
    </xdr:from>
    <xdr:to>
      <xdr:col>15</xdr:col>
      <xdr:colOff>592666</xdr:colOff>
      <xdr:row>1132</xdr:row>
      <xdr:rowOff>63501</xdr:rowOff>
    </xdr:to>
    <xdr:cxnSp macro="">
      <xdr:nvCxnSpPr>
        <xdr:cNvPr id="3203" name="Straight Arrow Connector 3202">
          <a:extLst>
            <a:ext uri="{FF2B5EF4-FFF2-40B4-BE49-F238E27FC236}">
              <a16:creationId xmlns:a16="http://schemas.microsoft.com/office/drawing/2014/main" id="{00000000-0008-0000-1200-0000830C0000}"/>
            </a:ext>
          </a:extLst>
        </xdr:cNvPr>
        <xdr:cNvCxnSpPr/>
      </xdr:nvCxnSpPr>
      <xdr:spPr>
        <a:xfrm>
          <a:off x="11313583"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1123</xdr:row>
      <xdr:rowOff>52917</xdr:rowOff>
    </xdr:from>
    <xdr:to>
      <xdr:col>15</xdr:col>
      <xdr:colOff>603250</xdr:colOff>
      <xdr:row>1125</xdr:row>
      <xdr:rowOff>148167</xdr:rowOff>
    </xdr:to>
    <xdr:cxnSp macro="">
      <xdr:nvCxnSpPr>
        <xdr:cNvPr id="3204" name="Straight Arrow Connector 3203">
          <a:extLst>
            <a:ext uri="{FF2B5EF4-FFF2-40B4-BE49-F238E27FC236}">
              <a16:creationId xmlns:a16="http://schemas.microsoft.com/office/drawing/2014/main" id="{00000000-0008-0000-1200-0000840C0000}"/>
            </a:ext>
          </a:extLst>
        </xdr:cNvPr>
        <xdr:cNvCxnSpPr/>
      </xdr:nvCxnSpPr>
      <xdr:spPr>
        <a:xfrm flipV="1">
          <a:off x="11324166"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1034</xdr:row>
      <xdr:rowOff>127000</xdr:rowOff>
    </xdr:from>
    <xdr:to>
      <xdr:col>8</xdr:col>
      <xdr:colOff>63500</xdr:colOff>
      <xdr:row>1053</xdr:row>
      <xdr:rowOff>0</xdr:rowOff>
    </xdr:to>
    <xdr:cxnSp macro="">
      <xdr:nvCxnSpPr>
        <xdr:cNvPr id="3205" name="Straight Arrow Connector 3204">
          <a:extLst>
            <a:ext uri="{FF2B5EF4-FFF2-40B4-BE49-F238E27FC236}">
              <a16:creationId xmlns:a16="http://schemas.microsoft.com/office/drawing/2014/main" id="{00000000-0008-0000-1200-0000850C0000}"/>
            </a:ext>
          </a:extLst>
        </xdr:cNvPr>
        <xdr:cNvCxnSpPr/>
      </xdr:nvCxnSpPr>
      <xdr:spPr>
        <a:xfrm flipV="1">
          <a:off x="5492750" y="247015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1171</xdr:row>
      <xdr:rowOff>1</xdr:rowOff>
    </xdr:from>
    <xdr:to>
      <xdr:col>6</xdr:col>
      <xdr:colOff>0</xdr:colOff>
      <xdr:row>1205</xdr:row>
      <xdr:rowOff>116417</xdr:rowOff>
    </xdr:to>
    <xdr:cxnSp macro="">
      <xdr:nvCxnSpPr>
        <xdr:cNvPr id="3206" name="Straight Arrow Connector 3205">
          <a:extLst>
            <a:ext uri="{FF2B5EF4-FFF2-40B4-BE49-F238E27FC236}">
              <a16:creationId xmlns:a16="http://schemas.microsoft.com/office/drawing/2014/main" id="{00000000-0008-0000-1200-0000860C0000}"/>
            </a:ext>
          </a:extLst>
        </xdr:cNvPr>
        <xdr:cNvCxnSpPr/>
      </xdr:nvCxnSpPr>
      <xdr:spPr>
        <a:xfrm flipV="1">
          <a:off x="3810000" y="512445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1208</xdr:row>
      <xdr:rowOff>169334</xdr:rowOff>
    </xdr:from>
    <xdr:to>
      <xdr:col>5</xdr:col>
      <xdr:colOff>571500</xdr:colOff>
      <xdr:row>1277</xdr:row>
      <xdr:rowOff>0</xdr:rowOff>
    </xdr:to>
    <xdr:cxnSp macro="">
      <xdr:nvCxnSpPr>
        <xdr:cNvPr id="3207" name="Straight Arrow Connector 3206">
          <a:extLst>
            <a:ext uri="{FF2B5EF4-FFF2-40B4-BE49-F238E27FC236}">
              <a16:creationId xmlns:a16="http://schemas.microsoft.com/office/drawing/2014/main" id="{00000000-0008-0000-1200-0000870C0000}"/>
            </a:ext>
          </a:extLst>
        </xdr:cNvPr>
        <xdr:cNvCxnSpPr/>
      </xdr:nvCxnSpPr>
      <xdr:spPr>
        <a:xfrm>
          <a:off x="3894667" y="584623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1146</xdr:row>
      <xdr:rowOff>148167</xdr:rowOff>
    </xdr:from>
    <xdr:to>
      <xdr:col>7</xdr:col>
      <xdr:colOff>603250</xdr:colOff>
      <xdr:row>1168</xdr:row>
      <xdr:rowOff>31750</xdr:rowOff>
    </xdr:to>
    <xdr:cxnSp macro="">
      <xdr:nvCxnSpPr>
        <xdr:cNvPr id="3208" name="Straight Arrow Connector 3207">
          <a:extLst>
            <a:ext uri="{FF2B5EF4-FFF2-40B4-BE49-F238E27FC236}">
              <a16:creationId xmlns:a16="http://schemas.microsoft.com/office/drawing/2014/main" id="{00000000-0008-0000-1200-0000880C0000}"/>
            </a:ext>
          </a:extLst>
        </xdr:cNvPr>
        <xdr:cNvCxnSpPr/>
      </xdr:nvCxnSpPr>
      <xdr:spPr>
        <a:xfrm flipV="1">
          <a:off x="5461000" y="464396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1171</xdr:row>
      <xdr:rowOff>10584</xdr:rowOff>
    </xdr:from>
    <xdr:to>
      <xdr:col>8</xdr:col>
      <xdr:colOff>21167</xdr:colOff>
      <xdr:row>1199</xdr:row>
      <xdr:rowOff>148166</xdr:rowOff>
    </xdr:to>
    <xdr:cxnSp macro="">
      <xdr:nvCxnSpPr>
        <xdr:cNvPr id="3209" name="Straight Arrow Connector 3208">
          <a:extLst>
            <a:ext uri="{FF2B5EF4-FFF2-40B4-BE49-F238E27FC236}">
              <a16:creationId xmlns:a16="http://schemas.microsoft.com/office/drawing/2014/main" id="{00000000-0008-0000-1200-0000890C0000}"/>
            </a:ext>
          </a:extLst>
        </xdr:cNvPr>
        <xdr:cNvCxnSpPr/>
      </xdr:nvCxnSpPr>
      <xdr:spPr>
        <a:xfrm>
          <a:off x="5461000" y="512550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1138</xdr:row>
      <xdr:rowOff>137583</xdr:rowOff>
    </xdr:from>
    <xdr:to>
      <xdr:col>9</xdr:col>
      <xdr:colOff>603250</xdr:colOff>
      <xdr:row>1144</xdr:row>
      <xdr:rowOff>21166</xdr:rowOff>
    </xdr:to>
    <xdr:cxnSp macro="">
      <xdr:nvCxnSpPr>
        <xdr:cNvPr id="3210" name="Straight Arrow Connector 3209">
          <a:extLst>
            <a:ext uri="{FF2B5EF4-FFF2-40B4-BE49-F238E27FC236}">
              <a16:creationId xmlns:a16="http://schemas.microsoft.com/office/drawing/2014/main" id="{00000000-0008-0000-1200-00008A0C0000}"/>
            </a:ext>
          </a:extLst>
        </xdr:cNvPr>
        <xdr:cNvCxnSpPr/>
      </xdr:nvCxnSpPr>
      <xdr:spPr>
        <a:xfrm flipV="1">
          <a:off x="6688667" y="44905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1147</xdr:row>
      <xdr:rowOff>0</xdr:rowOff>
    </xdr:from>
    <xdr:to>
      <xdr:col>9</xdr:col>
      <xdr:colOff>582083</xdr:colOff>
      <xdr:row>1155</xdr:row>
      <xdr:rowOff>10583</xdr:rowOff>
    </xdr:to>
    <xdr:cxnSp macro="">
      <xdr:nvCxnSpPr>
        <xdr:cNvPr id="3211" name="Straight Arrow Connector 3210">
          <a:extLst>
            <a:ext uri="{FF2B5EF4-FFF2-40B4-BE49-F238E27FC236}">
              <a16:creationId xmlns:a16="http://schemas.microsoft.com/office/drawing/2014/main" id="{00000000-0008-0000-1200-00008B0C0000}"/>
            </a:ext>
          </a:extLst>
        </xdr:cNvPr>
        <xdr:cNvCxnSpPr/>
      </xdr:nvCxnSpPr>
      <xdr:spPr>
        <a:xfrm>
          <a:off x="6720417" y="46482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1152</xdr:row>
      <xdr:rowOff>169333</xdr:rowOff>
    </xdr:from>
    <xdr:to>
      <xdr:col>11</xdr:col>
      <xdr:colOff>603250</xdr:colOff>
      <xdr:row>1155</xdr:row>
      <xdr:rowOff>21167</xdr:rowOff>
    </xdr:to>
    <xdr:cxnSp macro="">
      <xdr:nvCxnSpPr>
        <xdr:cNvPr id="3212" name="Straight Arrow Connector 3211">
          <a:extLst>
            <a:ext uri="{FF2B5EF4-FFF2-40B4-BE49-F238E27FC236}">
              <a16:creationId xmlns:a16="http://schemas.microsoft.com/office/drawing/2014/main" id="{00000000-0008-0000-1200-00008C0C0000}"/>
            </a:ext>
          </a:extLst>
        </xdr:cNvPr>
        <xdr:cNvCxnSpPr/>
      </xdr:nvCxnSpPr>
      <xdr:spPr>
        <a:xfrm flipV="1">
          <a:off x="7937500" y="47603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1158</xdr:row>
      <xdr:rowOff>42333</xdr:rowOff>
    </xdr:from>
    <xdr:to>
      <xdr:col>11</xdr:col>
      <xdr:colOff>603250</xdr:colOff>
      <xdr:row>1170</xdr:row>
      <xdr:rowOff>10583</xdr:rowOff>
    </xdr:to>
    <xdr:cxnSp macro="">
      <xdr:nvCxnSpPr>
        <xdr:cNvPr id="3213" name="Straight Arrow Connector 3212">
          <a:extLst>
            <a:ext uri="{FF2B5EF4-FFF2-40B4-BE49-F238E27FC236}">
              <a16:creationId xmlns:a16="http://schemas.microsoft.com/office/drawing/2014/main" id="{00000000-0008-0000-1200-00008D0C0000}"/>
            </a:ext>
          </a:extLst>
        </xdr:cNvPr>
        <xdr:cNvCxnSpPr/>
      </xdr:nvCxnSpPr>
      <xdr:spPr>
        <a:xfrm>
          <a:off x="7926917" y="48619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1148</xdr:row>
      <xdr:rowOff>21167</xdr:rowOff>
    </xdr:from>
    <xdr:to>
      <xdr:col>13</xdr:col>
      <xdr:colOff>592667</xdr:colOff>
      <xdr:row>1150</xdr:row>
      <xdr:rowOff>0</xdr:rowOff>
    </xdr:to>
    <xdr:cxnSp macro="">
      <xdr:nvCxnSpPr>
        <xdr:cNvPr id="3214" name="Straight Arrow Connector 3213">
          <a:extLst>
            <a:ext uri="{FF2B5EF4-FFF2-40B4-BE49-F238E27FC236}">
              <a16:creationId xmlns:a16="http://schemas.microsoft.com/office/drawing/2014/main" id="{00000000-0008-0000-1200-00008E0C0000}"/>
            </a:ext>
          </a:extLst>
        </xdr:cNvPr>
        <xdr:cNvCxnSpPr/>
      </xdr:nvCxnSpPr>
      <xdr:spPr>
        <a:xfrm flipV="1">
          <a:off x="9133417" y="46693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1153</xdr:row>
      <xdr:rowOff>21166</xdr:rowOff>
    </xdr:from>
    <xdr:to>
      <xdr:col>13</xdr:col>
      <xdr:colOff>592667</xdr:colOff>
      <xdr:row>1154</xdr:row>
      <xdr:rowOff>169334</xdr:rowOff>
    </xdr:to>
    <xdr:cxnSp macro="">
      <xdr:nvCxnSpPr>
        <xdr:cNvPr id="3215" name="Straight Arrow Connector 3214">
          <a:extLst>
            <a:ext uri="{FF2B5EF4-FFF2-40B4-BE49-F238E27FC236}">
              <a16:creationId xmlns:a16="http://schemas.microsoft.com/office/drawing/2014/main" id="{00000000-0008-0000-1200-00008F0C0000}"/>
            </a:ext>
          </a:extLst>
        </xdr:cNvPr>
        <xdr:cNvCxnSpPr/>
      </xdr:nvCxnSpPr>
      <xdr:spPr>
        <a:xfrm>
          <a:off x="9122833" y="47646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1168</xdr:row>
      <xdr:rowOff>21167</xdr:rowOff>
    </xdr:from>
    <xdr:to>
      <xdr:col>13</xdr:col>
      <xdr:colOff>592667</xdr:colOff>
      <xdr:row>1170</xdr:row>
      <xdr:rowOff>63500</xdr:rowOff>
    </xdr:to>
    <xdr:cxnSp macro="">
      <xdr:nvCxnSpPr>
        <xdr:cNvPr id="3216" name="Straight Arrow Connector 3215">
          <a:extLst>
            <a:ext uri="{FF2B5EF4-FFF2-40B4-BE49-F238E27FC236}">
              <a16:creationId xmlns:a16="http://schemas.microsoft.com/office/drawing/2014/main" id="{00000000-0008-0000-1200-0000900C0000}"/>
            </a:ext>
          </a:extLst>
        </xdr:cNvPr>
        <xdr:cNvCxnSpPr/>
      </xdr:nvCxnSpPr>
      <xdr:spPr>
        <a:xfrm flipV="1">
          <a:off x="9525000" y="50694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1173</xdr:row>
      <xdr:rowOff>0</xdr:rowOff>
    </xdr:from>
    <xdr:to>
      <xdr:col>14</xdr:col>
      <xdr:colOff>10584</xdr:colOff>
      <xdr:row>1181</xdr:row>
      <xdr:rowOff>148167</xdr:rowOff>
    </xdr:to>
    <xdr:cxnSp macro="">
      <xdr:nvCxnSpPr>
        <xdr:cNvPr id="3217" name="Straight Arrow Connector 3216">
          <a:extLst>
            <a:ext uri="{FF2B5EF4-FFF2-40B4-BE49-F238E27FC236}">
              <a16:creationId xmlns:a16="http://schemas.microsoft.com/office/drawing/2014/main" id="{00000000-0008-0000-1200-0000910C0000}"/>
            </a:ext>
          </a:extLst>
        </xdr:cNvPr>
        <xdr:cNvCxnSpPr/>
      </xdr:nvCxnSpPr>
      <xdr:spPr>
        <a:xfrm>
          <a:off x="9535583" y="51625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1140</xdr:row>
      <xdr:rowOff>0</xdr:rowOff>
    </xdr:from>
    <xdr:to>
      <xdr:col>15</xdr:col>
      <xdr:colOff>603250</xdr:colOff>
      <xdr:row>1145</xdr:row>
      <xdr:rowOff>31750</xdr:rowOff>
    </xdr:to>
    <xdr:cxnSp macro="">
      <xdr:nvCxnSpPr>
        <xdr:cNvPr id="3218" name="Straight Arrow Connector 3217">
          <a:extLst>
            <a:ext uri="{FF2B5EF4-FFF2-40B4-BE49-F238E27FC236}">
              <a16:creationId xmlns:a16="http://schemas.microsoft.com/office/drawing/2014/main" id="{00000000-0008-0000-1200-0000920C0000}"/>
            </a:ext>
          </a:extLst>
        </xdr:cNvPr>
        <xdr:cNvCxnSpPr/>
      </xdr:nvCxnSpPr>
      <xdr:spPr>
        <a:xfrm flipV="1">
          <a:off x="11281833" y="45148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1143</xdr:row>
      <xdr:rowOff>52917</xdr:rowOff>
    </xdr:from>
    <xdr:to>
      <xdr:col>15</xdr:col>
      <xdr:colOff>603250</xdr:colOff>
      <xdr:row>1145</xdr:row>
      <xdr:rowOff>95250</xdr:rowOff>
    </xdr:to>
    <xdr:cxnSp macro="">
      <xdr:nvCxnSpPr>
        <xdr:cNvPr id="3219" name="Straight Arrow Connector 3218">
          <a:extLst>
            <a:ext uri="{FF2B5EF4-FFF2-40B4-BE49-F238E27FC236}">
              <a16:creationId xmlns:a16="http://schemas.microsoft.com/office/drawing/2014/main" id="{00000000-0008-0000-1200-0000930C0000}"/>
            </a:ext>
          </a:extLst>
        </xdr:cNvPr>
        <xdr:cNvCxnSpPr/>
      </xdr:nvCxnSpPr>
      <xdr:spPr>
        <a:xfrm flipV="1">
          <a:off x="11324166" y="45772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1145</xdr:row>
      <xdr:rowOff>158750</xdr:rowOff>
    </xdr:from>
    <xdr:to>
      <xdr:col>15</xdr:col>
      <xdr:colOff>582083</xdr:colOff>
      <xdr:row>1146</xdr:row>
      <xdr:rowOff>137583</xdr:rowOff>
    </xdr:to>
    <xdr:cxnSp macro="">
      <xdr:nvCxnSpPr>
        <xdr:cNvPr id="3220" name="Straight Arrow Connector 3219">
          <a:extLst>
            <a:ext uri="{FF2B5EF4-FFF2-40B4-BE49-F238E27FC236}">
              <a16:creationId xmlns:a16="http://schemas.microsoft.com/office/drawing/2014/main" id="{00000000-0008-0000-1200-0000940C0000}"/>
            </a:ext>
          </a:extLst>
        </xdr:cNvPr>
        <xdr:cNvCxnSpPr/>
      </xdr:nvCxnSpPr>
      <xdr:spPr>
        <a:xfrm>
          <a:off x="11345333" y="46259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1145</xdr:row>
      <xdr:rowOff>105834</xdr:rowOff>
    </xdr:from>
    <xdr:to>
      <xdr:col>16</xdr:col>
      <xdr:colOff>0</xdr:colOff>
      <xdr:row>1149</xdr:row>
      <xdr:rowOff>84667</xdr:rowOff>
    </xdr:to>
    <xdr:cxnSp macro="">
      <xdr:nvCxnSpPr>
        <xdr:cNvPr id="3221" name="Straight Arrow Connector 3220">
          <a:extLst>
            <a:ext uri="{FF2B5EF4-FFF2-40B4-BE49-F238E27FC236}">
              <a16:creationId xmlns:a16="http://schemas.microsoft.com/office/drawing/2014/main" id="{00000000-0008-0000-1200-0000950C0000}"/>
            </a:ext>
          </a:extLst>
        </xdr:cNvPr>
        <xdr:cNvCxnSpPr/>
      </xdr:nvCxnSpPr>
      <xdr:spPr>
        <a:xfrm>
          <a:off x="11260667" y="46206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1153</xdr:row>
      <xdr:rowOff>52916</xdr:rowOff>
    </xdr:from>
    <xdr:to>
      <xdr:col>16</xdr:col>
      <xdr:colOff>0</xdr:colOff>
      <xdr:row>1155</xdr:row>
      <xdr:rowOff>0</xdr:rowOff>
    </xdr:to>
    <xdr:cxnSp macro="">
      <xdr:nvCxnSpPr>
        <xdr:cNvPr id="3222" name="Straight Arrow Connector 3221">
          <a:extLst>
            <a:ext uri="{FF2B5EF4-FFF2-40B4-BE49-F238E27FC236}">
              <a16:creationId xmlns:a16="http://schemas.microsoft.com/office/drawing/2014/main" id="{00000000-0008-0000-1200-0000960C0000}"/>
            </a:ext>
          </a:extLst>
        </xdr:cNvPr>
        <xdr:cNvCxnSpPr/>
      </xdr:nvCxnSpPr>
      <xdr:spPr>
        <a:xfrm flipV="1">
          <a:off x="11281833" y="47677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1155</xdr:row>
      <xdr:rowOff>21167</xdr:rowOff>
    </xdr:from>
    <xdr:to>
      <xdr:col>15</xdr:col>
      <xdr:colOff>582083</xdr:colOff>
      <xdr:row>1156</xdr:row>
      <xdr:rowOff>42333</xdr:rowOff>
    </xdr:to>
    <xdr:cxnSp macro="">
      <xdr:nvCxnSpPr>
        <xdr:cNvPr id="3223" name="Straight Arrow Connector 3222">
          <a:extLst>
            <a:ext uri="{FF2B5EF4-FFF2-40B4-BE49-F238E27FC236}">
              <a16:creationId xmlns:a16="http://schemas.microsoft.com/office/drawing/2014/main" id="{00000000-0008-0000-1200-0000970C0000}"/>
            </a:ext>
          </a:extLst>
        </xdr:cNvPr>
        <xdr:cNvCxnSpPr/>
      </xdr:nvCxnSpPr>
      <xdr:spPr>
        <a:xfrm>
          <a:off x="11292416" y="48027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1155</xdr:row>
      <xdr:rowOff>21167</xdr:rowOff>
    </xdr:from>
    <xdr:to>
      <xdr:col>16</xdr:col>
      <xdr:colOff>42333</xdr:colOff>
      <xdr:row>1160</xdr:row>
      <xdr:rowOff>21168</xdr:rowOff>
    </xdr:to>
    <xdr:cxnSp macro="">
      <xdr:nvCxnSpPr>
        <xdr:cNvPr id="3224" name="Straight Arrow Connector 3223">
          <a:extLst>
            <a:ext uri="{FF2B5EF4-FFF2-40B4-BE49-F238E27FC236}">
              <a16:creationId xmlns:a16="http://schemas.microsoft.com/office/drawing/2014/main" id="{00000000-0008-0000-1200-0000980C0000}"/>
            </a:ext>
          </a:extLst>
        </xdr:cNvPr>
        <xdr:cNvCxnSpPr/>
      </xdr:nvCxnSpPr>
      <xdr:spPr>
        <a:xfrm>
          <a:off x="11271250" y="48027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3225" name="Straight Arrow Connector 3224">
          <a:extLst>
            <a:ext uri="{FF2B5EF4-FFF2-40B4-BE49-F238E27FC236}">
              <a16:creationId xmlns:a16="http://schemas.microsoft.com/office/drawing/2014/main" id="{00000000-0008-0000-1200-0000990C0000}"/>
            </a:ext>
          </a:extLst>
        </xdr:cNvPr>
        <xdr:cNvCxnSpPr/>
      </xdr:nvCxnSpPr>
      <xdr:spPr>
        <a:xfrm>
          <a:off x="11281833" y="480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1192</xdr:row>
      <xdr:rowOff>42333</xdr:rowOff>
    </xdr:from>
    <xdr:to>
      <xdr:col>9</xdr:col>
      <xdr:colOff>592666</xdr:colOff>
      <xdr:row>1200</xdr:row>
      <xdr:rowOff>42333</xdr:rowOff>
    </xdr:to>
    <xdr:cxnSp macro="">
      <xdr:nvCxnSpPr>
        <xdr:cNvPr id="3226" name="Straight Arrow Connector 3225">
          <a:extLst>
            <a:ext uri="{FF2B5EF4-FFF2-40B4-BE49-F238E27FC236}">
              <a16:creationId xmlns:a16="http://schemas.microsoft.com/office/drawing/2014/main" id="{00000000-0008-0000-1200-00009A0C0000}"/>
            </a:ext>
          </a:extLst>
        </xdr:cNvPr>
        <xdr:cNvCxnSpPr/>
      </xdr:nvCxnSpPr>
      <xdr:spPr>
        <a:xfrm flipV="1">
          <a:off x="6699250" y="55287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1202</xdr:row>
      <xdr:rowOff>169334</xdr:rowOff>
    </xdr:from>
    <xdr:to>
      <xdr:col>9</xdr:col>
      <xdr:colOff>603250</xdr:colOff>
      <xdr:row>1211</xdr:row>
      <xdr:rowOff>31750</xdr:rowOff>
    </xdr:to>
    <xdr:cxnSp macro="">
      <xdr:nvCxnSpPr>
        <xdr:cNvPr id="3227" name="Straight Arrow Connector 3226">
          <a:extLst>
            <a:ext uri="{FF2B5EF4-FFF2-40B4-BE49-F238E27FC236}">
              <a16:creationId xmlns:a16="http://schemas.microsoft.com/office/drawing/2014/main" id="{00000000-0008-0000-1200-00009B0C0000}"/>
            </a:ext>
          </a:extLst>
        </xdr:cNvPr>
        <xdr:cNvCxnSpPr/>
      </xdr:nvCxnSpPr>
      <xdr:spPr>
        <a:xfrm>
          <a:off x="6720417" y="57319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1208</xdr:row>
      <xdr:rowOff>158750</xdr:rowOff>
    </xdr:from>
    <xdr:to>
      <xdr:col>11</xdr:col>
      <xdr:colOff>571500</xdr:colOff>
      <xdr:row>1211</xdr:row>
      <xdr:rowOff>0</xdr:rowOff>
    </xdr:to>
    <xdr:cxnSp macro="">
      <xdr:nvCxnSpPr>
        <xdr:cNvPr id="3228" name="Straight Arrow Connector 3227">
          <a:extLst>
            <a:ext uri="{FF2B5EF4-FFF2-40B4-BE49-F238E27FC236}">
              <a16:creationId xmlns:a16="http://schemas.microsoft.com/office/drawing/2014/main" id="{00000000-0008-0000-1200-00009C0C0000}"/>
            </a:ext>
          </a:extLst>
        </xdr:cNvPr>
        <xdr:cNvCxnSpPr/>
      </xdr:nvCxnSpPr>
      <xdr:spPr>
        <a:xfrm flipV="1">
          <a:off x="7874000" y="58451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1166</xdr:row>
      <xdr:rowOff>0</xdr:rowOff>
    </xdr:from>
    <xdr:to>
      <xdr:col>15</xdr:col>
      <xdr:colOff>603250</xdr:colOff>
      <xdr:row>1168</xdr:row>
      <xdr:rowOff>1</xdr:rowOff>
    </xdr:to>
    <xdr:cxnSp macro="">
      <xdr:nvCxnSpPr>
        <xdr:cNvPr id="3229" name="Straight Arrow Connector 3228">
          <a:extLst>
            <a:ext uri="{FF2B5EF4-FFF2-40B4-BE49-F238E27FC236}">
              <a16:creationId xmlns:a16="http://schemas.microsoft.com/office/drawing/2014/main" id="{00000000-0008-0000-1200-00009D0C0000}"/>
            </a:ext>
          </a:extLst>
        </xdr:cNvPr>
        <xdr:cNvCxnSpPr/>
      </xdr:nvCxnSpPr>
      <xdr:spPr>
        <a:xfrm flipV="1">
          <a:off x="11271250" y="50292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1168</xdr:row>
      <xdr:rowOff>10584</xdr:rowOff>
    </xdr:from>
    <xdr:to>
      <xdr:col>15</xdr:col>
      <xdr:colOff>592666</xdr:colOff>
      <xdr:row>1169</xdr:row>
      <xdr:rowOff>95250</xdr:rowOff>
    </xdr:to>
    <xdr:cxnSp macro="">
      <xdr:nvCxnSpPr>
        <xdr:cNvPr id="3230" name="Straight Arrow Connector 3229">
          <a:extLst>
            <a:ext uri="{FF2B5EF4-FFF2-40B4-BE49-F238E27FC236}">
              <a16:creationId xmlns:a16="http://schemas.microsoft.com/office/drawing/2014/main" id="{00000000-0008-0000-1200-00009E0C0000}"/>
            </a:ext>
          </a:extLst>
        </xdr:cNvPr>
        <xdr:cNvCxnSpPr/>
      </xdr:nvCxnSpPr>
      <xdr:spPr>
        <a:xfrm>
          <a:off x="11313583" y="50683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1168</xdr:row>
      <xdr:rowOff>10584</xdr:rowOff>
    </xdr:from>
    <xdr:to>
      <xdr:col>15</xdr:col>
      <xdr:colOff>560916</xdr:colOff>
      <xdr:row>1172</xdr:row>
      <xdr:rowOff>52917</xdr:rowOff>
    </xdr:to>
    <xdr:cxnSp macro="">
      <xdr:nvCxnSpPr>
        <xdr:cNvPr id="3231" name="Straight Arrow Connector 3230">
          <a:extLst>
            <a:ext uri="{FF2B5EF4-FFF2-40B4-BE49-F238E27FC236}">
              <a16:creationId xmlns:a16="http://schemas.microsoft.com/office/drawing/2014/main" id="{00000000-0008-0000-1200-00009F0C0000}"/>
            </a:ext>
          </a:extLst>
        </xdr:cNvPr>
        <xdr:cNvCxnSpPr/>
      </xdr:nvCxnSpPr>
      <xdr:spPr>
        <a:xfrm>
          <a:off x="11292416" y="50683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3232" name="Straight Arrow Connector 3231">
          <a:extLst>
            <a:ext uri="{FF2B5EF4-FFF2-40B4-BE49-F238E27FC236}">
              <a16:creationId xmlns:a16="http://schemas.microsoft.com/office/drawing/2014/main" id="{00000000-0008-0000-1200-0000A00C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1182</xdr:row>
      <xdr:rowOff>0</xdr:rowOff>
    </xdr:from>
    <xdr:to>
      <xdr:col>16</xdr:col>
      <xdr:colOff>0</xdr:colOff>
      <xdr:row>1182</xdr:row>
      <xdr:rowOff>42334</xdr:rowOff>
    </xdr:to>
    <xdr:cxnSp macro="">
      <xdr:nvCxnSpPr>
        <xdr:cNvPr id="3233" name="Straight Arrow Connector 3232">
          <a:extLst>
            <a:ext uri="{FF2B5EF4-FFF2-40B4-BE49-F238E27FC236}">
              <a16:creationId xmlns:a16="http://schemas.microsoft.com/office/drawing/2014/main" id="{00000000-0008-0000-1200-0000A10C0000}"/>
            </a:ext>
          </a:extLst>
        </xdr:cNvPr>
        <xdr:cNvCxnSpPr/>
      </xdr:nvCxnSpPr>
      <xdr:spPr>
        <a:xfrm>
          <a:off x="11302999" y="53340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1182</xdr:row>
      <xdr:rowOff>21166</xdr:rowOff>
    </xdr:from>
    <xdr:to>
      <xdr:col>15</xdr:col>
      <xdr:colOff>560916</xdr:colOff>
      <xdr:row>1185</xdr:row>
      <xdr:rowOff>84667</xdr:rowOff>
    </xdr:to>
    <xdr:cxnSp macro="">
      <xdr:nvCxnSpPr>
        <xdr:cNvPr id="3234" name="Straight Arrow Connector 3233">
          <a:extLst>
            <a:ext uri="{FF2B5EF4-FFF2-40B4-BE49-F238E27FC236}">
              <a16:creationId xmlns:a16="http://schemas.microsoft.com/office/drawing/2014/main" id="{00000000-0008-0000-1200-0000A20C0000}"/>
            </a:ext>
          </a:extLst>
        </xdr:cNvPr>
        <xdr:cNvCxnSpPr/>
      </xdr:nvCxnSpPr>
      <xdr:spPr>
        <a:xfrm>
          <a:off x="11355916" y="53361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1182</xdr:row>
      <xdr:rowOff>52916</xdr:rowOff>
    </xdr:from>
    <xdr:to>
      <xdr:col>15</xdr:col>
      <xdr:colOff>592666</xdr:colOff>
      <xdr:row>1188</xdr:row>
      <xdr:rowOff>63501</xdr:rowOff>
    </xdr:to>
    <xdr:cxnSp macro="">
      <xdr:nvCxnSpPr>
        <xdr:cNvPr id="3235" name="Straight Arrow Connector 3234">
          <a:extLst>
            <a:ext uri="{FF2B5EF4-FFF2-40B4-BE49-F238E27FC236}">
              <a16:creationId xmlns:a16="http://schemas.microsoft.com/office/drawing/2014/main" id="{00000000-0008-0000-1200-0000A30C0000}"/>
            </a:ext>
          </a:extLst>
        </xdr:cNvPr>
        <xdr:cNvCxnSpPr/>
      </xdr:nvCxnSpPr>
      <xdr:spPr>
        <a:xfrm>
          <a:off x="11313583" y="53392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1196</xdr:row>
      <xdr:rowOff>116416</xdr:rowOff>
    </xdr:from>
    <xdr:to>
      <xdr:col>15</xdr:col>
      <xdr:colOff>592666</xdr:colOff>
      <xdr:row>1199</xdr:row>
      <xdr:rowOff>158750</xdr:rowOff>
    </xdr:to>
    <xdr:cxnSp macro="">
      <xdr:nvCxnSpPr>
        <xdr:cNvPr id="3236" name="Straight Arrow Connector 3235">
          <a:extLst>
            <a:ext uri="{FF2B5EF4-FFF2-40B4-BE49-F238E27FC236}">
              <a16:creationId xmlns:a16="http://schemas.microsoft.com/office/drawing/2014/main" id="{00000000-0008-0000-1200-0000A40C0000}"/>
            </a:ext>
          </a:extLst>
        </xdr:cNvPr>
        <xdr:cNvCxnSpPr/>
      </xdr:nvCxnSpPr>
      <xdr:spPr>
        <a:xfrm flipV="1">
          <a:off x="11302999" y="56123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1198</xdr:row>
      <xdr:rowOff>95250</xdr:rowOff>
    </xdr:from>
    <xdr:to>
      <xdr:col>15</xdr:col>
      <xdr:colOff>582083</xdr:colOff>
      <xdr:row>1200</xdr:row>
      <xdr:rowOff>52917</xdr:rowOff>
    </xdr:to>
    <xdr:cxnSp macro="">
      <xdr:nvCxnSpPr>
        <xdr:cNvPr id="3237" name="Straight Arrow Connector 3236">
          <a:extLst>
            <a:ext uri="{FF2B5EF4-FFF2-40B4-BE49-F238E27FC236}">
              <a16:creationId xmlns:a16="http://schemas.microsoft.com/office/drawing/2014/main" id="{00000000-0008-0000-1200-0000A50C0000}"/>
            </a:ext>
          </a:extLst>
        </xdr:cNvPr>
        <xdr:cNvCxnSpPr/>
      </xdr:nvCxnSpPr>
      <xdr:spPr>
        <a:xfrm flipV="1">
          <a:off x="11345333" y="56483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116417</xdr:rowOff>
    </xdr:from>
    <xdr:to>
      <xdr:col>15</xdr:col>
      <xdr:colOff>592666</xdr:colOff>
      <xdr:row>1204</xdr:row>
      <xdr:rowOff>95250</xdr:rowOff>
    </xdr:to>
    <xdr:cxnSp macro="">
      <xdr:nvCxnSpPr>
        <xdr:cNvPr id="3238" name="Straight Arrow Connector 3237">
          <a:extLst>
            <a:ext uri="{FF2B5EF4-FFF2-40B4-BE49-F238E27FC236}">
              <a16:creationId xmlns:a16="http://schemas.microsoft.com/office/drawing/2014/main" id="{00000000-0008-0000-1200-0000A60C0000}"/>
            </a:ext>
          </a:extLst>
        </xdr:cNvPr>
        <xdr:cNvCxnSpPr/>
      </xdr:nvCxnSpPr>
      <xdr:spPr>
        <a:xfrm>
          <a:off x="11334749" y="56885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1211</xdr:row>
      <xdr:rowOff>116416</xdr:rowOff>
    </xdr:from>
    <xdr:to>
      <xdr:col>16</xdr:col>
      <xdr:colOff>0</xdr:colOff>
      <xdr:row>1218</xdr:row>
      <xdr:rowOff>74084</xdr:rowOff>
    </xdr:to>
    <xdr:cxnSp macro="">
      <xdr:nvCxnSpPr>
        <xdr:cNvPr id="3239" name="Straight Arrow Connector 3238">
          <a:extLst>
            <a:ext uri="{FF2B5EF4-FFF2-40B4-BE49-F238E27FC236}">
              <a16:creationId xmlns:a16="http://schemas.microsoft.com/office/drawing/2014/main" id="{00000000-0008-0000-1200-0000A70C0000}"/>
            </a:ext>
          </a:extLst>
        </xdr:cNvPr>
        <xdr:cNvCxnSpPr/>
      </xdr:nvCxnSpPr>
      <xdr:spPr>
        <a:xfrm>
          <a:off x="11313583" y="58980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1179</xdr:row>
      <xdr:rowOff>52917</xdr:rowOff>
    </xdr:from>
    <xdr:to>
      <xdr:col>15</xdr:col>
      <xdr:colOff>603250</xdr:colOff>
      <xdr:row>1181</xdr:row>
      <xdr:rowOff>148167</xdr:rowOff>
    </xdr:to>
    <xdr:cxnSp macro="">
      <xdr:nvCxnSpPr>
        <xdr:cNvPr id="3240" name="Straight Arrow Connector 3239">
          <a:extLst>
            <a:ext uri="{FF2B5EF4-FFF2-40B4-BE49-F238E27FC236}">
              <a16:creationId xmlns:a16="http://schemas.microsoft.com/office/drawing/2014/main" id="{00000000-0008-0000-1200-0000A80C0000}"/>
            </a:ext>
          </a:extLst>
        </xdr:cNvPr>
        <xdr:cNvCxnSpPr/>
      </xdr:nvCxnSpPr>
      <xdr:spPr>
        <a:xfrm flipV="1">
          <a:off x="11324166" y="52821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1214</xdr:row>
      <xdr:rowOff>42333</xdr:rowOff>
    </xdr:from>
    <xdr:to>
      <xdr:col>11</xdr:col>
      <xdr:colOff>603250</xdr:colOff>
      <xdr:row>1226</xdr:row>
      <xdr:rowOff>10583</xdr:rowOff>
    </xdr:to>
    <xdr:cxnSp macro="">
      <xdr:nvCxnSpPr>
        <xdr:cNvPr id="3241" name="Straight Arrow Connector 3240">
          <a:extLst>
            <a:ext uri="{FF2B5EF4-FFF2-40B4-BE49-F238E27FC236}">
              <a16:creationId xmlns:a16="http://schemas.microsoft.com/office/drawing/2014/main" id="{00000000-0008-0000-1200-0000A90C0000}"/>
            </a:ext>
          </a:extLst>
        </xdr:cNvPr>
        <xdr:cNvCxnSpPr/>
      </xdr:nvCxnSpPr>
      <xdr:spPr>
        <a:xfrm>
          <a:off x="7926917" y="59478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1204</xdr:row>
      <xdr:rowOff>21167</xdr:rowOff>
    </xdr:from>
    <xdr:to>
      <xdr:col>13</xdr:col>
      <xdr:colOff>592667</xdr:colOff>
      <xdr:row>1206</xdr:row>
      <xdr:rowOff>0</xdr:rowOff>
    </xdr:to>
    <xdr:cxnSp macro="">
      <xdr:nvCxnSpPr>
        <xdr:cNvPr id="3242" name="Straight Arrow Connector 3241">
          <a:extLst>
            <a:ext uri="{FF2B5EF4-FFF2-40B4-BE49-F238E27FC236}">
              <a16:creationId xmlns:a16="http://schemas.microsoft.com/office/drawing/2014/main" id="{00000000-0008-0000-1200-0000AA0C0000}"/>
            </a:ext>
          </a:extLst>
        </xdr:cNvPr>
        <xdr:cNvCxnSpPr/>
      </xdr:nvCxnSpPr>
      <xdr:spPr>
        <a:xfrm flipV="1">
          <a:off x="9133417" y="57552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1209</xdr:row>
      <xdr:rowOff>21166</xdr:rowOff>
    </xdr:from>
    <xdr:to>
      <xdr:col>13</xdr:col>
      <xdr:colOff>592667</xdr:colOff>
      <xdr:row>1210</xdr:row>
      <xdr:rowOff>169334</xdr:rowOff>
    </xdr:to>
    <xdr:cxnSp macro="">
      <xdr:nvCxnSpPr>
        <xdr:cNvPr id="3243" name="Straight Arrow Connector 3242">
          <a:extLst>
            <a:ext uri="{FF2B5EF4-FFF2-40B4-BE49-F238E27FC236}">
              <a16:creationId xmlns:a16="http://schemas.microsoft.com/office/drawing/2014/main" id="{00000000-0008-0000-1200-0000AB0C0000}"/>
            </a:ext>
          </a:extLst>
        </xdr:cNvPr>
        <xdr:cNvCxnSpPr/>
      </xdr:nvCxnSpPr>
      <xdr:spPr>
        <a:xfrm>
          <a:off x="9122833" y="58504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1224</xdr:row>
      <xdr:rowOff>21167</xdr:rowOff>
    </xdr:from>
    <xdr:to>
      <xdr:col>13</xdr:col>
      <xdr:colOff>592667</xdr:colOff>
      <xdr:row>1226</xdr:row>
      <xdr:rowOff>63500</xdr:rowOff>
    </xdr:to>
    <xdr:cxnSp macro="">
      <xdr:nvCxnSpPr>
        <xdr:cNvPr id="3244" name="Straight Arrow Connector 3243">
          <a:extLst>
            <a:ext uri="{FF2B5EF4-FFF2-40B4-BE49-F238E27FC236}">
              <a16:creationId xmlns:a16="http://schemas.microsoft.com/office/drawing/2014/main" id="{00000000-0008-0000-1200-0000AC0C0000}"/>
            </a:ext>
          </a:extLst>
        </xdr:cNvPr>
        <xdr:cNvCxnSpPr/>
      </xdr:nvCxnSpPr>
      <xdr:spPr>
        <a:xfrm flipV="1">
          <a:off x="9525000" y="61552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1229</xdr:row>
      <xdr:rowOff>0</xdr:rowOff>
    </xdr:from>
    <xdr:to>
      <xdr:col>14</xdr:col>
      <xdr:colOff>10584</xdr:colOff>
      <xdr:row>1237</xdr:row>
      <xdr:rowOff>148167</xdr:rowOff>
    </xdr:to>
    <xdr:cxnSp macro="">
      <xdr:nvCxnSpPr>
        <xdr:cNvPr id="3245" name="Straight Arrow Connector 3244">
          <a:extLst>
            <a:ext uri="{FF2B5EF4-FFF2-40B4-BE49-F238E27FC236}">
              <a16:creationId xmlns:a16="http://schemas.microsoft.com/office/drawing/2014/main" id="{00000000-0008-0000-1200-0000AD0C0000}"/>
            </a:ext>
          </a:extLst>
        </xdr:cNvPr>
        <xdr:cNvCxnSpPr/>
      </xdr:nvCxnSpPr>
      <xdr:spPr>
        <a:xfrm>
          <a:off x="9535583" y="62484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1200</xdr:row>
      <xdr:rowOff>95250</xdr:rowOff>
    </xdr:from>
    <xdr:to>
      <xdr:col>15</xdr:col>
      <xdr:colOff>582083</xdr:colOff>
      <xdr:row>1202</xdr:row>
      <xdr:rowOff>137583</xdr:rowOff>
    </xdr:to>
    <xdr:cxnSp macro="">
      <xdr:nvCxnSpPr>
        <xdr:cNvPr id="3246" name="Straight Arrow Connector 3245">
          <a:extLst>
            <a:ext uri="{FF2B5EF4-FFF2-40B4-BE49-F238E27FC236}">
              <a16:creationId xmlns:a16="http://schemas.microsoft.com/office/drawing/2014/main" id="{00000000-0008-0000-1200-0000AE0C0000}"/>
            </a:ext>
          </a:extLst>
        </xdr:cNvPr>
        <xdr:cNvCxnSpPr/>
      </xdr:nvCxnSpPr>
      <xdr:spPr>
        <a:xfrm>
          <a:off x="11334749" y="56864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1209</xdr:row>
      <xdr:rowOff>52916</xdr:rowOff>
    </xdr:from>
    <xdr:to>
      <xdr:col>16</xdr:col>
      <xdr:colOff>0</xdr:colOff>
      <xdr:row>1211</xdr:row>
      <xdr:rowOff>0</xdr:rowOff>
    </xdr:to>
    <xdr:cxnSp macro="">
      <xdr:nvCxnSpPr>
        <xdr:cNvPr id="3247" name="Straight Arrow Connector 3246">
          <a:extLst>
            <a:ext uri="{FF2B5EF4-FFF2-40B4-BE49-F238E27FC236}">
              <a16:creationId xmlns:a16="http://schemas.microsoft.com/office/drawing/2014/main" id="{00000000-0008-0000-1200-0000AF0C0000}"/>
            </a:ext>
          </a:extLst>
        </xdr:cNvPr>
        <xdr:cNvCxnSpPr/>
      </xdr:nvCxnSpPr>
      <xdr:spPr>
        <a:xfrm flipV="1">
          <a:off x="11281833" y="58536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21167</xdr:rowOff>
    </xdr:from>
    <xdr:to>
      <xdr:col>15</xdr:col>
      <xdr:colOff>592666</xdr:colOff>
      <xdr:row>1212</xdr:row>
      <xdr:rowOff>84667</xdr:rowOff>
    </xdr:to>
    <xdr:cxnSp macro="">
      <xdr:nvCxnSpPr>
        <xdr:cNvPr id="3248" name="Straight Arrow Connector 3247">
          <a:extLst>
            <a:ext uri="{FF2B5EF4-FFF2-40B4-BE49-F238E27FC236}">
              <a16:creationId xmlns:a16="http://schemas.microsoft.com/office/drawing/2014/main" id="{00000000-0008-0000-1200-0000B00C0000}"/>
            </a:ext>
          </a:extLst>
        </xdr:cNvPr>
        <xdr:cNvCxnSpPr/>
      </xdr:nvCxnSpPr>
      <xdr:spPr>
        <a:xfrm>
          <a:off x="11271250" y="58885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1211</xdr:row>
      <xdr:rowOff>0</xdr:rowOff>
    </xdr:from>
    <xdr:to>
      <xdr:col>16</xdr:col>
      <xdr:colOff>0</xdr:colOff>
      <xdr:row>1215</xdr:row>
      <xdr:rowOff>42334</xdr:rowOff>
    </xdr:to>
    <xdr:cxnSp macro="">
      <xdr:nvCxnSpPr>
        <xdr:cNvPr id="3249" name="Straight Arrow Connector 3248">
          <a:extLst>
            <a:ext uri="{FF2B5EF4-FFF2-40B4-BE49-F238E27FC236}">
              <a16:creationId xmlns:a16="http://schemas.microsoft.com/office/drawing/2014/main" id="{00000000-0008-0000-1200-0000B10C0000}"/>
            </a:ext>
          </a:extLst>
        </xdr:cNvPr>
        <xdr:cNvCxnSpPr/>
      </xdr:nvCxnSpPr>
      <xdr:spPr>
        <a:xfrm>
          <a:off x="11271250" y="58864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1222</xdr:row>
      <xdr:rowOff>0</xdr:rowOff>
    </xdr:from>
    <xdr:to>
      <xdr:col>15</xdr:col>
      <xdr:colOff>603250</xdr:colOff>
      <xdr:row>1224</xdr:row>
      <xdr:rowOff>1</xdr:rowOff>
    </xdr:to>
    <xdr:cxnSp macro="">
      <xdr:nvCxnSpPr>
        <xdr:cNvPr id="3250" name="Straight Arrow Connector 3249">
          <a:extLst>
            <a:ext uri="{FF2B5EF4-FFF2-40B4-BE49-F238E27FC236}">
              <a16:creationId xmlns:a16="http://schemas.microsoft.com/office/drawing/2014/main" id="{00000000-0008-0000-1200-0000B20C0000}"/>
            </a:ext>
          </a:extLst>
        </xdr:cNvPr>
        <xdr:cNvCxnSpPr/>
      </xdr:nvCxnSpPr>
      <xdr:spPr>
        <a:xfrm flipV="1">
          <a:off x="11271250" y="61150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1224</xdr:row>
      <xdr:rowOff>10584</xdr:rowOff>
    </xdr:from>
    <xdr:to>
      <xdr:col>15</xdr:col>
      <xdr:colOff>592666</xdr:colOff>
      <xdr:row>1225</xdr:row>
      <xdr:rowOff>95250</xdr:rowOff>
    </xdr:to>
    <xdr:cxnSp macro="">
      <xdr:nvCxnSpPr>
        <xdr:cNvPr id="3251" name="Straight Arrow Connector 3250">
          <a:extLst>
            <a:ext uri="{FF2B5EF4-FFF2-40B4-BE49-F238E27FC236}">
              <a16:creationId xmlns:a16="http://schemas.microsoft.com/office/drawing/2014/main" id="{00000000-0008-0000-1200-0000B30C0000}"/>
            </a:ext>
          </a:extLst>
        </xdr:cNvPr>
        <xdr:cNvCxnSpPr/>
      </xdr:nvCxnSpPr>
      <xdr:spPr>
        <a:xfrm>
          <a:off x="11313583" y="61542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1224</xdr:row>
      <xdr:rowOff>10584</xdr:rowOff>
    </xdr:from>
    <xdr:to>
      <xdr:col>15</xdr:col>
      <xdr:colOff>560916</xdr:colOff>
      <xdr:row>1228</xdr:row>
      <xdr:rowOff>52917</xdr:rowOff>
    </xdr:to>
    <xdr:cxnSp macro="">
      <xdr:nvCxnSpPr>
        <xdr:cNvPr id="3252" name="Straight Arrow Connector 3251">
          <a:extLst>
            <a:ext uri="{FF2B5EF4-FFF2-40B4-BE49-F238E27FC236}">
              <a16:creationId xmlns:a16="http://schemas.microsoft.com/office/drawing/2014/main" id="{00000000-0008-0000-1200-0000B40C0000}"/>
            </a:ext>
          </a:extLst>
        </xdr:cNvPr>
        <xdr:cNvCxnSpPr/>
      </xdr:nvCxnSpPr>
      <xdr:spPr>
        <a:xfrm>
          <a:off x="11292416" y="61542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3253" name="Straight Arrow Connector 3252">
          <a:extLst>
            <a:ext uri="{FF2B5EF4-FFF2-40B4-BE49-F238E27FC236}">
              <a16:creationId xmlns:a16="http://schemas.microsoft.com/office/drawing/2014/main" id="{00000000-0008-0000-1200-0000B50C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1238</xdr:row>
      <xdr:rowOff>0</xdr:rowOff>
    </xdr:from>
    <xdr:to>
      <xdr:col>16</xdr:col>
      <xdr:colOff>0</xdr:colOff>
      <xdr:row>1238</xdr:row>
      <xdr:rowOff>42334</xdr:rowOff>
    </xdr:to>
    <xdr:cxnSp macro="">
      <xdr:nvCxnSpPr>
        <xdr:cNvPr id="3254" name="Straight Arrow Connector 3253">
          <a:extLst>
            <a:ext uri="{FF2B5EF4-FFF2-40B4-BE49-F238E27FC236}">
              <a16:creationId xmlns:a16="http://schemas.microsoft.com/office/drawing/2014/main" id="{00000000-0008-0000-1200-0000B60C0000}"/>
            </a:ext>
          </a:extLst>
        </xdr:cNvPr>
        <xdr:cNvCxnSpPr/>
      </xdr:nvCxnSpPr>
      <xdr:spPr>
        <a:xfrm>
          <a:off x="11302999" y="64198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1238</xdr:row>
      <xdr:rowOff>21166</xdr:rowOff>
    </xdr:from>
    <xdr:to>
      <xdr:col>15</xdr:col>
      <xdr:colOff>560916</xdr:colOff>
      <xdr:row>1241</xdr:row>
      <xdr:rowOff>84667</xdr:rowOff>
    </xdr:to>
    <xdr:cxnSp macro="">
      <xdr:nvCxnSpPr>
        <xdr:cNvPr id="3255" name="Straight Arrow Connector 3254">
          <a:extLst>
            <a:ext uri="{FF2B5EF4-FFF2-40B4-BE49-F238E27FC236}">
              <a16:creationId xmlns:a16="http://schemas.microsoft.com/office/drawing/2014/main" id="{00000000-0008-0000-1200-0000B70C0000}"/>
            </a:ext>
          </a:extLst>
        </xdr:cNvPr>
        <xdr:cNvCxnSpPr/>
      </xdr:nvCxnSpPr>
      <xdr:spPr>
        <a:xfrm>
          <a:off x="11355916" y="64219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1238</xdr:row>
      <xdr:rowOff>52916</xdr:rowOff>
    </xdr:from>
    <xdr:to>
      <xdr:col>15</xdr:col>
      <xdr:colOff>592666</xdr:colOff>
      <xdr:row>1244</xdr:row>
      <xdr:rowOff>63501</xdr:rowOff>
    </xdr:to>
    <xdr:cxnSp macro="">
      <xdr:nvCxnSpPr>
        <xdr:cNvPr id="3256" name="Straight Arrow Connector 3255">
          <a:extLst>
            <a:ext uri="{FF2B5EF4-FFF2-40B4-BE49-F238E27FC236}">
              <a16:creationId xmlns:a16="http://schemas.microsoft.com/office/drawing/2014/main" id="{00000000-0008-0000-1200-0000B80C0000}"/>
            </a:ext>
          </a:extLst>
        </xdr:cNvPr>
        <xdr:cNvCxnSpPr/>
      </xdr:nvCxnSpPr>
      <xdr:spPr>
        <a:xfrm>
          <a:off x="11313583" y="64251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1235</xdr:row>
      <xdr:rowOff>52917</xdr:rowOff>
    </xdr:from>
    <xdr:to>
      <xdr:col>15</xdr:col>
      <xdr:colOff>603250</xdr:colOff>
      <xdr:row>1237</xdr:row>
      <xdr:rowOff>148167</xdr:rowOff>
    </xdr:to>
    <xdr:cxnSp macro="">
      <xdr:nvCxnSpPr>
        <xdr:cNvPr id="3257" name="Straight Arrow Connector 3256">
          <a:extLst>
            <a:ext uri="{FF2B5EF4-FFF2-40B4-BE49-F238E27FC236}">
              <a16:creationId xmlns:a16="http://schemas.microsoft.com/office/drawing/2014/main" id="{00000000-0008-0000-1200-0000B90C0000}"/>
            </a:ext>
          </a:extLst>
        </xdr:cNvPr>
        <xdr:cNvCxnSpPr/>
      </xdr:nvCxnSpPr>
      <xdr:spPr>
        <a:xfrm flipV="1">
          <a:off x="11324166" y="63679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1279</xdr:row>
      <xdr:rowOff>95250</xdr:rowOff>
    </xdr:from>
    <xdr:to>
      <xdr:col>8</xdr:col>
      <xdr:colOff>21167</xdr:colOff>
      <xdr:row>1311</xdr:row>
      <xdr:rowOff>148166</xdr:rowOff>
    </xdr:to>
    <xdr:cxnSp macro="">
      <xdr:nvCxnSpPr>
        <xdr:cNvPr id="3258" name="Straight Arrow Connector 3257">
          <a:extLst>
            <a:ext uri="{FF2B5EF4-FFF2-40B4-BE49-F238E27FC236}">
              <a16:creationId xmlns:a16="http://schemas.microsoft.com/office/drawing/2014/main" id="{00000000-0008-0000-1200-0000BA0C0000}"/>
            </a:ext>
          </a:extLst>
        </xdr:cNvPr>
        <xdr:cNvCxnSpPr/>
      </xdr:nvCxnSpPr>
      <xdr:spPr>
        <a:xfrm>
          <a:off x="5185833" y="722947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1250</xdr:row>
      <xdr:rowOff>137583</xdr:rowOff>
    </xdr:from>
    <xdr:to>
      <xdr:col>9</xdr:col>
      <xdr:colOff>603250</xdr:colOff>
      <xdr:row>1256</xdr:row>
      <xdr:rowOff>21166</xdr:rowOff>
    </xdr:to>
    <xdr:cxnSp macro="">
      <xdr:nvCxnSpPr>
        <xdr:cNvPr id="3259" name="Straight Arrow Connector 3258">
          <a:extLst>
            <a:ext uri="{FF2B5EF4-FFF2-40B4-BE49-F238E27FC236}">
              <a16:creationId xmlns:a16="http://schemas.microsoft.com/office/drawing/2014/main" id="{00000000-0008-0000-1200-0000BB0C0000}"/>
            </a:ext>
          </a:extLst>
        </xdr:cNvPr>
        <xdr:cNvCxnSpPr/>
      </xdr:nvCxnSpPr>
      <xdr:spPr>
        <a:xfrm flipV="1">
          <a:off x="6688667" y="666220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1259</xdr:row>
      <xdr:rowOff>0</xdr:rowOff>
    </xdr:from>
    <xdr:to>
      <xdr:col>9</xdr:col>
      <xdr:colOff>582083</xdr:colOff>
      <xdr:row>1267</xdr:row>
      <xdr:rowOff>10583</xdr:rowOff>
    </xdr:to>
    <xdr:cxnSp macro="">
      <xdr:nvCxnSpPr>
        <xdr:cNvPr id="3260" name="Straight Arrow Connector 3259">
          <a:extLst>
            <a:ext uri="{FF2B5EF4-FFF2-40B4-BE49-F238E27FC236}">
              <a16:creationId xmlns:a16="http://schemas.microsoft.com/office/drawing/2014/main" id="{00000000-0008-0000-1200-0000BC0C0000}"/>
            </a:ext>
          </a:extLst>
        </xdr:cNvPr>
        <xdr:cNvCxnSpPr/>
      </xdr:nvCxnSpPr>
      <xdr:spPr>
        <a:xfrm>
          <a:off x="6720417" y="681990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1264</xdr:row>
      <xdr:rowOff>169333</xdr:rowOff>
    </xdr:from>
    <xdr:to>
      <xdr:col>11</xdr:col>
      <xdr:colOff>603250</xdr:colOff>
      <xdr:row>1267</xdr:row>
      <xdr:rowOff>21167</xdr:rowOff>
    </xdr:to>
    <xdr:cxnSp macro="">
      <xdr:nvCxnSpPr>
        <xdr:cNvPr id="3261" name="Straight Arrow Connector 3260">
          <a:extLst>
            <a:ext uri="{FF2B5EF4-FFF2-40B4-BE49-F238E27FC236}">
              <a16:creationId xmlns:a16="http://schemas.microsoft.com/office/drawing/2014/main" id="{00000000-0008-0000-1200-0000BD0C0000}"/>
            </a:ext>
          </a:extLst>
        </xdr:cNvPr>
        <xdr:cNvCxnSpPr/>
      </xdr:nvCxnSpPr>
      <xdr:spPr>
        <a:xfrm flipV="1">
          <a:off x="7937500"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1270</xdr:row>
      <xdr:rowOff>42333</xdr:rowOff>
    </xdr:from>
    <xdr:to>
      <xdr:col>11</xdr:col>
      <xdr:colOff>603250</xdr:colOff>
      <xdr:row>1282</xdr:row>
      <xdr:rowOff>10583</xdr:rowOff>
    </xdr:to>
    <xdr:cxnSp macro="">
      <xdr:nvCxnSpPr>
        <xdr:cNvPr id="3262" name="Straight Arrow Connector 3261">
          <a:extLst>
            <a:ext uri="{FF2B5EF4-FFF2-40B4-BE49-F238E27FC236}">
              <a16:creationId xmlns:a16="http://schemas.microsoft.com/office/drawing/2014/main" id="{00000000-0008-0000-1200-0000BE0C0000}"/>
            </a:ext>
          </a:extLst>
        </xdr:cNvPr>
        <xdr:cNvCxnSpPr/>
      </xdr:nvCxnSpPr>
      <xdr:spPr>
        <a:xfrm>
          <a:off x="7926917"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1260</xdr:row>
      <xdr:rowOff>21167</xdr:rowOff>
    </xdr:from>
    <xdr:to>
      <xdr:col>13</xdr:col>
      <xdr:colOff>592667</xdr:colOff>
      <xdr:row>1262</xdr:row>
      <xdr:rowOff>0</xdr:rowOff>
    </xdr:to>
    <xdr:cxnSp macro="">
      <xdr:nvCxnSpPr>
        <xdr:cNvPr id="3263" name="Straight Arrow Connector 3262">
          <a:extLst>
            <a:ext uri="{FF2B5EF4-FFF2-40B4-BE49-F238E27FC236}">
              <a16:creationId xmlns:a16="http://schemas.microsoft.com/office/drawing/2014/main" id="{00000000-0008-0000-1200-0000BF0C0000}"/>
            </a:ext>
          </a:extLst>
        </xdr:cNvPr>
        <xdr:cNvCxnSpPr/>
      </xdr:nvCxnSpPr>
      <xdr:spPr>
        <a:xfrm flipV="1">
          <a:off x="9133417" y="68410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1265</xdr:row>
      <xdr:rowOff>21166</xdr:rowOff>
    </xdr:from>
    <xdr:to>
      <xdr:col>13</xdr:col>
      <xdr:colOff>592667</xdr:colOff>
      <xdr:row>1266</xdr:row>
      <xdr:rowOff>169334</xdr:rowOff>
    </xdr:to>
    <xdr:cxnSp macro="">
      <xdr:nvCxnSpPr>
        <xdr:cNvPr id="3264" name="Straight Arrow Connector 3263">
          <a:extLst>
            <a:ext uri="{FF2B5EF4-FFF2-40B4-BE49-F238E27FC236}">
              <a16:creationId xmlns:a16="http://schemas.microsoft.com/office/drawing/2014/main" id="{00000000-0008-0000-1200-0000C00C0000}"/>
            </a:ext>
          </a:extLst>
        </xdr:cNvPr>
        <xdr:cNvCxnSpPr/>
      </xdr:nvCxnSpPr>
      <xdr:spPr>
        <a:xfrm>
          <a:off x="9122833" y="69363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1280</xdr:row>
      <xdr:rowOff>21167</xdr:rowOff>
    </xdr:from>
    <xdr:to>
      <xdr:col>13</xdr:col>
      <xdr:colOff>592667</xdr:colOff>
      <xdr:row>1282</xdr:row>
      <xdr:rowOff>63500</xdr:rowOff>
    </xdr:to>
    <xdr:cxnSp macro="">
      <xdr:nvCxnSpPr>
        <xdr:cNvPr id="3265" name="Straight Arrow Connector 3264">
          <a:extLst>
            <a:ext uri="{FF2B5EF4-FFF2-40B4-BE49-F238E27FC236}">
              <a16:creationId xmlns:a16="http://schemas.microsoft.com/office/drawing/2014/main" id="{00000000-0008-0000-1200-0000C10C0000}"/>
            </a:ext>
          </a:extLst>
        </xdr:cNvPr>
        <xdr:cNvCxnSpPr/>
      </xdr:nvCxnSpPr>
      <xdr:spPr>
        <a:xfrm flipV="1">
          <a:off x="952500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1285</xdr:row>
      <xdr:rowOff>0</xdr:rowOff>
    </xdr:from>
    <xdr:to>
      <xdr:col>14</xdr:col>
      <xdr:colOff>10584</xdr:colOff>
      <xdr:row>1293</xdr:row>
      <xdr:rowOff>148167</xdr:rowOff>
    </xdr:to>
    <xdr:cxnSp macro="">
      <xdr:nvCxnSpPr>
        <xdr:cNvPr id="3266" name="Straight Arrow Connector 3265">
          <a:extLst>
            <a:ext uri="{FF2B5EF4-FFF2-40B4-BE49-F238E27FC236}">
              <a16:creationId xmlns:a16="http://schemas.microsoft.com/office/drawing/2014/main" id="{00000000-0008-0000-1200-0000C20C0000}"/>
            </a:ext>
          </a:extLst>
        </xdr:cNvPr>
        <xdr:cNvCxnSpPr/>
      </xdr:nvCxnSpPr>
      <xdr:spPr>
        <a:xfrm>
          <a:off x="9535583" y="73342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1252</xdr:row>
      <xdr:rowOff>0</xdr:rowOff>
    </xdr:from>
    <xdr:to>
      <xdr:col>15</xdr:col>
      <xdr:colOff>603250</xdr:colOff>
      <xdr:row>1257</xdr:row>
      <xdr:rowOff>31750</xdr:rowOff>
    </xdr:to>
    <xdr:cxnSp macro="">
      <xdr:nvCxnSpPr>
        <xdr:cNvPr id="3267" name="Straight Arrow Connector 3266">
          <a:extLst>
            <a:ext uri="{FF2B5EF4-FFF2-40B4-BE49-F238E27FC236}">
              <a16:creationId xmlns:a16="http://schemas.microsoft.com/office/drawing/2014/main" id="{00000000-0008-0000-1200-0000C30C0000}"/>
            </a:ext>
          </a:extLst>
        </xdr:cNvPr>
        <xdr:cNvCxnSpPr/>
      </xdr:nvCxnSpPr>
      <xdr:spPr>
        <a:xfrm flipV="1">
          <a:off x="11281833"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1255</xdr:row>
      <xdr:rowOff>52917</xdr:rowOff>
    </xdr:from>
    <xdr:to>
      <xdr:col>15</xdr:col>
      <xdr:colOff>603250</xdr:colOff>
      <xdr:row>1257</xdr:row>
      <xdr:rowOff>95250</xdr:rowOff>
    </xdr:to>
    <xdr:cxnSp macro="">
      <xdr:nvCxnSpPr>
        <xdr:cNvPr id="3268" name="Straight Arrow Connector 3267">
          <a:extLst>
            <a:ext uri="{FF2B5EF4-FFF2-40B4-BE49-F238E27FC236}">
              <a16:creationId xmlns:a16="http://schemas.microsoft.com/office/drawing/2014/main" id="{00000000-0008-0000-1200-0000C40C0000}"/>
            </a:ext>
          </a:extLst>
        </xdr:cNvPr>
        <xdr:cNvCxnSpPr/>
      </xdr:nvCxnSpPr>
      <xdr:spPr>
        <a:xfrm flipV="1">
          <a:off x="11324166"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1257</xdr:row>
      <xdr:rowOff>158750</xdr:rowOff>
    </xdr:from>
    <xdr:to>
      <xdr:col>15</xdr:col>
      <xdr:colOff>582083</xdr:colOff>
      <xdr:row>1258</xdr:row>
      <xdr:rowOff>137583</xdr:rowOff>
    </xdr:to>
    <xdr:cxnSp macro="">
      <xdr:nvCxnSpPr>
        <xdr:cNvPr id="3269" name="Straight Arrow Connector 3268">
          <a:extLst>
            <a:ext uri="{FF2B5EF4-FFF2-40B4-BE49-F238E27FC236}">
              <a16:creationId xmlns:a16="http://schemas.microsoft.com/office/drawing/2014/main" id="{00000000-0008-0000-1200-0000C50C0000}"/>
            </a:ext>
          </a:extLst>
        </xdr:cNvPr>
        <xdr:cNvCxnSpPr/>
      </xdr:nvCxnSpPr>
      <xdr:spPr>
        <a:xfrm>
          <a:off x="11345333"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1257</xdr:row>
      <xdr:rowOff>105834</xdr:rowOff>
    </xdr:from>
    <xdr:to>
      <xdr:col>16</xdr:col>
      <xdr:colOff>0</xdr:colOff>
      <xdr:row>1261</xdr:row>
      <xdr:rowOff>84667</xdr:rowOff>
    </xdr:to>
    <xdr:cxnSp macro="">
      <xdr:nvCxnSpPr>
        <xdr:cNvPr id="3270" name="Straight Arrow Connector 3269">
          <a:extLst>
            <a:ext uri="{FF2B5EF4-FFF2-40B4-BE49-F238E27FC236}">
              <a16:creationId xmlns:a16="http://schemas.microsoft.com/office/drawing/2014/main" id="{00000000-0008-0000-1200-0000C60C0000}"/>
            </a:ext>
          </a:extLst>
        </xdr:cNvPr>
        <xdr:cNvCxnSpPr/>
      </xdr:nvCxnSpPr>
      <xdr:spPr>
        <a:xfrm>
          <a:off x="11260667" y="67923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1265</xdr:row>
      <xdr:rowOff>52916</xdr:rowOff>
    </xdr:from>
    <xdr:to>
      <xdr:col>16</xdr:col>
      <xdr:colOff>0</xdr:colOff>
      <xdr:row>1267</xdr:row>
      <xdr:rowOff>0</xdr:rowOff>
    </xdr:to>
    <xdr:cxnSp macro="">
      <xdr:nvCxnSpPr>
        <xdr:cNvPr id="3271" name="Straight Arrow Connector 3270">
          <a:extLst>
            <a:ext uri="{FF2B5EF4-FFF2-40B4-BE49-F238E27FC236}">
              <a16:creationId xmlns:a16="http://schemas.microsoft.com/office/drawing/2014/main" id="{00000000-0008-0000-1200-0000C70C0000}"/>
            </a:ext>
          </a:extLst>
        </xdr:cNvPr>
        <xdr:cNvCxnSpPr/>
      </xdr:nvCxnSpPr>
      <xdr:spPr>
        <a:xfrm flipV="1">
          <a:off x="11281833" y="69394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1267</xdr:row>
      <xdr:rowOff>21167</xdr:rowOff>
    </xdr:from>
    <xdr:to>
      <xdr:col>15</xdr:col>
      <xdr:colOff>582083</xdr:colOff>
      <xdr:row>1268</xdr:row>
      <xdr:rowOff>42333</xdr:rowOff>
    </xdr:to>
    <xdr:cxnSp macro="">
      <xdr:nvCxnSpPr>
        <xdr:cNvPr id="3272" name="Straight Arrow Connector 3271">
          <a:extLst>
            <a:ext uri="{FF2B5EF4-FFF2-40B4-BE49-F238E27FC236}">
              <a16:creationId xmlns:a16="http://schemas.microsoft.com/office/drawing/2014/main" id="{00000000-0008-0000-1200-0000C80C0000}"/>
            </a:ext>
          </a:extLst>
        </xdr:cNvPr>
        <xdr:cNvCxnSpPr/>
      </xdr:nvCxnSpPr>
      <xdr:spPr>
        <a:xfrm>
          <a:off x="11292416"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1267</xdr:row>
      <xdr:rowOff>21167</xdr:rowOff>
    </xdr:from>
    <xdr:to>
      <xdr:col>16</xdr:col>
      <xdr:colOff>42333</xdr:colOff>
      <xdr:row>1272</xdr:row>
      <xdr:rowOff>21168</xdr:rowOff>
    </xdr:to>
    <xdr:cxnSp macro="">
      <xdr:nvCxnSpPr>
        <xdr:cNvPr id="3273" name="Straight Arrow Connector 3272">
          <a:extLst>
            <a:ext uri="{FF2B5EF4-FFF2-40B4-BE49-F238E27FC236}">
              <a16:creationId xmlns:a16="http://schemas.microsoft.com/office/drawing/2014/main" id="{00000000-0008-0000-1200-0000C90C0000}"/>
            </a:ext>
          </a:extLst>
        </xdr:cNvPr>
        <xdr:cNvCxnSpPr/>
      </xdr:nvCxnSpPr>
      <xdr:spPr>
        <a:xfrm>
          <a:off x="11271250" y="69744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3274" name="Straight Arrow Connector 3273">
          <a:extLst>
            <a:ext uri="{FF2B5EF4-FFF2-40B4-BE49-F238E27FC236}">
              <a16:creationId xmlns:a16="http://schemas.microsoft.com/office/drawing/2014/main" id="{00000000-0008-0000-1200-0000CA0C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1304</xdr:row>
      <xdr:rowOff>42333</xdr:rowOff>
    </xdr:from>
    <xdr:to>
      <xdr:col>9</xdr:col>
      <xdr:colOff>592666</xdr:colOff>
      <xdr:row>1312</xdr:row>
      <xdr:rowOff>42333</xdr:rowOff>
    </xdr:to>
    <xdr:cxnSp macro="">
      <xdr:nvCxnSpPr>
        <xdr:cNvPr id="3275" name="Straight Arrow Connector 3274">
          <a:extLst>
            <a:ext uri="{FF2B5EF4-FFF2-40B4-BE49-F238E27FC236}">
              <a16:creationId xmlns:a16="http://schemas.microsoft.com/office/drawing/2014/main" id="{00000000-0008-0000-1200-0000CB0C0000}"/>
            </a:ext>
          </a:extLst>
        </xdr:cNvPr>
        <xdr:cNvCxnSpPr/>
      </xdr:nvCxnSpPr>
      <xdr:spPr>
        <a:xfrm flipV="1">
          <a:off x="6699250" y="770043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1314</xdr:row>
      <xdr:rowOff>169334</xdr:rowOff>
    </xdr:from>
    <xdr:to>
      <xdr:col>9</xdr:col>
      <xdr:colOff>603250</xdr:colOff>
      <xdr:row>1323</xdr:row>
      <xdr:rowOff>31750</xdr:rowOff>
    </xdr:to>
    <xdr:cxnSp macro="">
      <xdr:nvCxnSpPr>
        <xdr:cNvPr id="3276" name="Straight Arrow Connector 3275">
          <a:extLst>
            <a:ext uri="{FF2B5EF4-FFF2-40B4-BE49-F238E27FC236}">
              <a16:creationId xmlns:a16="http://schemas.microsoft.com/office/drawing/2014/main" id="{00000000-0008-0000-1200-0000CC0C0000}"/>
            </a:ext>
          </a:extLst>
        </xdr:cNvPr>
        <xdr:cNvCxnSpPr/>
      </xdr:nvCxnSpPr>
      <xdr:spPr>
        <a:xfrm>
          <a:off x="6720417" y="790363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1320</xdr:row>
      <xdr:rowOff>158750</xdr:rowOff>
    </xdr:from>
    <xdr:to>
      <xdr:col>11</xdr:col>
      <xdr:colOff>571500</xdr:colOff>
      <xdr:row>1323</xdr:row>
      <xdr:rowOff>0</xdr:rowOff>
    </xdr:to>
    <xdr:cxnSp macro="">
      <xdr:nvCxnSpPr>
        <xdr:cNvPr id="3277" name="Straight Arrow Connector 3276">
          <a:extLst>
            <a:ext uri="{FF2B5EF4-FFF2-40B4-BE49-F238E27FC236}">
              <a16:creationId xmlns:a16="http://schemas.microsoft.com/office/drawing/2014/main" id="{00000000-0008-0000-1200-0000CD0C0000}"/>
            </a:ext>
          </a:extLst>
        </xdr:cNvPr>
        <xdr:cNvCxnSpPr/>
      </xdr:nvCxnSpPr>
      <xdr:spPr>
        <a:xfrm flipV="1">
          <a:off x="7874000" y="80168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1278</xdr:row>
      <xdr:rowOff>0</xdr:rowOff>
    </xdr:from>
    <xdr:to>
      <xdr:col>15</xdr:col>
      <xdr:colOff>603250</xdr:colOff>
      <xdr:row>1280</xdr:row>
      <xdr:rowOff>1</xdr:rowOff>
    </xdr:to>
    <xdr:cxnSp macro="">
      <xdr:nvCxnSpPr>
        <xdr:cNvPr id="3278" name="Straight Arrow Connector 3277">
          <a:extLst>
            <a:ext uri="{FF2B5EF4-FFF2-40B4-BE49-F238E27FC236}">
              <a16:creationId xmlns:a16="http://schemas.microsoft.com/office/drawing/2014/main" id="{00000000-0008-0000-1200-0000CE0C0000}"/>
            </a:ext>
          </a:extLst>
        </xdr:cNvPr>
        <xdr:cNvCxnSpPr/>
      </xdr:nvCxnSpPr>
      <xdr:spPr>
        <a:xfrm flipV="1">
          <a:off x="11271250"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1280</xdr:row>
      <xdr:rowOff>10584</xdr:rowOff>
    </xdr:from>
    <xdr:to>
      <xdr:col>15</xdr:col>
      <xdr:colOff>592666</xdr:colOff>
      <xdr:row>1281</xdr:row>
      <xdr:rowOff>95250</xdr:rowOff>
    </xdr:to>
    <xdr:cxnSp macro="">
      <xdr:nvCxnSpPr>
        <xdr:cNvPr id="3279" name="Straight Arrow Connector 3278">
          <a:extLst>
            <a:ext uri="{FF2B5EF4-FFF2-40B4-BE49-F238E27FC236}">
              <a16:creationId xmlns:a16="http://schemas.microsoft.com/office/drawing/2014/main" id="{00000000-0008-0000-1200-0000CF0C0000}"/>
            </a:ext>
          </a:extLst>
        </xdr:cNvPr>
        <xdr:cNvCxnSpPr/>
      </xdr:nvCxnSpPr>
      <xdr:spPr>
        <a:xfrm>
          <a:off x="11313583"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1280</xdr:row>
      <xdr:rowOff>10584</xdr:rowOff>
    </xdr:from>
    <xdr:to>
      <xdr:col>15</xdr:col>
      <xdr:colOff>560916</xdr:colOff>
      <xdr:row>1284</xdr:row>
      <xdr:rowOff>52917</xdr:rowOff>
    </xdr:to>
    <xdr:cxnSp macro="">
      <xdr:nvCxnSpPr>
        <xdr:cNvPr id="3280" name="Straight Arrow Connector 3279">
          <a:extLst>
            <a:ext uri="{FF2B5EF4-FFF2-40B4-BE49-F238E27FC236}">
              <a16:creationId xmlns:a16="http://schemas.microsoft.com/office/drawing/2014/main" id="{00000000-0008-0000-1200-0000D00C0000}"/>
            </a:ext>
          </a:extLst>
        </xdr:cNvPr>
        <xdr:cNvCxnSpPr/>
      </xdr:nvCxnSpPr>
      <xdr:spPr>
        <a:xfrm>
          <a:off x="11292416"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3281" name="Straight Arrow Connector 3280">
          <a:extLst>
            <a:ext uri="{FF2B5EF4-FFF2-40B4-BE49-F238E27FC236}">
              <a16:creationId xmlns:a16="http://schemas.microsoft.com/office/drawing/2014/main" id="{00000000-0008-0000-1200-0000D10C0000}"/>
            </a:ext>
          </a:extLst>
        </xdr:cNvPr>
        <xdr:cNvCxnSpPr/>
      </xdr:nvCxnSpPr>
      <xdr:spPr>
        <a:xfrm>
          <a:off x="11324166" y="72421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1294</xdr:row>
      <xdr:rowOff>0</xdr:rowOff>
    </xdr:from>
    <xdr:to>
      <xdr:col>16</xdr:col>
      <xdr:colOff>0</xdr:colOff>
      <xdr:row>1294</xdr:row>
      <xdr:rowOff>42334</xdr:rowOff>
    </xdr:to>
    <xdr:cxnSp macro="">
      <xdr:nvCxnSpPr>
        <xdr:cNvPr id="3282" name="Straight Arrow Connector 3281">
          <a:extLst>
            <a:ext uri="{FF2B5EF4-FFF2-40B4-BE49-F238E27FC236}">
              <a16:creationId xmlns:a16="http://schemas.microsoft.com/office/drawing/2014/main" id="{00000000-0008-0000-1200-0000D20C0000}"/>
            </a:ext>
          </a:extLst>
        </xdr:cNvPr>
        <xdr:cNvCxnSpPr/>
      </xdr:nvCxnSpPr>
      <xdr:spPr>
        <a:xfrm>
          <a:off x="11302999" y="75057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1294</xdr:row>
      <xdr:rowOff>21166</xdr:rowOff>
    </xdr:from>
    <xdr:to>
      <xdr:col>15</xdr:col>
      <xdr:colOff>560916</xdr:colOff>
      <xdr:row>1297</xdr:row>
      <xdr:rowOff>84667</xdr:rowOff>
    </xdr:to>
    <xdr:cxnSp macro="">
      <xdr:nvCxnSpPr>
        <xdr:cNvPr id="3283" name="Straight Arrow Connector 3282">
          <a:extLst>
            <a:ext uri="{FF2B5EF4-FFF2-40B4-BE49-F238E27FC236}">
              <a16:creationId xmlns:a16="http://schemas.microsoft.com/office/drawing/2014/main" id="{00000000-0008-0000-1200-0000D30C0000}"/>
            </a:ext>
          </a:extLst>
        </xdr:cNvPr>
        <xdr:cNvCxnSpPr/>
      </xdr:nvCxnSpPr>
      <xdr:spPr>
        <a:xfrm>
          <a:off x="11355916"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1294</xdr:row>
      <xdr:rowOff>52916</xdr:rowOff>
    </xdr:from>
    <xdr:to>
      <xdr:col>15</xdr:col>
      <xdr:colOff>592666</xdr:colOff>
      <xdr:row>1300</xdr:row>
      <xdr:rowOff>63501</xdr:rowOff>
    </xdr:to>
    <xdr:cxnSp macro="">
      <xdr:nvCxnSpPr>
        <xdr:cNvPr id="3284" name="Straight Arrow Connector 3283">
          <a:extLst>
            <a:ext uri="{FF2B5EF4-FFF2-40B4-BE49-F238E27FC236}">
              <a16:creationId xmlns:a16="http://schemas.microsoft.com/office/drawing/2014/main" id="{00000000-0008-0000-1200-0000D40C0000}"/>
            </a:ext>
          </a:extLst>
        </xdr:cNvPr>
        <xdr:cNvCxnSpPr/>
      </xdr:nvCxnSpPr>
      <xdr:spPr>
        <a:xfrm>
          <a:off x="11313583"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1308</xdr:row>
      <xdr:rowOff>116416</xdr:rowOff>
    </xdr:from>
    <xdr:to>
      <xdr:col>15</xdr:col>
      <xdr:colOff>592666</xdr:colOff>
      <xdr:row>1311</xdr:row>
      <xdr:rowOff>158750</xdr:rowOff>
    </xdr:to>
    <xdr:cxnSp macro="">
      <xdr:nvCxnSpPr>
        <xdr:cNvPr id="3285" name="Straight Arrow Connector 3284">
          <a:extLst>
            <a:ext uri="{FF2B5EF4-FFF2-40B4-BE49-F238E27FC236}">
              <a16:creationId xmlns:a16="http://schemas.microsoft.com/office/drawing/2014/main" id="{00000000-0008-0000-1200-0000D50C0000}"/>
            </a:ext>
          </a:extLst>
        </xdr:cNvPr>
        <xdr:cNvCxnSpPr/>
      </xdr:nvCxnSpPr>
      <xdr:spPr>
        <a:xfrm flipV="1">
          <a:off x="11302999"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1310</xdr:row>
      <xdr:rowOff>95250</xdr:rowOff>
    </xdr:from>
    <xdr:to>
      <xdr:col>15</xdr:col>
      <xdr:colOff>582083</xdr:colOff>
      <xdr:row>1312</xdr:row>
      <xdr:rowOff>52917</xdr:rowOff>
    </xdr:to>
    <xdr:cxnSp macro="">
      <xdr:nvCxnSpPr>
        <xdr:cNvPr id="3286" name="Straight Arrow Connector 3285">
          <a:extLst>
            <a:ext uri="{FF2B5EF4-FFF2-40B4-BE49-F238E27FC236}">
              <a16:creationId xmlns:a16="http://schemas.microsoft.com/office/drawing/2014/main" id="{00000000-0008-0000-1200-0000D60C0000}"/>
            </a:ext>
          </a:extLst>
        </xdr:cNvPr>
        <xdr:cNvCxnSpPr/>
      </xdr:nvCxnSpPr>
      <xdr:spPr>
        <a:xfrm flipV="1">
          <a:off x="11345333"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116417</xdr:rowOff>
    </xdr:from>
    <xdr:to>
      <xdr:col>15</xdr:col>
      <xdr:colOff>592666</xdr:colOff>
      <xdr:row>1316</xdr:row>
      <xdr:rowOff>95250</xdr:rowOff>
    </xdr:to>
    <xdr:cxnSp macro="">
      <xdr:nvCxnSpPr>
        <xdr:cNvPr id="3287" name="Straight Arrow Connector 3286">
          <a:extLst>
            <a:ext uri="{FF2B5EF4-FFF2-40B4-BE49-F238E27FC236}">
              <a16:creationId xmlns:a16="http://schemas.microsoft.com/office/drawing/2014/main" id="{00000000-0008-0000-1200-0000D70C0000}"/>
            </a:ext>
          </a:extLst>
        </xdr:cNvPr>
        <xdr:cNvCxnSpPr/>
      </xdr:nvCxnSpPr>
      <xdr:spPr>
        <a:xfrm>
          <a:off x="11334749"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1323</xdr:row>
      <xdr:rowOff>116416</xdr:rowOff>
    </xdr:from>
    <xdr:to>
      <xdr:col>16</xdr:col>
      <xdr:colOff>0</xdr:colOff>
      <xdr:row>1330</xdr:row>
      <xdr:rowOff>74084</xdr:rowOff>
    </xdr:to>
    <xdr:cxnSp macro="">
      <xdr:nvCxnSpPr>
        <xdr:cNvPr id="3288" name="Straight Arrow Connector 3287">
          <a:extLst>
            <a:ext uri="{FF2B5EF4-FFF2-40B4-BE49-F238E27FC236}">
              <a16:creationId xmlns:a16="http://schemas.microsoft.com/office/drawing/2014/main" id="{00000000-0008-0000-1200-0000D80C0000}"/>
            </a:ext>
          </a:extLst>
        </xdr:cNvPr>
        <xdr:cNvCxnSpPr/>
      </xdr:nvCxnSpPr>
      <xdr:spPr>
        <a:xfrm>
          <a:off x="11313583" y="80697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1291</xdr:row>
      <xdr:rowOff>52917</xdr:rowOff>
    </xdr:from>
    <xdr:to>
      <xdr:col>15</xdr:col>
      <xdr:colOff>603250</xdr:colOff>
      <xdr:row>1293</xdr:row>
      <xdr:rowOff>148167</xdr:rowOff>
    </xdr:to>
    <xdr:cxnSp macro="">
      <xdr:nvCxnSpPr>
        <xdr:cNvPr id="3289" name="Straight Arrow Connector 3288">
          <a:extLst>
            <a:ext uri="{FF2B5EF4-FFF2-40B4-BE49-F238E27FC236}">
              <a16:creationId xmlns:a16="http://schemas.microsoft.com/office/drawing/2014/main" id="{00000000-0008-0000-1200-0000D90C0000}"/>
            </a:ext>
          </a:extLst>
        </xdr:cNvPr>
        <xdr:cNvCxnSpPr/>
      </xdr:nvCxnSpPr>
      <xdr:spPr>
        <a:xfrm flipV="1">
          <a:off x="11324166"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1326</xdr:row>
      <xdr:rowOff>42333</xdr:rowOff>
    </xdr:from>
    <xdr:to>
      <xdr:col>11</xdr:col>
      <xdr:colOff>603250</xdr:colOff>
      <xdr:row>1338</xdr:row>
      <xdr:rowOff>10583</xdr:rowOff>
    </xdr:to>
    <xdr:cxnSp macro="">
      <xdr:nvCxnSpPr>
        <xdr:cNvPr id="3290" name="Straight Arrow Connector 3289">
          <a:extLst>
            <a:ext uri="{FF2B5EF4-FFF2-40B4-BE49-F238E27FC236}">
              <a16:creationId xmlns:a16="http://schemas.microsoft.com/office/drawing/2014/main" id="{00000000-0008-0000-1200-0000DA0C0000}"/>
            </a:ext>
          </a:extLst>
        </xdr:cNvPr>
        <xdr:cNvCxnSpPr/>
      </xdr:nvCxnSpPr>
      <xdr:spPr>
        <a:xfrm>
          <a:off x="7926917"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1316</xdr:row>
      <xdr:rowOff>21167</xdr:rowOff>
    </xdr:from>
    <xdr:to>
      <xdr:col>13</xdr:col>
      <xdr:colOff>592667</xdr:colOff>
      <xdr:row>1318</xdr:row>
      <xdr:rowOff>0</xdr:rowOff>
    </xdr:to>
    <xdr:cxnSp macro="">
      <xdr:nvCxnSpPr>
        <xdr:cNvPr id="3291" name="Straight Arrow Connector 3290">
          <a:extLst>
            <a:ext uri="{FF2B5EF4-FFF2-40B4-BE49-F238E27FC236}">
              <a16:creationId xmlns:a16="http://schemas.microsoft.com/office/drawing/2014/main" id="{00000000-0008-0000-1200-0000DB0C0000}"/>
            </a:ext>
          </a:extLst>
        </xdr:cNvPr>
        <xdr:cNvCxnSpPr/>
      </xdr:nvCxnSpPr>
      <xdr:spPr>
        <a:xfrm flipV="1">
          <a:off x="9133417" y="7926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1321</xdr:row>
      <xdr:rowOff>21166</xdr:rowOff>
    </xdr:from>
    <xdr:to>
      <xdr:col>13</xdr:col>
      <xdr:colOff>592667</xdr:colOff>
      <xdr:row>1322</xdr:row>
      <xdr:rowOff>169334</xdr:rowOff>
    </xdr:to>
    <xdr:cxnSp macro="">
      <xdr:nvCxnSpPr>
        <xdr:cNvPr id="3292" name="Straight Arrow Connector 3291">
          <a:extLst>
            <a:ext uri="{FF2B5EF4-FFF2-40B4-BE49-F238E27FC236}">
              <a16:creationId xmlns:a16="http://schemas.microsoft.com/office/drawing/2014/main" id="{00000000-0008-0000-1200-0000DC0C0000}"/>
            </a:ext>
          </a:extLst>
        </xdr:cNvPr>
        <xdr:cNvCxnSpPr/>
      </xdr:nvCxnSpPr>
      <xdr:spPr>
        <a:xfrm>
          <a:off x="9122833" y="8022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1336</xdr:row>
      <xdr:rowOff>21167</xdr:rowOff>
    </xdr:from>
    <xdr:to>
      <xdr:col>13</xdr:col>
      <xdr:colOff>592667</xdr:colOff>
      <xdr:row>1338</xdr:row>
      <xdr:rowOff>63500</xdr:rowOff>
    </xdr:to>
    <xdr:cxnSp macro="">
      <xdr:nvCxnSpPr>
        <xdr:cNvPr id="3293" name="Straight Arrow Connector 3292">
          <a:extLst>
            <a:ext uri="{FF2B5EF4-FFF2-40B4-BE49-F238E27FC236}">
              <a16:creationId xmlns:a16="http://schemas.microsoft.com/office/drawing/2014/main" id="{00000000-0008-0000-1200-0000DD0C0000}"/>
            </a:ext>
          </a:extLst>
        </xdr:cNvPr>
        <xdr:cNvCxnSpPr/>
      </xdr:nvCxnSpPr>
      <xdr:spPr>
        <a:xfrm flipV="1">
          <a:off x="952500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1341</xdr:row>
      <xdr:rowOff>0</xdr:rowOff>
    </xdr:from>
    <xdr:to>
      <xdr:col>14</xdr:col>
      <xdr:colOff>10584</xdr:colOff>
      <xdr:row>1349</xdr:row>
      <xdr:rowOff>148167</xdr:rowOff>
    </xdr:to>
    <xdr:cxnSp macro="">
      <xdr:nvCxnSpPr>
        <xdr:cNvPr id="3294" name="Straight Arrow Connector 3293">
          <a:extLst>
            <a:ext uri="{FF2B5EF4-FFF2-40B4-BE49-F238E27FC236}">
              <a16:creationId xmlns:a16="http://schemas.microsoft.com/office/drawing/2014/main" id="{00000000-0008-0000-1200-0000DE0C0000}"/>
            </a:ext>
          </a:extLst>
        </xdr:cNvPr>
        <xdr:cNvCxnSpPr/>
      </xdr:nvCxnSpPr>
      <xdr:spPr>
        <a:xfrm>
          <a:off x="9535583" y="8420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95250</xdr:rowOff>
    </xdr:from>
    <xdr:to>
      <xdr:col>15</xdr:col>
      <xdr:colOff>582083</xdr:colOff>
      <xdr:row>1314</xdr:row>
      <xdr:rowOff>137583</xdr:rowOff>
    </xdr:to>
    <xdr:cxnSp macro="">
      <xdr:nvCxnSpPr>
        <xdr:cNvPr id="3295" name="Straight Arrow Connector 3294">
          <a:extLst>
            <a:ext uri="{FF2B5EF4-FFF2-40B4-BE49-F238E27FC236}">
              <a16:creationId xmlns:a16="http://schemas.microsoft.com/office/drawing/2014/main" id="{00000000-0008-0000-1200-0000DF0C0000}"/>
            </a:ext>
          </a:extLst>
        </xdr:cNvPr>
        <xdr:cNvCxnSpPr/>
      </xdr:nvCxnSpPr>
      <xdr:spPr>
        <a:xfrm>
          <a:off x="11334749"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1321</xdr:row>
      <xdr:rowOff>52916</xdr:rowOff>
    </xdr:from>
    <xdr:to>
      <xdr:col>16</xdr:col>
      <xdr:colOff>0</xdr:colOff>
      <xdr:row>1323</xdr:row>
      <xdr:rowOff>0</xdr:rowOff>
    </xdr:to>
    <xdr:cxnSp macro="">
      <xdr:nvCxnSpPr>
        <xdr:cNvPr id="3296" name="Straight Arrow Connector 3295">
          <a:extLst>
            <a:ext uri="{FF2B5EF4-FFF2-40B4-BE49-F238E27FC236}">
              <a16:creationId xmlns:a16="http://schemas.microsoft.com/office/drawing/2014/main" id="{00000000-0008-0000-1200-0000E00C0000}"/>
            </a:ext>
          </a:extLst>
        </xdr:cNvPr>
        <xdr:cNvCxnSpPr/>
      </xdr:nvCxnSpPr>
      <xdr:spPr>
        <a:xfrm flipV="1">
          <a:off x="11281833" y="8025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21167</xdr:rowOff>
    </xdr:from>
    <xdr:to>
      <xdr:col>15</xdr:col>
      <xdr:colOff>592666</xdr:colOff>
      <xdr:row>1324</xdr:row>
      <xdr:rowOff>84667</xdr:rowOff>
    </xdr:to>
    <xdr:cxnSp macro="">
      <xdr:nvCxnSpPr>
        <xdr:cNvPr id="3297" name="Straight Arrow Connector 3296">
          <a:extLst>
            <a:ext uri="{FF2B5EF4-FFF2-40B4-BE49-F238E27FC236}">
              <a16:creationId xmlns:a16="http://schemas.microsoft.com/office/drawing/2014/main" id="{00000000-0008-0000-1200-0000E10C0000}"/>
            </a:ext>
          </a:extLst>
        </xdr:cNvPr>
        <xdr:cNvCxnSpPr/>
      </xdr:nvCxnSpPr>
      <xdr:spPr>
        <a:xfrm>
          <a:off x="11271250"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0</xdr:rowOff>
    </xdr:from>
    <xdr:to>
      <xdr:col>16</xdr:col>
      <xdr:colOff>0</xdr:colOff>
      <xdr:row>1327</xdr:row>
      <xdr:rowOff>42334</xdr:rowOff>
    </xdr:to>
    <xdr:cxnSp macro="">
      <xdr:nvCxnSpPr>
        <xdr:cNvPr id="3298" name="Straight Arrow Connector 3297">
          <a:extLst>
            <a:ext uri="{FF2B5EF4-FFF2-40B4-BE49-F238E27FC236}">
              <a16:creationId xmlns:a16="http://schemas.microsoft.com/office/drawing/2014/main" id="{00000000-0008-0000-1200-0000E20C0000}"/>
            </a:ext>
          </a:extLst>
        </xdr:cNvPr>
        <xdr:cNvCxnSpPr/>
      </xdr:nvCxnSpPr>
      <xdr:spPr>
        <a:xfrm>
          <a:off x="11271250" y="80581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1334</xdr:row>
      <xdr:rowOff>0</xdr:rowOff>
    </xdr:from>
    <xdr:to>
      <xdr:col>15</xdr:col>
      <xdr:colOff>603250</xdr:colOff>
      <xdr:row>1336</xdr:row>
      <xdr:rowOff>1</xdr:rowOff>
    </xdr:to>
    <xdr:cxnSp macro="">
      <xdr:nvCxnSpPr>
        <xdr:cNvPr id="3299" name="Straight Arrow Connector 3298">
          <a:extLst>
            <a:ext uri="{FF2B5EF4-FFF2-40B4-BE49-F238E27FC236}">
              <a16:creationId xmlns:a16="http://schemas.microsoft.com/office/drawing/2014/main" id="{00000000-0008-0000-1200-0000E30C0000}"/>
            </a:ext>
          </a:extLst>
        </xdr:cNvPr>
        <xdr:cNvCxnSpPr/>
      </xdr:nvCxnSpPr>
      <xdr:spPr>
        <a:xfrm flipV="1">
          <a:off x="11271250"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1336</xdr:row>
      <xdr:rowOff>10584</xdr:rowOff>
    </xdr:from>
    <xdr:to>
      <xdr:col>15</xdr:col>
      <xdr:colOff>592666</xdr:colOff>
      <xdr:row>1337</xdr:row>
      <xdr:rowOff>95250</xdr:rowOff>
    </xdr:to>
    <xdr:cxnSp macro="">
      <xdr:nvCxnSpPr>
        <xdr:cNvPr id="3300" name="Straight Arrow Connector 3299">
          <a:extLst>
            <a:ext uri="{FF2B5EF4-FFF2-40B4-BE49-F238E27FC236}">
              <a16:creationId xmlns:a16="http://schemas.microsoft.com/office/drawing/2014/main" id="{00000000-0008-0000-1200-0000E40C0000}"/>
            </a:ext>
          </a:extLst>
        </xdr:cNvPr>
        <xdr:cNvCxnSpPr/>
      </xdr:nvCxnSpPr>
      <xdr:spPr>
        <a:xfrm>
          <a:off x="11313583"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1336</xdr:row>
      <xdr:rowOff>10584</xdr:rowOff>
    </xdr:from>
    <xdr:to>
      <xdr:col>15</xdr:col>
      <xdr:colOff>560916</xdr:colOff>
      <xdr:row>1340</xdr:row>
      <xdr:rowOff>52917</xdr:rowOff>
    </xdr:to>
    <xdr:cxnSp macro="">
      <xdr:nvCxnSpPr>
        <xdr:cNvPr id="3301" name="Straight Arrow Connector 3300">
          <a:extLst>
            <a:ext uri="{FF2B5EF4-FFF2-40B4-BE49-F238E27FC236}">
              <a16:creationId xmlns:a16="http://schemas.microsoft.com/office/drawing/2014/main" id="{00000000-0008-0000-1200-0000E50C0000}"/>
            </a:ext>
          </a:extLst>
        </xdr:cNvPr>
        <xdr:cNvCxnSpPr/>
      </xdr:nvCxnSpPr>
      <xdr:spPr>
        <a:xfrm>
          <a:off x="11292416"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302" name="Straight Arrow Connector 3301">
          <a:extLst>
            <a:ext uri="{FF2B5EF4-FFF2-40B4-BE49-F238E27FC236}">
              <a16:creationId xmlns:a16="http://schemas.microsoft.com/office/drawing/2014/main" id="{00000000-0008-0000-1200-0000E60C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1350</xdr:row>
      <xdr:rowOff>0</xdr:rowOff>
    </xdr:from>
    <xdr:to>
      <xdr:col>16</xdr:col>
      <xdr:colOff>0</xdr:colOff>
      <xdr:row>1350</xdr:row>
      <xdr:rowOff>42334</xdr:rowOff>
    </xdr:to>
    <xdr:cxnSp macro="">
      <xdr:nvCxnSpPr>
        <xdr:cNvPr id="3303" name="Straight Arrow Connector 3302">
          <a:extLst>
            <a:ext uri="{FF2B5EF4-FFF2-40B4-BE49-F238E27FC236}">
              <a16:creationId xmlns:a16="http://schemas.microsoft.com/office/drawing/2014/main" id="{00000000-0008-0000-1200-0000E70C0000}"/>
            </a:ext>
          </a:extLst>
        </xdr:cNvPr>
        <xdr:cNvCxnSpPr/>
      </xdr:nvCxnSpPr>
      <xdr:spPr>
        <a:xfrm>
          <a:off x="11302999" y="8591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1350</xdr:row>
      <xdr:rowOff>21166</xdr:rowOff>
    </xdr:from>
    <xdr:to>
      <xdr:col>15</xdr:col>
      <xdr:colOff>560916</xdr:colOff>
      <xdr:row>1353</xdr:row>
      <xdr:rowOff>84667</xdr:rowOff>
    </xdr:to>
    <xdr:cxnSp macro="">
      <xdr:nvCxnSpPr>
        <xdr:cNvPr id="3304" name="Straight Arrow Connector 3303">
          <a:extLst>
            <a:ext uri="{FF2B5EF4-FFF2-40B4-BE49-F238E27FC236}">
              <a16:creationId xmlns:a16="http://schemas.microsoft.com/office/drawing/2014/main" id="{00000000-0008-0000-1200-0000E80C0000}"/>
            </a:ext>
          </a:extLst>
        </xdr:cNvPr>
        <xdr:cNvCxnSpPr/>
      </xdr:nvCxnSpPr>
      <xdr:spPr>
        <a:xfrm>
          <a:off x="11355916"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1350</xdr:row>
      <xdr:rowOff>52916</xdr:rowOff>
    </xdr:from>
    <xdr:to>
      <xdr:col>15</xdr:col>
      <xdr:colOff>592666</xdr:colOff>
      <xdr:row>1356</xdr:row>
      <xdr:rowOff>63501</xdr:rowOff>
    </xdr:to>
    <xdr:cxnSp macro="">
      <xdr:nvCxnSpPr>
        <xdr:cNvPr id="3305" name="Straight Arrow Connector 3304">
          <a:extLst>
            <a:ext uri="{FF2B5EF4-FFF2-40B4-BE49-F238E27FC236}">
              <a16:creationId xmlns:a16="http://schemas.microsoft.com/office/drawing/2014/main" id="{00000000-0008-0000-1200-0000E90C0000}"/>
            </a:ext>
          </a:extLst>
        </xdr:cNvPr>
        <xdr:cNvCxnSpPr/>
      </xdr:nvCxnSpPr>
      <xdr:spPr>
        <a:xfrm>
          <a:off x="11313583"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1347</xdr:row>
      <xdr:rowOff>52917</xdr:rowOff>
    </xdr:from>
    <xdr:to>
      <xdr:col>15</xdr:col>
      <xdr:colOff>603250</xdr:colOff>
      <xdr:row>1349</xdr:row>
      <xdr:rowOff>148167</xdr:rowOff>
    </xdr:to>
    <xdr:cxnSp macro="">
      <xdr:nvCxnSpPr>
        <xdr:cNvPr id="3306" name="Straight Arrow Connector 3305">
          <a:extLst>
            <a:ext uri="{FF2B5EF4-FFF2-40B4-BE49-F238E27FC236}">
              <a16:creationId xmlns:a16="http://schemas.microsoft.com/office/drawing/2014/main" id="{00000000-0008-0000-1200-0000EA0C0000}"/>
            </a:ext>
          </a:extLst>
        </xdr:cNvPr>
        <xdr:cNvCxnSpPr/>
      </xdr:nvCxnSpPr>
      <xdr:spPr>
        <a:xfrm flipV="1">
          <a:off x="11324166"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1258</xdr:row>
      <xdr:rowOff>127000</xdr:rowOff>
    </xdr:from>
    <xdr:to>
      <xdr:col>8</xdr:col>
      <xdr:colOff>63500</xdr:colOff>
      <xdr:row>1277</xdr:row>
      <xdr:rowOff>0</xdr:rowOff>
    </xdr:to>
    <xdr:cxnSp macro="">
      <xdr:nvCxnSpPr>
        <xdr:cNvPr id="3307" name="Straight Arrow Connector 3306">
          <a:extLst>
            <a:ext uri="{FF2B5EF4-FFF2-40B4-BE49-F238E27FC236}">
              <a16:creationId xmlns:a16="http://schemas.microsoft.com/office/drawing/2014/main" id="{00000000-0008-0000-1200-0000EB0C0000}"/>
            </a:ext>
          </a:extLst>
        </xdr:cNvPr>
        <xdr:cNvCxnSpPr/>
      </xdr:nvCxnSpPr>
      <xdr:spPr>
        <a:xfrm flipV="1">
          <a:off x="5492750" y="681355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3308" name="Straight Arrow Connector 3307">
          <a:extLst>
            <a:ext uri="{FF2B5EF4-FFF2-40B4-BE49-F238E27FC236}">
              <a16:creationId xmlns:a16="http://schemas.microsoft.com/office/drawing/2014/main" id="{00000000-0008-0000-1200-0000EC0C0000}"/>
            </a:ext>
          </a:extLst>
        </xdr:cNvPr>
        <xdr:cNvCxnSpPr/>
      </xdr:nvCxnSpPr>
      <xdr:spPr>
        <a:xfrm flipV="1">
          <a:off x="603250" y="88402584"/>
          <a:ext cx="613833"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3309" name="Straight Arrow Connector 3308">
          <a:extLst>
            <a:ext uri="{FF2B5EF4-FFF2-40B4-BE49-F238E27FC236}">
              <a16:creationId xmlns:a16="http://schemas.microsoft.com/office/drawing/2014/main" id="{00000000-0008-0000-1200-0000ED0C0000}"/>
            </a:ext>
          </a:extLst>
        </xdr:cNvPr>
        <xdr:cNvCxnSpPr/>
      </xdr:nvCxnSpPr>
      <xdr:spPr>
        <a:xfrm>
          <a:off x="603250" y="107230333"/>
          <a:ext cx="613833"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3310" name="Straight Arrow Connector 3309">
          <a:extLst>
            <a:ext uri="{FF2B5EF4-FFF2-40B4-BE49-F238E27FC236}">
              <a16:creationId xmlns:a16="http://schemas.microsoft.com/office/drawing/2014/main" id="{00000000-0008-0000-1200-0000EE0C0000}"/>
            </a:ext>
          </a:extLst>
        </xdr:cNvPr>
        <xdr:cNvCxnSpPr/>
      </xdr:nvCxnSpPr>
      <xdr:spPr>
        <a:xfrm flipV="1">
          <a:off x="2381251" y="1024572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3311" name="Straight Arrow Connector 3310">
          <a:extLst>
            <a:ext uri="{FF2B5EF4-FFF2-40B4-BE49-F238E27FC236}">
              <a16:creationId xmlns:a16="http://schemas.microsoft.com/office/drawing/2014/main" id="{00000000-0008-0000-1200-0000EF0C0000}"/>
            </a:ext>
          </a:extLst>
        </xdr:cNvPr>
        <xdr:cNvCxnSpPr/>
      </xdr:nvCxnSpPr>
      <xdr:spPr>
        <a:xfrm>
          <a:off x="2391834" y="115834583"/>
          <a:ext cx="656166"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3312" name="Straight Arrow Connector 3311">
          <a:extLst>
            <a:ext uri="{FF2B5EF4-FFF2-40B4-BE49-F238E27FC236}">
              <a16:creationId xmlns:a16="http://schemas.microsoft.com/office/drawing/2014/main" id="{00000000-0008-0000-1200-0000F00C0000}"/>
            </a:ext>
          </a:extLst>
        </xdr:cNvPr>
        <xdr:cNvCxnSpPr/>
      </xdr:nvCxnSpPr>
      <xdr:spPr>
        <a:xfrm flipV="1">
          <a:off x="3810000" y="952500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3313" name="Straight Arrow Connector 3312">
          <a:extLst>
            <a:ext uri="{FF2B5EF4-FFF2-40B4-BE49-F238E27FC236}">
              <a16:creationId xmlns:a16="http://schemas.microsoft.com/office/drawing/2014/main" id="{00000000-0008-0000-1200-0000F10C0000}"/>
            </a:ext>
          </a:extLst>
        </xdr:cNvPr>
        <xdr:cNvCxnSpPr/>
      </xdr:nvCxnSpPr>
      <xdr:spPr>
        <a:xfrm>
          <a:off x="3894667" y="102467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3314" name="Straight Arrow Connector 3313">
          <a:extLst>
            <a:ext uri="{FF2B5EF4-FFF2-40B4-BE49-F238E27FC236}">
              <a16:creationId xmlns:a16="http://schemas.microsoft.com/office/drawing/2014/main" id="{00000000-0008-0000-1200-0000F20C0000}"/>
            </a:ext>
          </a:extLst>
        </xdr:cNvPr>
        <xdr:cNvCxnSpPr/>
      </xdr:nvCxnSpPr>
      <xdr:spPr>
        <a:xfrm flipV="1">
          <a:off x="5461000" y="90445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3315" name="Straight Arrow Connector 3314">
          <a:extLst>
            <a:ext uri="{FF2B5EF4-FFF2-40B4-BE49-F238E27FC236}">
              <a16:creationId xmlns:a16="http://schemas.microsoft.com/office/drawing/2014/main" id="{00000000-0008-0000-1200-0000F30C0000}"/>
            </a:ext>
          </a:extLst>
        </xdr:cNvPr>
        <xdr:cNvCxnSpPr/>
      </xdr:nvCxnSpPr>
      <xdr:spPr>
        <a:xfrm>
          <a:off x="5461000" y="952605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3316" name="Straight Arrow Connector 3315">
          <a:extLst>
            <a:ext uri="{FF2B5EF4-FFF2-40B4-BE49-F238E27FC236}">
              <a16:creationId xmlns:a16="http://schemas.microsoft.com/office/drawing/2014/main" id="{00000000-0008-0000-1200-0000F40C0000}"/>
            </a:ext>
          </a:extLst>
        </xdr:cNvPr>
        <xdr:cNvCxnSpPr/>
      </xdr:nvCxnSpPr>
      <xdr:spPr>
        <a:xfrm flipV="1">
          <a:off x="6688667" y="88910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3317" name="Straight Arrow Connector 3316">
          <a:extLst>
            <a:ext uri="{FF2B5EF4-FFF2-40B4-BE49-F238E27FC236}">
              <a16:creationId xmlns:a16="http://schemas.microsoft.com/office/drawing/2014/main" id="{00000000-0008-0000-1200-0000F50C0000}"/>
            </a:ext>
          </a:extLst>
        </xdr:cNvPr>
        <xdr:cNvCxnSpPr/>
      </xdr:nvCxnSpPr>
      <xdr:spPr>
        <a:xfrm>
          <a:off x="6720417" y="90487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3318" name="Straight Arrow Connector 3317">
          <a:extLst>
            <a:ext uri="{FF2B5EF4-FFF2-40B4-BE49-F238E27FC236}">
              <a16:creationId xmlns:a16="http://schemas.microsoft.com/office/drawing/2014/main" id="{00000000-0008-0000-1200-0000F60C0000}"/>
            </a:ext>
          </a:extLst>
        </xdr:cNvPr>
        <xdr:cNvCxnSpPr/>
      </xdr:nvCxnSpPr>
      <xdr:spPr>
        <a:xfrm flipV="1">
          <a:off x="7937500" y="91609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3319" name="Straight Arrow Connector 3318">
          <a:extLst>
            <a:ext uri="{FF2B5EF4-FFF2-40B4-BE49-F238E27FC236}">
              <a16:creationId xmlns:a16="http://schemas.microsoft.com/office/drawing/2014/main" id="{00000000-0008-0000-1200-0000F70C0000}"/>
            </a:ext>
          </a:extLst>
        </xdr:cNvPr>
        <xdr:cNvCxnSpPr/>
      </xdr:nvCxnSpPr>
      <xdr:spPr>
        <a:xfrm>
          <a:off x="7926917" y="9262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3320" name="Straight Arrow Connector 3319">
          <a:extLst>
            <a:ext uri="{FF2B5EF4-FFF2-40B4-BE49-F238E27FC236}">
              <a16:creationId xmlns:a16="http://schemas.microsoft.com/office/drawing/2014/main" id="{00000000-0008-0000-1200-0000F80C0000}"/>
            </a:ext>
          </a:extLst>
        </xdr:cNvPr>
        <xdr:cNvCxnSpPr/>
      </xdr:nvCxnSpPr>
      <xdr:spPr>
        <a:xfrm flipV="1">
          <a:off x="9133417" y="9069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3321" name="Straight Arrow Connector 3320">
          <a:extLst>
            <a:ext uri="{FF2B5EF4-FFF2-40B4-BE49-F238E27FC236}">
              <a16:creationId xmlns:a16="http://schemas.microsoft.com/office/drawing/2014/main" id="{00000000-0008-0000-1200-0000F90C0000}"/>
            </a:ext>
          </a:extLst>
        </xdr:cNvPr>
        <xdr:cNvCxnSpPr/>
      </xdr:nvCxnSpPr>
      <xdr:spPr>
        <a:xfrm>
          <a:off x="9122833" y="9165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3322" name="Straight Arrow Connector 3321">
          <a:extLst>
            <a:ext uri="{FF2B5EF4-FFF2-40B4-BE49-F238E27FC236}">
              <a16:creationId xmlns:a16="http://schemas.microsoft.com/office/drawing/2014/main" id="{00000000-0008-0000-1200-0000FA0C0000}"/>
            </a:ext>
          </a:extLst>
        </xdr:cNvPr>
        <xdr:cNvCxnSpPr/>
      </xdr:nvCxnSpPr>
      <xdr:spPr>
        <a:xfrm flipV="1">
          <a:off x="9525000" y="9469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3323" name="Straight Arrow Connector 3322">
          <a:extLst>
            <a:ext uri="{FF2B5EF4-FFF2-40B4-BE49-F238E27FC236}">
              <a16:creationId xmlns:a16="http://schemas.microsoft.com/office/drawing/2014/main" id="{00000000-0008-0000-1200-0000FB0C0000}"/>
            </a:ext>
          </a:extLst>
        </xdr:cNvPr>
        <xdr:cNvCxnSpPr/>
      </xdr:nvCxnSpPr>
      <xdr:spPr>
        <a:xfrm>
          <a:off x="9535583" y="9563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1368</xdr:row>
      <xdr:rowOff>0</xdr:rowOff>
    </xdr:from>
    <xdr:to>
      <xdr:col>15</xdr:col>
      <xdr:colOff>603250</xdr:colOff>
      <xdr:row>1373</xdr:row>
      <xdr:rowOff>31750</xdr:rowOff>
    </xdr:to>
    <xdr:cxnSp macro="">
      <xdr:nvCxnSpPr>
        <xdr:cNvPr id="3324" name="Straight Arrow Connector 3323">
          <a:extLst>
            <a:ext uri="{FF2B5EF4-FFF2-40B4-BE49-F238E27FC236}">
              <a16:creationId xmlns:a16="http://schemas.microsoft.com/office/drawing/2014/main" id="{00000000-0008-0000-1200-0000FC0C0000}"/>
            </a:ext>
          </a:extLst>
        </xdr:cNvPr>
        <xdr:cNvCxnSpPr/>
      </xdr:nvCxnSpPr>
      <xdr:spPr>
        <a:xfrm flipV="1">
          <a:off x="11281833" y="89154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3325" name="Straight Arrow Connector 3324">
          <a:extLst>
            <a:ext uri="{FF2B5EF4-FFF2-40B4-BE49-F238E27FC236}">
              <a16:creationId xmlns:a16="http://schemas.microsoft.com/office/drawing/2014/main" id="{00000000-0008-0000-1200-0000FD0C0000}"/>
            </a:ext>
          </a:extLst>
        </xdr:cNvPr>
        <xdr:cNvCxnSpPr/>
      </xdr:nvCxnSpPr>
      <xdr:spPr>
        <a:xfrm flipV="1">
          <a:off x="11324166" y="89778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3326" name="Straight Arrow Connector 3325">
          <a:extLst>
            <a:ext uri="{FF2B5EF4-FFF2-40B4-BE49-F238E27FC236}">
              <a16:creationId xmlns:a16="http://schemas.microsoft.com/office/drawing/2014/main" id="{00000000-0008-0000-1200-0000FE0C0000}"/>
            </a:ext>
          </a:extLst>
        </xdr:cNvPr>
        <xdr:cNvCxnSpPr/>
      </xdr:nvCxnSpPr>
      <xdr:spPr>
        <a:xfrm>
          <a:off x="11345333" y="90265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3327" name="Straight Arrow Connector 3326">
          <a:extLst>
            <a:ext uri="{FF2B5EF4-FFF2-40B4-BE49-F238E27FC236}">
              <a16:creationId xmlns:a16="http://schemas.microsoft.com/office/drawing/2014/main" id="{00000000-0008-0000-1200-0000FF0C0000}"/>
            </a:ext>
          </a:extLst>
        </xdr:cNvPr>
        <xdr:cNvCxnSpPr/>
      </xdr:nvCxnSpPr>
      <xdr:spPr>
        <a:xfrm>
          <a:off x="11260667" y="90212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1381</xdr:row>
      <xdr:rowOff>52916</xdr:rowOff>
    </xdr:from>
    <xdr:to>
      <xdr:col>16</xdr:col>
      <xdr:colOff>0</xdr:colOff>
      <xdr:row>1383</xdr:row>
      <xdr:rowOff>0</xdr:rowOff>
    </xdr:to>
    <xdr:cxnSp macro="">
      <xdr:nvCxnSpPr>
        <xdr:cNvPr id="3328" name="Straight Arrow Connector 3327">
          <a:extLst>
            <a:ext uri="{FF2B5EF4-FFF2-40B4-BE49-F238E27FC236}">
              <a16:creationId xmlns:a16="http://schemas.microsoft.com/office/drawing/2014/main" id="{00000000-0008-0000-1200-0000000D0000}"/>
            </a:ext>
          </a:extLst>
        </xdr:cNvPr>
        <xdr:cNvCxnSpPr/>
      </xdr:nvCxnSpPr>
      <xdr:spPr>
        <a:xfrm flipV="1">
          <a:off x="11281833" y="9168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3329" name="Straight Arrow Connector 3328">
          <a:extLst>
            <a:ext uri="{FF2B5EF4-FFF2-40B4-BE49-F238E27FC236}">
              <a16:creationId xmlns:a16="http://schemas.microsoft.com/office/drawing/2014/main" id="{00000000-0008-0000-1200-0000010D0000}"/>
            </a:ext>
          </a:extLst>
        </xdr:cNvPr>
        <xdr:cNvCxnSpPr/>
      </xdr:nvCxnSpPr>
      <xdr:spPr>
        <a:xfrm>
          <a:off x="11292416" y="92032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3330" name="Straight Arrow Connector 3329">
          <a:extLst>
            <a:ext uri="{FF2B5EF4-FFF2-40B4-BE49-F238E27FC236}">
              <a16:creationId xmlns:a16="http://schemas.microsoft.com/office/drawing/2014/main" id="{00000000-0008-0000-1200-0000020D0000}"/>
            </a:ext>
          </a:extLst>
        </xdr:cNvPr>
        <xdr:cNvCxnSpPr/>
      </xdr:nvCxnSpPr>
      <xdr:spPr>
        <a:xfrm>
          <a:off x="11271250" y="92032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1383</xdr:row>
      <xdr:rowOff>31750</xdr:rowOff>
    </xdr:from>
    <xdr:to>
      <xdr:col>16</xdr:col>
      <xdr:colOff>42334</xdr:colOff>
      <xdr:row>1390</xdr:row>
      <xdr:rowOff>63501</xdr:rowOff>
    </xdr:to>
    <xdr:cxnSp macro="">
      <xdr:nvCxnSpPr>
        <xdr:cNvPr id="3331" name="Straight Arrow Connector 3330">
          <a:extLst>
            <a:ext uri="{FF2B5EF4-FFF2-40B4-BE49-F238E27FC236}">
              <a16:creationId xmlns:a16="http://schemas.microsoft.com/office/drawing/2014/main" id="{00000000-0008-0000-1200-0000030D0000}"/>
            </a:ext>
          </a:extLst>
        </xdr:cNvPr>
        <xdr:cNvCxnSpPr/>
      </xdr:nvCxnSpPr>
      <xdr:spPr>
        <a:xfrm>
          <a:off x="11281833" y="9204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3332" name="Straight Arrow Connector 3331">
          <a:extLst>
            <a:ext uri="{FF2B5EF4-FFF2-40B4-BE49-F238E27FC236}">
              <a16:creationId xmlns:a16="http://schemas.microsoft.com/office/drawing/2014/main" id="{00000000-0008-0000-1200-0000040D0000}"/>
            </a:ext>
          </a:extLst>
        </xdr:cNvPr>
        <xdr:cNvCxnSpPr/>
      </xdr:nvCxnSpPr>
      <xdr:spPr>
        <a:xfrm flipV="1">
          <a:off x="6699250" y="99292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3333" name="Straight Arrow Connector 3332">
          <a:extLst>
            <a:ext uri="{FF2B5EF4-FFF2-40B4-BE49-F238E27FC236}">
              <a16:creationId xmlns:a16="http://schemas.microsoft.com/office/drawing/2014/main" id="{00000000-0008-0000-1200-0000050D0000}"/>
            </a:ext>
          </a:extLst>
        </xdr:cNvPr>
        <xdr:cNvCxnSpPr/>
      </xdr:nvCxnSpPr>
      <xdr:spPr>
        <a:xfrm>
          <a:off x="6720417" y="101324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3334" name="Straight Arrow Connector 3333">
          <a:extLst>
            <a:ext uri="{FF2B5EF4-FFF2-40B4-BE49-F238E27FC236}">
              <a16:creationId xmlns:a16="http://schemas.microsoft.com/office/drawing/2014/main" id="{00000000-0008-0000-1200-0000060D0000}"/>
            </a:ext>
          </a:extLst>
        </xdr:cNvPr>
        <xdr:cNvCxnSpPr/>
      </xdr:nvCxnSpPr>
      <xdr:spPr>
        <a:xfrm flipV="1">
          <a:off x="7874000" y="102457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3335" name="Straight Arrow Connector 3334">
          <a:extLst>
            <a:ext uri="{FF2B5EF4-FFF2-40B4-BE49-F238E27FC236}">
              <a16:creationId xmlns:a16="http://schemas.microsoft.com/office/drawing/2014/main" id="{00000000-0008-0000-1200-0000070D0000}"/>
            </a:ext>
          </a:extLst>
        </xdr:cNvPr>
        <xdr:cNvCxnSpPr/>
      </xdr:nvCxnSpPr>
      <xdr:spPr>
        <a:xfrm flipV="1">
          <a:off x="11271250" y="9429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3336" name="Straight Arrow Connector 3335">
          <a:extLst>
            <a:ext uri="{FF2B5EF4-FFF2-40B4-BE49-F238E27FC236}">
              <a16:creationId xmlns:a16="http://schemas.microsoft.com/office/drawing/2014/main" id="{00000000-0008-0000-1200-0000080D0000}"/>
            </a:ext>
          </a:extLst>
        </xdr:cNvPr>
        <xdr:cNvCxnSpPr/>
      </xdr:nvCxnSpPr>
      <xdr:spPr>
        <a:xfrm>
          <a:off x="11313583" y="9468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3337" name="Straight Arrow Connector 3336">
          <a:extLst>
            <a:ext uri="{FF2B5EF4-FFF2-40B4-BE49-F238E27FC236}">
              <a16:creationId xmlns:a16="http://schemas.microsoft.com/office/drawing/2014/main" id="{00000000-0008-0000-1200-0000090D0000}"/>
            </a:ext>
          </a:extLst>
        </xdr:cNvPr>
        <xdr:cNvCxnSpPr/>
      </xdr:nvCxnSpPr>
      <xdr:spPr>
        <a:xfrm>
          <a:off x="11292416" y="9468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3338" name="Straight Arrow Connector 3337">
          <a:extLst>
            <a:ext uri="{FF2B5EF4-FFF2-40B4-BE49-F238E27FC236}">
              <a16:creationId xmlns:a16="http://schemas.microsoft.com/office/drawing/2014/main" id="{00000000-0008-0000-1200-00000A0D0000}"/>
            </a:ext>
          </a:extLst>
        </xdr:cNvPr>
        <xdr:cNvCxnSpPr/>
      </xdr:nvCxnSpPr>
      <xdr:spPr>
        <a:xfrm>
          <a:off x="11324166" y="9471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3339" name="Straight Arrow Connector 3338">
          <a:extLst>
            <a:ext uri="{FF2B5EF4-FFF2-40B4-BE49-F238E27FC236}">
              <a16:creationId xmlns:a16="http://schemas.microsoft.com/office/drawing/2014/main" id="{00000000-0008-0000-1200-00000B0D0000}"/>
            </a:ext>
          </a:extLst>
        </xdr:cNvPr>
        <xdr:cNvCxnSpPr/>
      </xdr:nvCxnSpPr>
      <xdr:spPr>
        <a:xfrm>
          <a:off x="11302999" y="9734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3340" name="Straight Arrow Connector 3339">
          <a:extLst>
            <a:ext uri="{FF2B5EF4-FFF2-40B4-BE49-F238E27FC236}">
              <a16:creationId xmlns:a16="http://schemas.microsoft.com/office/drawing/2014/main" id="{00000000-0008-0000-1200-00000C0D0000}"/>
            </a:ext>
          </a:extLst>
        </xdr:cNvPr>
        <xdr:cNvCxnSpPr/>
      </xdr:nvCxnSpPr>
      <xdr:spPr>
        <a:xfrm>
          <a:off x="11355916" y="9736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3341" name="Straight Arrow Connector 3340">
          <a:extLst>
            <a:ext uri="{FF2B5EF4-FFF2-40B4-BE49-F238E27FC236}">
              <a16:creationId xmlns:a16="http://schemas.microsoft.com/office/drawing/2014/main" id="{00000000-0008-0000-1200-00000D0D0000}"/>
            </a:ext>
          </a:extLst>
        </xdr:cNvPr>
        <xdr:cNvCxnSpPr/>
      </xdr:nvCxnSpPr>
      <xdr:spPr>
        <a:xfrm>
          <a:off x="11313583" y="9739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3342" name="Straight Arrow Connector 3341">
          <a:extLst>
            <a:ext uri="{FF2B5EF4-FFF2-40B4-BE49-F238E27FC236}">
              <a16:creationId xmlns:a16="http://schemas.microsoft.com/office/drawing/2014/main" id="{00000000-0008-0000-1200-00000E0D0000}"/>
            </a:ext>
          </a:extLst>
        </xdr:cNvPr>
        <xdr:cNvCxnSpPr/>
      </xdr:nvCxnSpPr>
      <xdr:spPr>
        <a:xfrm flipV="1">
          <a:off x="11302999" y="100128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3343" name="Straight Arrow Connector 3342">
          <a:extLst>
            <a:ext uri="{FF2B5EF4-FFF2-40B4-BE49-F238E27FC236}">
              <a16:creationId xmlns:a16="http://schemas.microsoft.com/office/drawing/2014/main" id="{00000000-0008-0000-1200-00000F0D0000}"/>
            </a:ext>
          </a:extLst>
        </xdr:cNvPr>
        <xdr:cNvCxnSpPr/>
      </xdr:nvCxnSpPr>
      <xdr:spPr>
        <a:xfrm flipV="1">
          <a:off x="11345333" y="100488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3344" name="Straight Arrow Connector 3343">
          <a:extLst>
            <a:ext uri="{FF2B5EF4-FFF2-40B4-BE49-F238E27FC236}">
              <a16:creationId xmlns:a16="http://schemas.microsoft.com/office/drawing/2014/main" id="{00000000-0008-0000-1200-0000100D0000}"/>
            </a:ext>
          </a:extLst>
        </xdr:cNvPr>
        <xdr:cNvCxnSpPr/>
      </xdr:nvCxnSpPr>
      <xdr:spPr>
        <a:xfrm>
          <a:off x="11334749" y="100890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3345" name="Straight Arrow Connector 3344">
          <a:extLst>
            <a:ext uri="{FF2B5EF4-FFF2-40B4-BE49-F238E27FC236}">
              <a16:creationId xmlns:a16="http://schemas.microsoft.com/office/drawing/2014/main" id="{00000000-0008-0000-1200-0000110D0000}"/>
            </a:ext>
          </a:extLst>
        </xdr:cNvPr>
        <xdr:cNvCxnSpPr/>
      </xdr:nvCxnSpPr>
      <xdr:spPr>
        <a:xfrm>
          <a:off x="11313583" y="102986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3346" name="Straight Arrow Connector 3345">
          <a:extLst>
            <a:ext uri="{FF2B5EF4-FFF2-40B4-BE49-F238E27FC236}">
              <a16:creationId xmlns:a16="http://schemas.microsoft.com/office/drawing/2014/main" id="{00000000-0008-0000-1200-0000120D0000}"/>
            </a:ext>
          </a:extLst>
        </xdr:cNvPr>
        <xdr:cNvCxnSpPr/>
      </xdr:nvCxnSpPr>
      <xdr:spPr>
        <a:xfrm flipV="1">
          <a:off x="11324166" y="9682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3347" name="Straight Arrow Connector 3346">
          <a:extLst>
            <a:ext uri="{FF2B5EF4-FFF2-40B4-BE49-F238E27FC236}">
              <a16:creationId xmlns:a16="http://schemas.microsoft.com/office/drawing/2014/main" id="{00000000-0008-0000-1200-0000130D0000}"/>
            </a:ext>
          </a:extLst>
        </xdr:cNvPr>
        <xdr:cNvCxnSpPr/>
      </xdr:nvCxnSpPr>
      <xdr:spPr>
        <a:xfrm>
          <a:off x="7926917" y="103483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3348" name="Straight Arrow Connector 3347">
          <a:extLst>
            <a:ext uri="{FF2B5EF4-FFF2-40B4-BE49-F238E27FC236}">
              <a16:creationId xmlns:a16="http://schemas.microsoft.com/office/drawing/2014/main" id="{00000000-0008-0000-1200-0000140D0000}"/>
            </a:ext>
          </a:extLst>
        </xdr:cNvPr>
        <xdr:cNvCxnSpPr/>
      </xdr:nvCxnSpPr>
      <xdr:spPr>
        <a:xfrm flipV="1">
          <a:off x="9133417" y="101557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3349" name="Straight Arrow Connector 3348">
          <a:extLst>
            <a:ext uri="{FF2B5EF4-FFF2-40B4-BE49-F238E27FC236}">
              <a16:creationId xmlns:a16="http://schemas.microsoft.com/office/drawing/2014/main" id="{00000000-0008-0000-1200-0000150D0000}"/>
            </a:ext>
          </a:extLst>
        </xdr:cNvPr>
        <xdr:cNvCxnSpPr/>
      </xdr:nvCxnSpPr>
      <xdr:spPr>
        <a:xfrm>
          <a:off x="9122833" y="102510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3350" name="Straight Arrow Connector 3349">
          <a:extLst>
            <a:ext uri="{FF2B5EF4-FFF2-40B4-BE49-F238E27FC236}">
              <a16:creationId xmlns:a16="http://schemas.microsoft.com/office/drawing/2014/main" id="{00000000-0008-0000-1200-0000160D0000}"/>
            </a:ext>
          </a:extLst>
        </xdr:cNvPr>
        <xdr:cNvCxnSpPr/>
      </xdr:nvCxnSpPr>
      <xdr:spPr>
        <a:xfrm flipV="1">
          <a:off x="9525000" y="105558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3351" name="Straight Arrow Connector 3350">
          <a:extLst>
            <a:ext uri="{FF2B5EF4-FFF2-40B4-BE49-F238E27FC236}">
              <a16:creationId xmlns:a16="http://schemas.microsoft.com/office/drawing/2014/main" id="{00000000-0008-0000-1200-0000170D0000}"/>
            </a:ext>
          </a:extLst>
        </xdr:cNvPr>
        <xdr:cNvCxnSpPr/>
      </xdr:nvCxnSpPr>
      <xdr:spPr>
        <a:xfrm>
          <a:off x="9535583" y="106489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3352" name="Straight Arrow Connector 3351">
          <a:extLst>
            <a:ext uri="{FF2B5EF4-FFF2-40B4-BE49-F238E27FC236}">
              <a16:creationId xmlns:a16="http://schemas.microsoft.com/office/drawing/2014/main" id="{00000000-0008-0000-1200-0000180D0000}"/>
            </a:ext>
          </a:extLst>
        </xdr:cNvPr>
        <xdr:cNvCxnSpPr/>
      </xdr:nvCxnSpPr>
      <xdr:spPr>
        <a:xfrm>
          <a:off x="11334749" y="100869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1437</xdr:row>
      <xdr:rowOff>52916</xdr:rowOff>
    </xdr:from>
    <xdr:to>
      <xdr:col>16</xdr:col>
      <xdr:colOff>0</xdr:colOff>
      <xdr:row>1439</xdr:row>
      <xdr:rowOff>0</xdr:rowOff>
    </xdr:to>
    <xdr:cxnSp macro="">
      <xdr:nvCxnSpPr>
        <xdr:cNvPr id="3353" name="Straight Arrow Connector 3352">
          <a:extLst>
            <a:ext uri="{FF2B5EF4-FFF2-40B4-BE49-F238E27FC236}">
              <a16:creationId xmlns:a16="http://schemas.microsoft.com/office/drawing/2014/main" id="{00000000-0008-0000-1200-0000190D0000}"/>
            </a:ext>
          </a:extLst>
        </xdr:cNvPr>
        <xdr:cNvCxnSpPr/>
      </xdr:nvCxnSpPr>
      <xdr:spPr>
        <a:xfrm flipV="1">
          <a:off x="11281833" y="102541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3354" name="Straight Arrow Connector 3353">
          <a:extLst>
            <a:ext uri="{FF2B5EF4-FFF2-40B4-BE49-F238E27FC236}">
              <a16:creationId xmlns:a16="http://schemas.microsoft.com/office/drawing/2014/main" id="{00000000-0008-0000-1200-00001A0D0000}"/>
            </a:ext>
          </a:extLst>
        </xdr:cNvPr>
        <xdr:cNvCxnSpPr/>
      </xdr:nvCxnSpPr>
      <xdr:spPr>
        <a:xfrm>
          <a:off x="11271250" y="102891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3355" name="Straight Arrow Connector 3354">
          <a:extLst>
            <a:ext uri="{FF2B5EF4-FFF2-40B4-BE49-F238E27FC236}">
              <a16:creationId xmlns:a16="http://schemas.microsoft.com/office/drawing/2014/main" id="{00000000-0008-0000-1200-00001B0D0000}"/>
            </a:ext>
          </a:extLst>
        </xdr:cNvPr>
        <xdr:cNvCxnSpPr/>
      </xdr:nvCxnSpPr>
      <xdr:spPr>
        <a:xfrm>
          <a:off x="11271250" y="102870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3356" name="Straight Arrow Connector 3355">
          <a:extLst>
            <a:ext uri="{FF2B5EF4-FFF2-40B4-BE49-F238E27FC236}">
              <a16:creationId xmlns:a16="http://schemas.microsoft.com/office/drawing/2014/main" id="{00000000-0008-0000-1200-00001C0D0000}"/>
            </a:ext>
          </a:extLst>
        </xdr:cNvPr>
        <xdr:cNvCxnSpPr/>
      </xdr:nvCxnSpPr>
      <xdr:spPr>
        <a:xfrm flipV="1">
          <a:off x="11271250" y="105156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3357" name="Straight Arrow Connector 3356">
          <a:extLst>
            <a:ext uri="{FF2B5EF4-FFF2-40B4-BE49-F238E27FC236}">
              <a16:creationId xmlns:a16="http://schemas.microsoft.com/office/drawing/2014/main" id="{00000000-0008-0000-1200-00001D0D0000}"/>
            </a:ext>
          </a:extLst>
        </xdr:cNvPr>
        <xdr:cNvCxnSpPr/>
      </xdr:nvCxnSpPr>
      <xdr:spPr>
        <a:xfrm>
          <a:off x="11313583" y="105547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3358" name="Straight Arrow Connector 3357">
          <a:extLst>
            <a:ext uri="{FF2B5EF4-FFF2-40B4-BE49-F238E27FC236}">
              <a16:creationId xmlns:a16="http://schemas.microsoft.com/office/drawing/2014/main" id="{00000000-0008-0000-1200-00001E0D0000}"/>
            </a:ext>
          </a:extLst>
        </xdr:cNvPr>
        <xdr:cNvCxnSpPr/>
      </xdr:nvCxnSpPr>
      <xdr:spPr>
        <a:xfrm>
          <a:off x="11292416" y="105547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3359" name="Straight Arrow Connector 3358">
          <a:extLst>
            <a:ext uri="{FF2B5EF4-FFF2-40B4-BE49-F238E27FC236}">
              <a16:creationId xmlns:a16="http://schemas.microsoft.com/office/drawing/2014/main" id="{00000000-0008-0000-1200-00001F0D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3364" name="Straight Arrow Connector 3363">
          <a:extLst>
            <a:ext uri="{FF2B5EF4-FFF2-40B4-BE49-F238E27FC236}">
              <a16:creationId xmlns:a16="http://schemas.microsoft.com/office/drawing/2014/main" id="{00000000-0008-0000-1200-0000240D0000}"/>
            </a:ext>
          </a:extLst>
        </xdr:cNvPr>
        <xdr:cNvCxnSpPr/>
      </xdr:nvCxnSpPr>
      <xdr:spPr>
        <a:xfrm>
          <a:off x="5185833" y="1163002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3365" name="Straight Arrow Connector 3364">
          <a:extLst>
            <a:ext uri="{FF2B5EF4-FFF2-40B4-BE49-F238E27FC236}">
              <a16:creationId xmlns:a16="http://schemas.microsoft.com/office/drawing/2014/main" id="{00000000-0008-0000-1200-0000250D0000}"/>
            </a:ext>
          </a:extLst>
        </xdr:cNvPr>
        <xdr:cNvCxnSpPr/>
      </xdr:nvCxnSpPr>
      <xdr:spPr>
        <a:xfrm flipV="1">
          <a:off x="6688667" y="110627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3366" name="Straight Arrow Connector 3365">
          <a:extLst>
            <a:ext uri="{FF2B5EF4-FFF2-40B4-BE49-F238E27FC236}">
              <a16:creationId xmlns:a16="http://schemas.microsoft.com/office/drawing/2014/main" id="{00000000-0008-0000-1200-0000260D0000}"/>
            </a:ext>
          </a:extLst>
        </xdr:cNvPr>
        <xdr:cNvCxnSpPr/>
      </xdr:nvCxnSpPr>
      <xdr:spPr>
        <a:xfrm>
          <a:off x="6720417" y="112204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3367" name="Straight Arrow Connector 3366">
          <a:extLst>
            <a:ext uri="{FF2B5EF4-FFF2-40B4-BE49-F238E27FC236}">
              <a16:creationId xmlns:a16="http://schemas.microsoft.com/office/drawing/2014/main" id="{00000000-0008-0000-1200-0000270D0000}"/>
            </a:ext>
          </a:extLst>
        </xdr:cNvPr>
        <xdr:cNvCxnSpPr/>
      </xdr:nvCxnSpPr>
      <xdr:spPr>
        <a:xfrm flipV="1">
          <a:off x="7937500" y="113326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3368" name="Straight Arrow Connector 3367">
          <a:extLst>
            <a:ext uri="{FF2B5EF4-FFF2-40B4-BE49-F238E27FC236}">
              <a16:creationId xmlns:a16="http://schemas.microsoft.com/office/drawing/2014/main" id="{00000000-0008-0000-1200-0000280D0000}"/>
            </a:ext>
          </a:extLst>
        </xdr:cNvPr>
        <xdr:cNvCxnSpPr/>
      </xdr:nvCxnSpPr>
      <xdr:spPr>
        <a:xfrm>
          <a:off x="7926917" y="114342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3369" name="Straight Arrow Connector 3368">
          <a:extLst>
            <a:ext uri="{FF2B5EF4-FFF2-40B4-BE49-F238E27FC236}">
              <a16:creationId xmlns:a16="http://schemas.microsoft.com/office/drawing/2014/main" id="{00000000-0008-0000-1200-0000290D0000}"/>
            </a:ext>
          </a:extLst>
        </xdr:cNvPr>
        <xdr:cNvCxnSpPr/>
      </xdr:nvCxnSpPr>
      <xdr:spPr>
        <a:xfrm flipV="1">
          <a:off x="9133417" y="112416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3370" name="Straight Arrow Connector 3369">
          <a:extLst>
            <a:ext uri="{FF2B5EF4-FFF2-40B4-BE49-F238E27FC236}">
              <a16:creationId xmlns:a16="http://schemas.microsoft.com/office/drawing/2014/main" id="{00000000-0008-0000-1200-00002A0D0000}"/>
            </a:ext>
          </a:extLst>
        </xdr:cNvPr>
        <xdr:cNvCxnSpPr/>
      </xdr:nvCxnSpPr>
      <xdr:spPr>
        <a:xfrm>
          <a:off x="9122833" y="113368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3371" name="Straight Arrow Connector 3370">
          <a:extLst>
            <a:ext uri="{FF2B5EF4-FFF2-40B4-BE49-F238E27FC236}">
              <a16:creationId xmlns:a16="http://schemas.microsoft.com/office/drawing/2014/main" id="{00000000-0008-0000-1200-00002B0D0000}"/>
            </a:ext>
          </a:extLst>
        </xdr:cNvPr>
        <xdr:cNvCxnSpPr/>
      </xdr:nvCxnSpPr>
      <xdr:spPr>
        <a:xfrm flipV="1">
          <a:off x="9525000" y="116416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3372" name="Straight Arrow Connector 3371">
          <a:extLst>
            <a:ext uri="{FF2B5EF4-FFF2-40B4-BE49-F238E27FC236}">
              <a16:creationId xmlns:a16="http://schemas.microsoft.com/office/drawing/2014/main" id="{00000000-0008-0000-1200-00002C0D0000}"/>
            </a:ext>
          </a:extLst>
        </xdr:cNvPr>
        <xdr:cNvCxnSpPr/>
      </xdr:nvCxnSpPr>
      <xdr:spPr>
        <a:xfrm>
          <a:off x="9535583" y="117348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1480</xdr:row>
      <xdr:rowOff>0</xdr:rowOff>
    </xdr:from>
    <xdr:to>
      <xdr:col>15</xdr:col>
      <xdr:colOff>603250</xdr:colOff>
      <xdr:row>1485</xdr:row>
      <xdr:rowOff>31750</xdr:rowOff>
    </xdr:to>
    <xdr:cxnSp macro="">
      <xdr:nvCxnSpPr>
        <xdr:cNvPr id="3373" name="Straight Arrow Connector 3372">
          <a:extLst>
            <a:ext uri="{FF2B5EF4-FFF2-40B4-BE49-F238E27FC236}">
              <a16:creationId xmlns:a16="http://schemas.microsoft.com/office/drawing/2014/main" id="{00000000-0008-0000-1200-00002D0D0000}"/>
            </a:ext>
          </a:extLst>
        </xdr:cNvPr>
        <xdr:cNvCxnSpPr/>
      </xdr:nvCxnSpPr>
      <xdr:spPr>
        <a:xfrm flipV="1">
          <a:off x="11281833" y="110871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3374" name="Straight Arrow Connector 3373">
          <a:extLst>
            <a:ext uri="{FF2B5EF4-FFF2-40B4-BE49-F238E27FC236}">
              <a16:creationId xmlns:a16="http://schemas.microsoft.com/office/drawing/2014/main" id="{00000000-0008-0000-1200-00002E0D0000}"/>
            </a:ext>
          </a:extLst>
        </xdr:cNvPr>
        <xdr:cNvCxnSpPr/>
      </xdr:nvCxnSpPr>
      <xdr:spPr>
        <a:xfrm flipV="1">
          <a:off x="11324166" y="111495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3375" name="Straight Arrow Connector 3374">
          <a:extLst>
            <a:ext uri="{FF2B5EF4-FFF2-40B4-BE49-F238E27FC236}">
              <a16:creationId xmlns:a16="http://schemas.microsoft.com/office/drawing/2014/main" id="{00000000-0008-0000-1200-00002F0D0000}"/>
            </a:ext>
          </a:extLst>
        </xdr:cNvPr>
        <xdr:cNvCxnSpPr/>
      </xdr:nvCxnSpPr>
      <xdr:spPr>
        <a:xfrm>
          <a:off x="11345333" y="111982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3376" name="Straight Arrow Connector 3375">
          <a:extLst>
            <a:ext uri="{FF2B5EF4-FFF2-40B4-BE49-F238E27FC236}">
              <a16:creationId xmlns:a16="http://schemas.microsoft.com/office/drawing/2014/main" id="{00000000-0008-0000-1200-0000300D0000}"/>
            </a:ext>
          </a:extLst>
        </xdr:cNvPr>
        <xdr:cNvCxnSpPr/>
      </xdr:nvCxnSpPr>
      <xdr:spPr>
        <a:xfrm>
          <a:off x="11260667" y="111929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1493</xdr:row>
      <xdr:rowOff>52916</xdr:rowOff>
    </xdr:from>
    <xdr:to>
      <xdr:col>16</xdr:col>
      <xdr:colOff>0</xdr:colOff>
      <xdr:row>1495</xdr:row>
      <xdr:rowOff>0</xdr:rowOff>
    </xdr:to>
    <xdr:cxnSp macro="">
      <xdr:nvCxnSpPr>
        <xdr:cNvPr id="3377" name="Straight Arrow Connector 3376">
          <a:extLst>
            <a:ext uri="{FF2B5EF4-FFF2-40B4-BE49-F238E27FC236}">
              <a16:creationId xmlns:a16="http://schemas.microsoft.com/office/drawing/2014/main" id="{00000000-0008-0000-1200-0000310D0000}"/>
            </a:ext>
          </a:extLst>
        </xdr:cNvPr>
        <xdr:cNvCxnSpPr/>
      </xdr:nvCxnSpPr>
      <xdr:spPr>
        <a:xfrm flipV="1">
          <a:off x="11281833" y="113400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3378" name="Straight Arrow Connector 3377">
          <a:extLst>
            <a:ext uri="{FF2B5EF4-FFF2-40B4-BE49-F238E27FC236}">
              <a16:creationId xmlns:a16="http://schemas.microsoft.com/office/drawing/2014/main" id="{00000000-0008-0000-1200-0000320D0000}"/>
            </a:ext>
          </a:extLst>
        </xdr:cNvPr>
        <xdr:cNvCxnSpPr/>
      </xdr:nvCxnSpPr>
      <xdr:spPr>
        <a:xfrm>
          <a:off x="11292416" y="113749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3379" name="Straight Arrow Connector 3378">
          <a:extLst>
            <a:ext uri="{FF2B5EF4-FFF2-40B4-BE49-F238E27FC236}">
              <a16:creationId xmlns:a16="http://schemas.microsoft.com/office/drawing/2014/main" id="{00000000-0008-0000-1200-0000330D0000}"/>
            </a:ext>
          </a:extLst>
        </xdr:cNvPr>
        <xdr:cNvCxnSpPr/>
      </xdr:nvCxnSpPr>
      <xdr:spPr>
        <a:xfrm>
          <a:off x="11271250" y="113749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380" name="Straight Arrow Connector 3379">
          <a:extLst>
            <a:ext uri="{FF2B5EF4-FFF2-40B4-BE49-F238E27FC236}">
              <a16:creationId xmlns:a16="http://schemas.microsoft.com/office/drawing/2014/main" id="{00000000-0008-0000-1200-0000340D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3381" name="Straight Arrow Connector 3380">
          <a:extLst>
            <a:ext uri="{FF2B5EF4-FFF2-40B4-BE49-F238E27FC236}">
              <a16:creationId xmlns:a16="http://schemas.microsoft.com/office/drawing/2014/main" id="{00000000-0008-0000-1200-0000350D0000}"/>
            </a:ext>
          </a:extLst>
        </xdr:cNvPr>
        <xdr:cNvCxnSpPr/>
      </xdr:nvCxnSpPr>
      <xdr:spPr>
        <a:xfrm flipV="1">
          <a:off x="6699250" y="121009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3382" name="Straight Arrow Connector 3381">
          <a:extLst>
            <a:ext uri="{FF2B5EF4-FFF2-40B4-BE49-F238E27FC236}">
              <a16:creationId xmlns:a16="http://schemas.microsoft.com/office/drawing/2014/main" id="{00000000-0008-0000-1200-0000360D0000}"/>
            </a:ext>
          </a:extLst>
        </xdr:cNvPr>
        <xdr:cNvCxnSpPr/>
      </xdr:nvCxnSpPr>
      <xdr:spPr>
        <a:xfrm>
          <a:off x="6720417" y="123041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3383" name="Straight Arrow Connector 3382">
          <a:extLst>
            <a:ext uri="{FF2B5EF4-FFF2-40B4-BE49-F238E27FC236}">
              <a16:creationId xmlns:a16="http://schemas.microsoft.com/office/drawing/2014/main" id="{00000000-0008-0000-1200-0000370D0000}"/>
            </a:ext>
          </a:extLst>
        </xdr:cNvPr>
        <xdr:cNvCxnSpPr/>
      </xdr:nvCxnSpPr>
      <xdr:spPr>
        <a:xfrm flipV="1">
          <a:off x="7874000" y="124174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3384" name="Straight Arrow Connector 3383">
          <a:extLst>
            <a:ext uri="{FF2B5EF4-FFF2-40B4-BE49-F238E27FC236}">
              <a16:creationId xmlns:a16="http://schemas.microsoft.com/office/drawing/2014/main" id="{00000000-0008-0000-1200-0000380D0000}"/>
            </a:ext>
          </a:extLst>
        </xdr:cNvPr>
        <xdr:cNvCxnSpPr/>
      </xdr:nvCxnSpPr>
      <xdr:spPr>
        <a:xfrm flipV="1">
          <a:off x="11271250" y="116014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3385" name="Straight Arrow Connector 3384">
          <a:extLst>
            <a:ext uri="{FF2B5EF4-FFF2-40B4-BE49-F238E27FC236}">
              <a16:creationId xmlns:a16="http://schemas.microsoft.com/office/drawing/2014/main" id="{00000000-0008-0000-1200-0000390D0000}"/>
            </a:ext>
          </a:extLst>
        </xdr:cNvPr>
        <xdr:cNvCxnSpPr/>
      </xdr:nvCxnSpPr>
      <xdr:spPr>
        <a:xfrm>
          <a:off x="11313583" y="116406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3386" name="Straight Arrow Connector 3385">
          <a:extLst>
            <a:ext uri="{FF2B5EF4-FFF2-40B4-BE49-F238E27FC236}">
              <a16:creationId xmlns:a16="http://schemas.microsoft.com/office/drawing/2014/main" id="{00000000-0008-0000-1200-00003A0D0000}"/>
            </a:ext>
          </a:extLst>
        </xdr:cNvPr>
        <xdr:cNvCxnSpPr/>
      </xdr:nvCxnSpPr>
      <xdr:spPr>
        <a:xfrm>
          <a:off x="11292416" y="116406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387" name="Straight Arrow Connector 3386">
          <a:extLst>
            <a:ext uri="{FF2B5EF4-FFF2-40B4-BE49-F238E27FC236}">
              <a16:creationId xmlns:a16="http://schemas.microsoft.com/office/drawing/2014/main" id="{00000000-0008-0000-1200-00003B0D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3388" name="Straight Arrow Connector 3387">
          <a:extLst>
            <a:ext uri="{FF2B5EF4-FFF2-40B4-BE49-F238E27FC236}">
              <a16:creationId xmlns:a16="http://schemas.microsoft.com/office/drawing/2014/main" id="{00000000-0008-0000-1200-00003C0D0000}"/>
            </a:ext>
          </a:extLst>
        </xdr:cNvPr>
        <xdr:cNvCxnSpPr/>
      </xdr:nvCxnSpPr>
      <xdr:spPr>
        <a:xfrm>
          <a:off x="11302999" y="119062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3389" name="Straight Arrow Connector 3388">
          <a:extLst>
            <a:ext uri="{FF2B5EF4-FFF2-40B4-BE49-F238E27FC236}">
              <a16:creationId xmlns:a16="http://schemas.microsoft.com/office/drawing/2014/main" id="{00000000-0008-0000-1200-00003D0D0000}"/>
            </a:ext>
          </a:extLst>
        </xdr:cNvPr>
        <xdr:cNvCxnSpPr/>
      </xdr:nvCxnSpPr>
      <xdr:spPr>
        <a:xfrm>
          <a:off x="11355916" y="119083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3390" name="Straight Arrow Connector 3389">
          <a:extLst>
            <a:ext uri="{FF2B5EF4-FFF2-40B4-BE49-F238E27FC236}">
              <a16:creationId xmlns:a16="http://schemas.microsoft.com/office/drawing/2014/main" id="{00000000-0008-0000-1200-00003E0D0000}"/>
            </a:ext>
          </a:extLst>
        </xdr:cNvPr>
        <xdr:cNvCxnSpPr/>
      </xdr:nvCxnSpPr>
      <xdr:spPr>
        <a:xfrm>
          <a:off x="11313583" y="119115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3391" name="Straight Arrow Connector 3390">
          <a:extLst>
            <a:ext uri="{FF2B5EF4-FFF2-40B4-BE49-F238E27FC236}">
              <a16:creationId xmlns:a16="http://schemas.microsoft.com/office/drawing/2014/main" id="{00000000-0008-0000-1200-00003F0D0000}"/>
            </a:ext>
          </a:extLst>
        </xdr:cNvPr>
        <xdr:cNvCxnSpPr/>
      </xdr:nvCxnSpPr>
      <xdr:spPr>
        <a:xfrm flipV="1">
          <a:off x="11302999" y="121845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3392" name="Straight Arrow Connector 3391">
          <a:extLst>
            <a:ext uri="{FF2B5EF4-FFF2-40B4-BE49-F238E27FC236}">
              <a16:creationId xmlns:a16="http://schemas.microsoft.com/office/drawing/2014/main" id="{00000000-0008-0000-1200-0000400D0000}"/>
            </a:ext>
          </a:extLst>
        </xdr:cNvPr>
        <xdr:cNvCxnSpPr/>
      </xdr:nvCxnSpPr>
      <xdr:spPr>
        <a:xfrm flipV="1">
          <a:off x="11345333" y="122205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3393" name="Straight Arrow Connector 3392">
          <a:extLst>
            <a:ext uri="{FF2B5EF4-FFF2-40B4-BE49-F238E27FC236}">
              <a16:creationId xmlns:a16="http://schemas.microsoft.com/office/drawing/2014/main" id="{00000000-0008-0000-1200-0000410D0000}"/>
            </a:ext>
          </a:extLst>
        </xdr:cNvPr>
        <xdr:cNvCxnSpPr/>
      </xdr:nvCxnSpPr>
      <xdr:spPr>
        <a:xfrm>
          <a:off x="11334749" y="122607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3394" name="Straight Arrow Connector 3393">
          <a:extLst>
            <a:ext uri="{FF2B5EF4-FFF2-40B4-BE49-F238E27FC236}">
              <a16:creationId xmlns:a16="http://schemas.microsoft.com/office/drawing/2014/main" id="{00000000-0008-0000-1200-0000420D0000}"/>
            </a:ext>
          </a:extLst>
        </xdr:cNvPr>
        <xdr:cNvCxnSpPr/>
      </xdr:nvCxnSpPr>
      <xdr:spPr>
        <a:xfrm>
          <a:off x="11313583" y="124703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3395" name="Straight Arrow Connector 3394">
          <a:extLst>
            <a:ext uri="{FF2B5EF4-FFF2-40B4-BE49-F238E27FC236}">
              <a16:creationId xmlns:a16="http://schemas.microsoft.com/office/drawing/2014/main" id="{00000000-0008-0000-1200-0000430D0000}"/>
            </a:ext>
          </a:extLst>
        </xdr:cNvPr>
        <xdr:cNvCxnSpPr/>
      </xdr:nvCxnSpPr>
      <xdr:spPr>
        <a:xfrm flipV="1">
          <a:off x="11324166" y="118543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3396" name="Straight Arrow Connector 3395">
          <a:extLst>
            <a:ext uri="{FF2B5EF4-FFF2-40B4-BE49-F238E27FC236}">
              <a16:creationId xmlns:a16="http://schemas.microsoft.com/office/drawing/2014/main" id="{00000000-0008-0000-1200-0000440D0000}"/>
            </a:ext>
          </a:extLst>
        </xdr:cNvPr>
        <xdr:cNvCxnSpPr/>
      </xdr:nvCxnSpPr>
      <xdr:spPr>
        <a:xfrm>
          <a:off x="7926917" y="125200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3397" name="Straight Arrow Connector 3396">
          <a:extLst>
            <a:ext uri="{FF2B5EF4-FFF2-40B4-BE49-F238E27FC236}">
              <a16:creationId xmlns:a16="http://schemas.microsoft.com/office/drawing/2014/main" id="{00000000-0008-0000-1200-0000450D0000}"/>
            </a:ext>
          </a:extLst>
        </xdr:cNvPr>
        <xdr:cNvCxnSpPr/>
      </xdr:nvCxnSpPr>
      <xdr:spPr>
        <a:xfrm flipV="1">
          <a:off x="9133417" y="123274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3398" name="Straight Arrow Connector 3397">
          <a:extLst>
            <a:ext uri="{FF2B5EF4-FFF2-40B4-BE49-F238E27FC236}">
              <a16:creationId xmlns:a16="http://schemas.microsoft.com/office/drawing/2014/main" id="{00000000-0008-0000-1200-0000460D0000}"/>
            </a:ext>
          </a:extLst>
        </xdr:cNvPr>
        <xdr:cNvCxnSpPr/>
      </xdr:nvCxnSpPr>
      <xdr:spPr>
        <a:xfrm>
          <a:off x="9122833" y="124227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3399" name="Straight Arrow Connector 3398">
          <a:extLst>
            <a:ext uri="{FF2B5EF4-FFF2-40B4-BE49-F238E27FC236}">
              <a16:creationId xmlns:a16="http://schemas.microsoft.com/office/drawing/2014/main" id="{00000000-0008-0000-1200-0000470D0000}"/>
            </a:ext>
          </a:extLst>
        </xdr:cNvPr>
        <xdr:cNvCxnSpPr/>
      </xdr:nvCxnSpPr>
      <xdr:spPr>
        <a:xfrm flipV="1">
          <a:off x="9525000" y="127275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3400" name="Straight Arrow Connector 3399">
          <a:extLst>
            <a:ext uri="{FF2B5EF4-FFF2-40B4-BE49-F238E27FC236}">
              <a16:creationId xmlns:a16="http://schemas.microsoft.com/office/drawing/2014/main" id="{00000000-0008-0000-1200-0000480D0000}"/>
            </a:ext>
          </a:extLst>
        </xdr:cNvPr>
        <xdr:cNvCxnSpPr/>
      </xdr:nvCxnSpPr>
      <xdr:spPr>
        <a:xfrm>
          <a:off x="9535583" y="128206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3401" name="Straight Arrow Connector 3400">
          <a:extLst>
            <a:ext uri="{FF2B5EF4-FFF2-40B4-BE49-F238E27FC236}">
              <a16:creationId xmlns:a16="http://schemas.microsoft.com/office/drawing/2014/main" id="{00000000-0008-0000-1200-0000490D0000}"/>
            </a:ext>
          </a:extLst>
        </xdr:cNvPr>
        <xdr:cNvCxnSpPr/>
      </xdr:nvCxnSpPr>
      <xdr:spPr>
        <a:xfrm>
          <a:off x="11334749" y="122586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1549</xdr:row>
      <xdr:rowOff>52916</xdr:rowOff>
    </xdr:from>
    <xdr:to>
      <xdr:col>16</xdr:col>
      <xdr:colOff>0</xdr:colOff>
      <xdr:row>1551</xdr:row>
      <xdr:rowOff>0</xdr:rowOff>
    </xdr:to>
    <xdr:cxnSp macro="">
      <xdr:nvCxnSpPr>
        <xdr:cNvPr id="3402" name="Straight Arrow Connector 3401">
          <a:extLst>
            <a:ext uri="{FF2B5EF4-FFF2-40B4-BE49-F238E27FC236}">
              <a16:creationId xmlns:a16="http://schemas.microsoft.com/office/drawing/2014/main" id="{00000000-0008-0000-1200-00004A0D0000}"/>
            </a:ext>
          </a:extLst>
        </xdr:cNvPr>
        <xdr:cNvCxnSpPr/>
      </xdr:nvCxnSpPr>
      <xdr:spPr>
        <a:xfrm flipV="1">
          <a:off x="11281833" y="124258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3403" name="Straight Arrow Connector 3402">
          <a:extLst>
            <a:ext uri="{FF2B5EF4-FFF2-40B4-BE49-F238E27FC236}">
              <a16:creationId xmlns:a16="http://schemas.microsoft.com/office/drawing/2014/main" id="{00000000-0008-0000-1200-00004B0D0000}"/>
            </a:ext>
          </a:extLst>
        </xdr:cNvPr>
        <xdr:cNvCxnSpPr/>
      </xdr:nvCxnSpPr>
      <xdr:spPr>
        <a:xfrm>
          <a:off x="11271250" y="124608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3404" name="Straight Arrow Connector 3403">
          <a:extLst>
            <a:ext uri="{FF2B5EF4-FFF2-40B4-BE49-F238E27FC236}">
              <a16:creationId xmlns:a16="http://schemas.microsoft.com/office/drawing/2014/main" id="{00000000-0008-0000-1200-00004C0D0000}"/>
            </a:ext>
          </a:extLst>
        </xdr:cNvPr>
        <xdr:cNvCxnSpPr/>
      </xdr:nvCxnSpPr>
      <xdr:spPr>
        <a:xfrm>
          <a:off x="11271250" y="124587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3405" name="Straight Arrow Connector 3404">
          <a:extLst>
            <a:ext uri="{FF2B5EF4-FFF2-40B4-BE49-F238E27FC236}">
              <a16:creationId xmlns:a16="http://schemas.microsoft.com/office/drawing/2014/main" id="{00000000-0008-0000-1200-00004D0D0000}"/>
            </a:ext>
          </a:extLst>
        </xdr:cNvPr>
        <xdr:cNvCxnSpPr/>
      </xdr:nvCxnSpPr>
      <xdr:spPr>
        <a:xfrm flipV="1">
          <a:off x="11271250" y="126873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3406" name="Straight Arrow Connector 3405">
          <a:extLst>
            <a:ext uri="{FF2B5EF4-FFF2-40B4-BE49-F238E27FC236}">
              <a16:creationId xmlns:a16="http://schemas.microsoft.com/office/drawing/2014/main" id="{00000000-0008-0000-1200-00004E0D0000}"/>
            </a:ext>
          </a:extLst>
        </xdr:cNvPr>
        <xdr:cNvCxnSpPr/>
      </xdr:nvCxnSpPr>
      <xdr:spPr>
        <a:xfrm>
          <a:off x="11313583" y="127264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3407" name="Straight Arrow Connector 3406">
          <a:extLst>
            <a:ext uri="{FF2B5EF4-FFF2-40B4-BE49-F238E27FC236}">
              <a16:creationId xmlns:a16="http://schemas.microsoft.com/office/drawing/2014/main" id="{00000000-0008-0000-1200-00004F0D0000}"/>
            </a:ext>
          </a:extLst>
        </xdr:cNvPr>
        <xdr:cNvCxnSpPr/>
      </xdr:nvCxnSpPr>
      <xdr:spPr>
        <a:xfrm>
          <a:off x="11292416" y="127264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408" name="Straight Arrow Connector 3407">
          <a:extLst>
            <a:ext uri="{FF2B5EF4-FFF2-40B4-BE49-F238E27FC236}">
              <a16:creationId xmlns:a16="http://schemas.microsoft.com/office/drawing/2014/main" id="{00000000-0008-0000-1200-0000500D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3409" name="Straight Arrow Connector 3408">
          <a:extLst>
            <a:ext uri="{FF2B5EF4-FFF2-40B4-BE49-F238E27FC236}">
              <a16:creationId xmlns:a16="http://schemas.microsoft.com/office/drawing/2014/main" id="{00000000-0008-0000-1200-0000510D0000}"/>
            </a:ext>
          </a:extLst>
        </xdr:cNvPr>
        <xdr:cNvCxnSpPr/>
      </xdr:nvCxnSpPr>
      <xdr:spPr>
        <a:xfrm>
          <a:off x="11302999" y="129921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3410" name="Straight Arrow Connector 3409">
          <a:extLst>
            <a:ext uri="{FF2B5EF4-FFF2-40B4-BE49-F238E27FC236}">
              <a16:creationId xmlns:a16="http://schemas.microsoft.com/office/drawing/2014/main" id="{00000000-0008-0000-1200-0000520D0000}"/>
            </a:ext>
          </a:extLst>
        </xdr:cNvPr>
        <xdr:cNvCxnSpPr/>
      </xdr:nvCxnSpPr>
      <xdr:spPr>
        <a:xfrm>
          <a:off x="11355916" y="129942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3411" name="Straight Arrow Connector 3410">
          <a:extLst>
            <a:ext uri="{FF2B5EF4-FFF2-40B4-BE49-F238E27FC236}">
              <a16:creationId xmlns:a16="http://schemas.microsoft.com/office/drawing/2014/main" id="{00000000-0008-0000-1200-0000530D0000}"/>
            </a:ext>
          </a:extLst>
        </xdr:cNvPr>
        <xdr:cNvCxnSpPr/>
      </xdr:nvCxnSpPr>
      <xdr:spPr>
        <a:xfrm>
          <a:off x="11313583" y="129973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3412" name="Straight Arrow Connector 3411">
          <a:extLst>
            <a:ext uri="{FF2B5EF4-FFF2-40B4-BE49-F238E27FC236}">
              <a16:creationId xmlns:a16="http://schemas.microsoft.com/office/drawing/2014/main" id="{00000000-0008-0000-1200-0000540D0000}"/>
            </a:ext>
          </a:extLst>
        </xdr:cNvPr>
        <xdr:cNvCxnSpPr/>
      </xdr:nvCxnSpPr>
      <xdr:spPr>
        <a:xfrm flipV="1">
          <a:off x="11324166" y="129402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3413" name="Straight Arrow Connector 3412">
          <a:extLst>
            <a:ext uri="{FF2B5EF4-FFF2-40B4-BE49-F238E27FC236}">
              <a16:creationId xmlns:a16="http://schemas.microsoft.com/office/drawing/2014/main" id="{00000000-0008-0000-1200-0000550D0000}"/>
            </a:ext>
          </a:extLst>
        </xdr:cNvPr>
        <xdr:cNvCxnSpPr/>
      </xdr:nvCxnSpPr>
      <xdr:spPr>
        <a:xfrm flipV="1">
          <a:off x="5492750" y="1121410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3414" name="Straight Arrow Connector 3413">
          <a:extLst>
            <a:ext uri="{FF2B5EF4-FFF2-40B4-BE49-F238E27FC236}">
              <a16:creationId xmlns:a16="http://schemas.microsoft.com/office/drawing/2014/main" id="{00000000-0008-0000-1200-0000560D0000}"/>
            </a:ext>
          </a:extLst>
        </xdr:cNvPr>
        <xdr:cNvCxnSpPr/>
      </xdr:nvCxnSpPr>
      <xdr:spPr>
        <a:xfrm flipV="1">
          <a:off x="3810000" y="1386840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3415" name="Straight Arrow Connector 3414">
          <a:extLst>
            <a:ext uri="{FF2B5EF4-FFF2-40B4-BE49-F238E27FC236}">
              <a16:creationId xmlns:a16="http://schemas.microsoft.com/office/drawing/2014/main" id="{00000000-0008-0000-1200-0000570D0000}"/>
            </a:ext>
          </a:extLst>
        </xdr:cNvPr>
        <xdr:cNvCxnSpPr/>
      </xdr:nvCxnSpPr>
      <xdr:spPr>
        <a:xfrm>
          <a:off x="3894667" y="145901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3416" name="Straight Arrow Connector 3415">
          <a:extLst>
            <a:ext uri="{FF2B5EF4-FFF2-40B4-BE49-F238E27FC236}">
              <a16:creationId xmlns:a16="http://schemas.microsoft.com/office/drawing/2014/main" id="{00000000-0008-0000-1200-0000580D0000}"/>
            </a:ext>
          </a:extLst>
        </xdr:cNvPr>
        <xdr:cNvCxnSpPr/>
      </xdr:nvCxnSpPr>
      <xdr:spPr>
        <a:xfrm flipV="1">
          <a:off x="5461000" y="133879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3417" name="Straight Arrow Connector 3416">
          <a:extLst>
            <a:ext uri="{FF2B5EF4-FFF2-40B4-BE49-F238E27FC236}">
              <a16:creationId xmlns:a16="http://schemas.microsoft.com/office/drawing/2014/main" id="{00000000-0008-0000-1200-0000590D0000}"/>
            </a:ext>
          </a:extLst>
        </xdr:cNvPr>
        <xdr:cNvCxnSpPr/>
      </xdr:nvCxnSpPr>
      <xdr:spPr>
        <a:xfrm>
          <a:off x="5461000" y="1386945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3418" name="Straight Arrow Connector 3417">
          <a:extLst>
            <a:ext uri="{FF2B5EF4-FFF2-40B4-BE49-F238E27FC236}">
              <a16:creationId xmlns:a16="http://schemas.microsoft.com/office/drawing/2014/main" id="{00000000-0008-0000-1200-00005A0D0000}"/>
            </a:ext>
          </a:extLst>
        </xdr:cNvPr>
        <xdr:cNvCxnSpPr/>
      </xdr:nvCxnSpPr>
      <xdr:spPr>
        <a:xfrm flipV="1">
          <a:off x="6688667" y="132344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3419" name="Straight Arrow Connector 3418">
          <a:extLst>
            <a:ext uri="{FF2B5EF4-FFF2-40B4-BE49-F238E27FC236}">
              <a16:creationId xmlns:a16="http://schemas.microsoft.com/office/drawing/2014/main" id="{00000000-0008-0000-1200-00005B0D0000}"/>
            </a:ext>
          </a:extLst>
        </xdr:cNvPr>
        <xdr:cNvCxnSpPr/>
      </xdr:nvCxnSpPr>
      <xdr:spPr>
        <a:xfrm>
          <a:off x="6720417" y="133921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3420" name="Straight Arrow Connector 3419">
          <a:extLst>
            <a:ext uri="{FF2B5EF4-FFF2-40B4-BE49-F238E27FC236}">
              <a16:creationId xmlns:a16="http://schemas.microsoft.com/office/drawing/2014/main" id="{00000000-0008-0000-1200-00005C0D0000}"/>
            </a:ext>
          </a:extLst>
        </xdr:cNvPr>
        <xdr:cNvCxnSpPr/>
      </xdr:nvCxnSpPr>
      <xdr:spPr>
        <a:xfrm flipV="1">
          <a:off x="7937500" y="135043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3421" name="Straight Arrow Connector 3420">
          <a:extLst>
            <a:ext uri="{FF2B5EF4-FFF2-40B4-BE49-F238E27FC236}">
              <a16:creationId xmlns:a16="http://schemas.microsoft.com/office/drawing/2014/main" id="{00000000-0008-0000-1200-00005D0D0000}"/>
            </a:ext>
          </a:extLst>
        </xdr:cNvPr>
        <xdr:cNvCxnSpPr/>
      </xdr:nvCxnSpPr>
      <xdr:spPr>
        <a:xfrm>
          <a:off x="7926917" y="136059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3422" name="Straight Arrow Connector 3421">
          <a:extLst>
            <a:ext uri="{FF2B5EF4-FFF2-40B4-BE49-F238E27FC236}">
              <a16:creationId xmlns:a16="http://schemas.microsoft.com/office/drawing/2014/main" id="{00000000-0008-0000-1200-00005E0D0000}"/>
            </a:ext>
          </a:extLst>
        </xdr:cNvPr>
        <xdr:cNvCxnSpPr/>
      </xdr:nvCxnSpPr>
      <xdr:spPr>
        <a:xfrm flipV="1">
          <a:off x="9133417" y="134133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3423" name="Straight Arrow Connector 3422">
          <a:extLst>
            <a:ext uri="{FF2B5EF4-FFF2-40B4-BE49-F238E27FC236}">
              <a16:creationId xmlns:a16="http://schemas.microsoft.com/office/drawing/2014/main" id="{00000000-0008-0000-1200-00005F0D0000}"/>
            </a:ext>
          </a:extLst>
        </xdr:cNvPr>
        <xdr:cNvCxnSpPr/>
      </xdr:nvCxnSpPr>
      <xdr:spPr>
        <a:xfrm>
          <a:off x="9122833" y="135085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3424" name="Straight Arrow Connector 3423">
          <a:extLst>
            <a:ext uri="{FF2B5EF4-FFF2-40B4-BE49-F238E27FC236}">
              <a16:creationId xmlns:a16="http://schemas.microsoft.com/office/drawing/2014/main" id="{00000000-0008-0000-1200-0000600D0000}"/>
            </a:ext>
          </a:extLst>
        </xdr:cNvPr>
        <xdr:cNvCxnSpPr/>
      </xdr:nvCxnSpPr>
      <xdr:spPr>
        <a:xfrm flipV="1">
          <a:off x="9525000" y="138133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3425" name="Straight Arrow Connector 3424">
          <a:extLst>
            <a:ext uri="{FF2B5EF4-FFF2-40B4-BE49-F238E27FC236}">
              <a16:creationId xmlns:a16="http://schemas.microsoft.com/office/drawing/2014/main" id="{00000000-0008-0000-1200-0000610D0000}"/>
            </a:ext>
          </a:extLst>
        </xdr:cNvPr>
        <xdr:cNvCxnSpPr/>
      </xdr:nvCxnSpPr>
      <xdr:spPr>
        <a:xfrm>
          <a:off x="9535583" y="139065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1592</xdr:row>
      <xdr:rowOff>0</xdr:rowOff>
    </xdr:from>
    <xdr:to>
      <xdr:col>15</xdr:col>
      <xdr:colOff>603250</xdr:colOff>
      <xdr:row>1597</xdr:row>
      <xdr:rowOff>31750</xdr:rowOff>
    </xdr:to>
    <xdr:cxnSp macro="">
      <xdr:nvCxnSpPr>
        <xdr:cNvPr id="3426" name="Straight Arrow Connector 3425">
          <a:extLst>
            <a:ext uri="{FF2B5EF4-FFF2-40B4-BE49-F238E27FC236}">
              <a16:creationId xmlns:a16="http://schemas.microsoft.com/office/drawing/2014/main" id="{00000000-0008-0000-1200-0000620D0000}"/>
            </a:ext>
          </a:extLst>
        </xdr:cNvPr>
        <xdr:cNvCxnSpPr/>
      </xdr:nvCxnSpPr>
      <xdr:spPr>
        <a:xfrm flipV="1">
          <a:off x="11281833" y="132588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3427" name="Straight Arrow Connector 3426">
          <a:extLst>
            <a:ext uri="{FF2B5EF4-FFF2-40B4-BE49-F238E27FC236}">
              <a16:creationId xmlns:a16="http://schemas.microsoft.com/office/drawing/2014/main" id="{00000000-0008-0000-1200-0000630D0000}"/>
            </a:ext>
          </a:extLst>
        </xdr:cNvPr>
        <xdr:cNvCxnSpPr/>
      </xdr:nvCxnSpPr>
      <xdr:spPr>
        <a:xfrm flipV="1">
          <a:off x="11324166" y="133212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3428" name="Straight Arrow Connector 3427">
          <a:extLst>
            <a:ext uri="{FF2B5EF4-FFF2-40B4-BE49-F238E27FC236}">
              <a16:creationId xmlns:a16="http://schemas.microsoft.com/office/drawing/2014/main" id="{00000000-0008-0000-1200-0000640D0000}"/>
            </a:ext>
          </a:extLst>
        </xdr:cNvPr>
        <xdr:cNvCxnSpPr/>
      </xdr:nvCxnSpPr>
      <xdr:spPr>
        <a:xfrm>
          <a:off x="11345333" y="133699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3429" name="Straight Arrow Connector 3428">
          <a:extLst>
            <a:ext uri="{FF2B5EF4-FFF2-40B4-BE49-F238E27FC236}">
              <a16:creationId xmlns:a16="http://schemas.microsoft.com/office/drawing/2014/main" id="{00000000-0008-0000-1200-0000650D0000}"/>
            </a:ext>
          </a:extLst>
        </xdr:cNvPr>
        <xdr:cNvCxnSpPr/>
      </xdr:nvCxnSpPr>
      <xdr:spPr>
        <a:xfrm>
          <a:off x="11260667" y="133646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1605</xdr:row>
      <xdr:rowOff>52916</xdr:rowOff>
    </xdr:from>
    <xdr:to>
      <xdr:col>16</xdr:col>
      <xdr:colOff>0</xdr:colOff>
      <xdr:row>1607</xdr:row>
      <xdr:rowOff>0</xdr:rowOff>
    </xdr:to>
    <xdr:cxnSp macro="">
      <xdr:nvCxnSpPr>
        <xdr:cNvPr id="3430" name="Straight Arrow Connector 3429">
          <a:extLst>
            <a:ext uri="{FF2B5EF4-FFF2-40B4-BE49-F238E27FC236}">
              <a16:creationId xmlns:a16="http://schemas.microsoft.com/office/drawing/2014/main" id="{00000000-0008-0000-1200-0000660D0000}"/>
            </a:ext>
          </a:extLst>
        </xdr:cNvPr>
        <xdr:cNvCxnSpPr/>
      </xdr:nvCxnSpPr>
      <xdr:spPr>
        <a:xfrm flipV="1">
          <a:off x="11281833" y="135117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3431" name="Straight Arrow Connector 3430">
          <a:extLst>
            <a:ext uri="{FF2B5EF4-FFF2-40B4-BE49-F238E27FC236}">
              <a16:creationId xmlns:a16="http://schemas.microsoft.com/office/drawing/2014/main" id="{00000000-0008-0000-1200-0000670D0000}"/>
            </a:ext>
          </a:extLst>
        </xdr:cNvPr>
        <xdr:cNvCxnSpPr/>
      </xdr:nvCxnSpPr>
      <xdr:spPr>
        <a:xfrm>
          <a:off x="11292416" y="135466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3432" name="Straight Arrow Connector 3431">
          <a:extLst>
            <a:ext uri="{FF2B5EF4-FFF2-40B4-BE49-F238E27FC236}">
              <a16:creationId xmlns:a16="http://schemas.microsoft.com/office/drawing/2014/main" id="{00000000-0008-0000-1200-0000680D0000}"/>
            </a:ext>
          </a:extLst>
        </xdr:cNvPr>
        <xdr:cNvCxnSpPr/>
      </xdr:nvCxnSpPr>
      <xdr:spPr>
        <a:xfrm>
          <a:off x="11271250" y="135466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433" name="Straight Arrow Connector 3432">
          <a:extLst>
            <a:ext uri="{FF2B5EF4-FFF2-40B4-BE49-F238E27FC236}">
              <a16:creationId xmlns:a16="http://schemas.microsoft.com/office/drawing/2014/main" id="{00000000-0008-0000-1200-0000690D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3434" name="Straight Arrow Connector 3433">
          <a:extLst>
            <a:ext uri="{FF2B5EF4-FFF2-40B4-BE49-F238E27FC236}">
              <a16:creationId xmlns:a16="http://schemas.microsoft.com/office/drawing/2014/main" id="{00000000-0008-0000-1200-00006A0D0000}"/>
            </a:ext>
          </a:extLst>
        </xdr:cNvPr>
        <xdr:cNvCxnSpPr/>
      </xdr:nvCxnSpPr>
      <xdr:spPr>
        <a:xfrm flipV="1">
          <a:off x="6699250" y="142726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3435" name="Straight Arrow Connector 3434">
          <a:extLst>
            <a:ext uri="{FF2B5EF4-FFF2-40B4-BE49-F238E27FC236}">
              <a16:creationId xmlns:a16="http://schemas.microsoft.com/office/drawing/2014/main" id="{00000000-0008-0000-1200-00006B0D0000}"/>
            </a:ext>
          </a:extLst>
        </xdr:cNvPr>
        <xdr:cNvCxnSpPr/>
      </xdr:nvCxnSpPr>
      <xdr:spPr>
        <a:xfrm>
          <a:off x="6720417" y="144758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3436" name="Straight Arrow Connector 3435">
          <a:extLst>
            <a:ext uri="{FF2B5EF4-FFF2-40B4-BE49-F238E27FC236}">
              <a16:creationId xmlns:a16="http://schemas.microsoft.com/office/drawing/2014/main" id="{00000000-0008-0000-1200-00006C0D0000}"/>
            </a:ext>
          </a:extLst>
        </xdr:cNvPr>
        <xdr:cNvCxnSpPr/>
      </xdr:nvCxnSpPr>
      <xdr:spPr>
        <a:xfrm flipV="1">
          <a:off x="7874000" y="145891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3437" name="Straight Arrow Connector 3436">
          <a:extLst>
            <a:ext uri="{FF2B5EF4-FFF2-40B4-BE49-F238E27FC236}">
              <a16:creationId xmlns:a16="http://schemas.microsoft.com/office/drawing/2014/main" id="{00000000-0008-0000-1200-00006D0D0000}"/>
            </a:ext>
          </a:extLst>
        </xdr:cNvPr>
        <xdr:cNvCxnSpPr/>
      </xdr:nvCxnSpPr>
      <xdr:spPr>
        <a:xfrm flipV="1">
          <a:off x="11271250" y="137731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3438" name="Straight Arrow Connector 3437">
          <a:extLst>
            <a:ext uri="{FF2B5EF4-FFF2-40B4-BE49-F238E27FC236}">
              <a16:creationId xmlns:a16="http://schemas.microsoft.com/office/drawing/2014/main" id="{00000000-0008-0000-1200-00006E0D0000}"/>
            </a:ext>
          </a:extLst>
        </xdr:cNvPr>
        <xdr:cNvCxnSpPr/>
      </xdr:nvCxnSpPr>
      <xdr:spPr>
        <a:xfrm>
          <a:off x="11313583" y="138123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3439" name="Straight Arrow Connector 3438">
          <a:extLst>
            <a:ext uri="{FF2B5EF4-FFF2-40B4-BE49-F238E27FC236}">
              <a16:creationId xmlns:a16="http://schemas.microsoft.com/office/drawing/2014/main" id="{00000000-0008-0000-1200-00006F0D0000}"/>
            </a:ext>
          </a:extLst>
        </xdr:cNvPr>
        <xdr:cNvCxnSpPr/>
      </xdr:nvCxnSpPr>
      <xdr:spPr>
        <a:xfrm>
          <a:off x="11292416" y="138123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440" name="Straight Arrow Connector 3439">
          <a:extLst>
            <a:ext uri="{FF2B5EF4-FFF2-40B4-BE49-F238E27FC236}">
              <a16:creationId xmlns:a16="http://schemas.microsoft.com/office/drawing/2014/main" id="{00000000-0008-0000-1200-0000700D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3441" name="Straight Arrow Connector 3440">
          <a:extLst>
            <a:ext uri="{FF2B5EF4-FFF2-40B4-BE49-F238E27FC236}">
              <a16:creationId xmlns:a16="http://schemas.microsoft.com/office/drawing/2014/main" id="{00000000-0008-0000-1200-0000710D0000}"/>
            </a:ext>
          </a:extLst>
        </xdr:cNvPr>
        <xdr:cNvCxnSpPr/>
      </xdr:nvCxnSpPr>
      <xdr:spPr>
        <a:xfrm>
          <a:off x="11302999" y="140779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3442" name="Straight Arrow Connector 3441">
          <a:extLst>
            <a:ext uri="{FF2B5EF4-FFF2-40B4-BE49-F238E27FC236}">
              <a16:creationId xmlns:a16="http://schemas.microsoft.com/office/drawing/2014/main" id="{00000000-0008-0000-1200-0000720D0000}"/>
            </a:ext>
          </a:extLst>
        </xdr:cNvPr>
        <xdr:cNvCxnSpPr/>
      </xdr:nvCxnSpPr>
      <xdr:spPr>
        <a:xfrm>
          <a:off x="11355916" y="140800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3443" name="Straight Arrow Connector 3442">
          <a:extLst>
            <a:ext uri="{FF2B5EF4-FFF2-40B4-BE49-F238E27FC236}">
              <a16:creationId xmlns:a16="http://schemas.microsoft.com/office/drawing/2014/main" id="{00000000-0008-0000-1200-0000730D0000}"/>
            </a:ext>
          </a:extLst>
        </xdr:cNvPr>
        <xdr:cNvCxnSpPr/>
      </xdr:nvCxnSpPr>
      <xdr:spPr>
        <a:xfrm>
          <a:off x="11313583" y="140832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3444" name="Straight Arrow Connector 3443">
          <a:extLst>
            <a:ext uri="{FF2B5EF4-FFF2-40B4-BE49-F238E27FC236}">
              <a16:creationId xmlns:a16="http://schemas.microsoft.com/office/drawing/2014/main" id="{00000000-0008-0000-1200-0000740D0000}"/>
            </a:ext>
          </a:extLst>
        </xdr:cNvPr>
        <xdr:cNvCxnSpPr/>
      </xdr:nvCxnSpPr>
      <xdr:spPr>
        <a:xfrm flipV="1">
          <a:off x="11302999" y="143562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3445" name="Straight Arrow Connector 3444">
          <a:extLst>
            <a:ext uri="{FF2B5EF4-FFF2-40B4-BE49-F238E27FC236}">
              <a16:creationId xmlns:a16="http://schemas.microsoft.com/office/drawing/2014/main" id="{00000000-0008-0000-1200-0000750D0000}"/>
            </a:ext>
          </a:extLst>
        </xdr:cNvPr>
        <xdr:cNvCxnSpPr/>
      </xdr:nvCxnSpPr>
      <xdr:spPr>
        <a:xfrm flipV="1">
          <a:off x="11345333" y="143922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3446" name="Straight Arrow Connector 3445">
          <a:extLst>
            <a:ext uri="{FF2B5EF4-FFF2-40B4-BE49-F238E27FC236}">
              <a16:creationId xmlns:a16="http://schemas.microsoft.com/office/drawing/2014/main" id="{00000000-0008-0000-1200-0000760D0000}"/>
            </a:ext>
          </a:extLst>
        </xdr:cNvPr>
        <xdr:cNvCxnSpPr/>
      </xdr:nvCxnSpPr>
      <xdr:spPr>
        <a:xfrm>
          <a:off x="11334749" y="144324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3447" name="Straight Arrow Connector 3446">
          <a:extLst>
            <a:ext uri="{FF2B5EF4-FFF2-40B4-BE49-F238E27FC236}">
              <a16:creationId xmlns:a16="http://schemas.microsoft.com/office/drawing/2014/main" id="{00000000-0008-0000-1200-0000770D0000}"/>
            </a:ext>
          </a:extLst>
        </xdr:cNvPr>
        <xdr:cNvCxnSpPr/>
      </xdr:nvCxnSpPr>
      <xdr:spPr>
        <a:xfrm>
          <a:off x="11313583" y="146420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3448" name="Straight Arrow Connector 3447">
          <a:extLst>
            <a:ext uri="{FF2B5EF4-FFF2-40B4-BE49-F238E27FC236}">
              <a16:creationId xmlns:a16="http://schemas.microsoft.com/office/drawing/2014/main" id="{00000000-0008-0000-1200-0000780D0000}"/>
            </a:ext>
          </a:extLst>
        </xdr:cNvPr>
        <xdr:cNvCxnSpPr/>
      </xdr:nvCxnSpPr>
      <xdr:spPr>
        <a:xfrm flipV="1">
          <a:off x="11324166" y="140260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3449" name="Straight Arrow Connector 3448">
          <a:extLst>
            <a:ext uri="{FF2B5EF4-FFF2-40B4-BE49-F238E27FC236}">
              <a16:creationId xmlns:a16="http://schemas.microsoft.com/office/drawing/2014/main" id="{00000000-0008-0000-1200-0000790D0000}"/>
            </a:ext>
          </a:extLst>
        </xdr:cNvPr>
        <xdr:cNvCxnSpPr/>
      </xdr:nvCxnSpPr>
      <xdr:spPr>
        <a:xfrm>
          <a:off x="7926917" y="146917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3450" name="Straight Arrow Connector 3449">
          <a:extLst>
            <a:ext uri="{FF2B5EF4-FFF2-40B4-BE49-F238E27FC236}">
              <a16:creationId xmlns:a16="http://schemas.microsoft.com/office/drawing/2014/main" id="{00000000-0008-0000-1200-00007A0D0000}"/>
            </a:ext>
          </a:extLst>
        </xdr:cNvPr>
        <xdr:cNvCxnSpPr/>
      </xdr:nvCxnSpPr>
      <xdr:spPr>
        <a:xfrm flipV="1">
          <a:off x="9133417" y="144991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3451" name="Straight Arrow Connector 3450">
          <a:extLst>
            <a:ext uri="{FF2B5EF4-FFF2-40B4-BE49-F238E27FC236}">
              <a16:creationId xmlns:a16="http://schemas.microsoft.com/office/drawing/2014/main" id="{00000000-0008-0000-1200-00007B0D0000}"/>
            </a:ext>
          </a:extLst>
        </xdr:cNvPr>
        <xdr:cNvCxnSpPr/>
      </xdr:nvCxnSpPr>
      <xdr:spPr>
        <a:xfrm>
          <a:off x="9122833" y="145944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3452" name="Straight Arrow Connector 3451">
          <a:extLst>
            <a:ext uri="{FF2B5EF4-FFF2-40B4-BE49-F238E27FC236}">
              <a16:creationId xmlns:a16="http://schemas.microsoft.com/office/drawing/2014/main" id="{00000000-0008-0000-1200-00007C0D0000}"/>
            </a:ext>
          </a:extLst>
        </xdr:cNvPr>
        <xdr:cNvCxnSpPr/>
      </xdr:nvCxnSpPr>
      <xdr:spPr>
        <a:xfrm flipV="1">
          <a:off x="9525000" y="148992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3453" name="Straight Arrow Connector 3452">
          <a:extLst>
            <a:ext uri="{FF2B5EF4-FFF2-40B4-BE49-F238E27FC236}">
              <a16:creationId xmlns:a16="http://schemas.microsoft.com/office/drawing/2014/main" id="{00000000-0008-0000-1200-00007D0D0000}"/>
            </a:ext>
          </a:extLst>
        </xdr:cNvPr>
        <xdr:cNvCxnSpPr/>
      </xdr:nvCxnSpPr>
      <xdr:spPr>
        <a:xfrm>
          <a:off x="9535583" y="149923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3454" name="Straight Arrow Connector 3453">
          <a:extLst>
            <a:ext uri="{FF2B5EF4-FFF2-40B4-BE49-F238E27FC236}">
              <a16:creationId xmlns:a16="http://schemas.microsoft.com/office/drawing/2014/main" id="{00000000-0008-0000-1200-00007E0D0000}"/>
            </a:ext>
          </a:extLst>
        </xdr:cNvPr>
        <xdr:cNvCxnSpPr/>
      </xdr:nvCxnSpPr>
      <xdr:spPr>
        <a:xfrm>
          <a:off x="11334749" y="144303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1661</xdr:row>
      <xdr:rowOff>52916</xdr:rowOff>
    </xdr:from>
    <xdr:to>
      <xdr:col>16</xdr:col>
      <xdr:colOff>0</xdr:colOff>
      <xdr:row>1663</xdr:row>
      <xdr:rowOff>0</xdr:rowOff>
    </xdr:to>
    <xdr:cxnSp macro="">
      <xdr:nvCxnSpPr>
        <xdr:cNvPr id="3455" name="Straight Arrow Connector 3454">
          <a:extLst>
            <a:ext uri="{FF2B5EF4-FFF2-40B4-BE49-F238E27FC236}">
              <a16:creationId xmlns:a16="http://schemas.microsoft.com/office/drawing/2014/main" id="{00000000-0008-0000-1200-00007F0D0000}"/>
            </a:ext>
          </a:extLst>
        </xdr:cNvPr>
        <xdr:cNvCxnSpPr/>
      </xdr:nvCxnSpPr>
      <xdr:spPr>
        <a:xfrm flipV="1">
          <a:off x="11281833" y="145975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3456" name="Straight Arrow Connector 3455">
          <a:extLst>
            <a:ext uri="{FF2B5EF4-FFF2-40B4-BE49-F238E27FC236}">
              <a16:creationId xmlns:a16="http://schemas.microsoft.com/office/drawing/2014/main" id="{00000000-0008-0000-1200-0000800D0000}"/>
            </a:ext>
          </a:extLst>
        </xdr:cNvPr>
        <xdr:cNvCxnSpPr/>
      </xdr:nvCxnSpPr>
      <xdr:spPr>
        <a:xfrm>
          <a:off x="11271250" y="146325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3457" name="Straight Arrow Connector 3456">
          <a:extLst>
            <a:ext uri="{FF2B5EF4-FFF2-40B4-BE49-F238E27FC236}">
              <a16:creationId xmlns:a16="http://schemas.microsoft.com/office/drawing/2014/main" id="{00000000-0008-0000-1200-0000810D0000}"/>
            </a:ext>
          </a:extLst>
        </xdr:cNvPr>
        <xdr:cNvCxnSpPr/>
      </xdr:nvCxnSpPr>
      <xdr:spPr>
        <a:xfrm>
          <a:off x="11271250" y="146304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3458" name="Straight Arrow Connector 3457">
          <a:extLst>
            <a:ext uri="{FF2B5EF4-FFF2-40B4-BE49-F238E27FC236}">
              <a16:creationId xmlns:a16="http://schemas.microsoft.com/office/drawing/2014/main" id="{00000000-0008-0000-1200-0000820D0000}"/>
            </a:ext>
          </a:extLst>
        </xdr:cNvPr>
        <xdr:cNvCxnSpPr/>
      </xdr:nvCxnSpPr>
      <xdr:spPr>
        <a:xfrm flipV="1">
          <a:off x="11271250" y="148590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3459" name="Straight Arrow Connector 3458">
          <a:extLst>
            <a:ext uri="{FF2B5EF4-FFF2-40B4-BE49-F238E27FC236}">
              <a16:creationId xmlns:a16="http://schemas.microsoft.com/office/drawing/2014/main" id="{00000000-0008-0000-1200-0000830D0000}"/>
            </a:ext>
          </a:extLst>
        </xdr:cNvPr>
        <xdr:cNvCxnSpPr/>
      </xdr:nvCxnSpPr>
      <xdr:spPr>
        <a:xfrm>
          <a:off x="11313583" y="148981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3460" name="Straight Arrow Connector 3459">
          <a:extLst>
            <a:ext uri="{FF2B5EF4-FFF2-40B4-BE49-F238E27FC236}">
              <a16:creationId xmlns:a16="http://schemas.microsoft.com/office/drawing/2014/main" id="{00000000-0008-0000-1200-0000840D0000}"/>
            </a:ext>
          </a:extLst>
        </xdr:cNvPr>
        <xdr:cNvCxnSpPr/>
      </xdr:nvCxnSpPr>
      <xdr:spPr>
        <a:xfrm>
          <a:off x="11292416" y="148981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461" name="Straight Arrow Connector 3460">
          <a:extLst>
            <a:ext uri="{FF2B5EF4-FFF2-40B4-BE49-F238E27FC236}">
              <a16:creationId xmlns:a16="http://schemas.microsoft.com/office/drawing/2014/main" id="{00000000-0008-0000-1200-0000850D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3462" name="Straight Arrow Connector 3461">
          <a:extLst>
            <a:ext uri="{FF2B5EF4-FFF2-40B4-BE49-F238E27FC236}">
              <a16:creationId xmlns:a16="http://schemas.microsoft.com/office/drawing/2014/main" id="{00000000-0008-0000-1200-0000860D0000}"/>
            </a:ext>
          </a:extLst>
        </xdr:cNvPr>
        <xdr:cNvCxnSpPr/>
      </xdr:nvCxnSpPr>
      <xdr:spPr>
        <a:xfrm>
          <a:off x="11302999" y="151638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3463" name="Straight Arrow Connector 3462">
          <a:extLst>
            <a:ext uri="{FF2B5EF4-FFF2-40B4-BE49-F238E27FC236}">
              <a16:creationId xmlns:a16="http://schemas.microsoft.com/office/drawing/2014/main" id="{00000000-0008-0000-1200-0000870D0000}"/>
            </a:ext>
          </a:extLst>
        </xdr:cNvPr>
        <xdr:cNvCxnSpPr/>
      </xdr:nvCxnSpPr>
      <xdr:spPr>
        <a:xfrm>
          <a:off x="11355916" y="151659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3464" name="Straight Arrow Connector 3463">
          <a:extLst>
            <a:ext uri="{FF2B5EF4-FFF2-40B4-BE49-F238E27FC236}">
              <a16:creationId xmlns:a16="http://schemas.microsoft.com/office/drawing/2014/main" id="{00000000-0008-0000-1200-0000880D0000}"/>
            </a:ext>
          </a:extLst>
        </xdr:cNvPr>
        <xdr:cNvCxnSpPr/>
      </xdr:nvCxnSpPr>
      <xdr:spPr>
        <a:xfrm>
          <a:off x="11313583" y="151690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3465" name="Straight Arrow Connector 3464">
          <a:extLst>
            <a:ext uri="{FF2B5EF4-FFF2-40B4-BE49-F238E27FC236}">
              <a16:creationId xmlns:a16="http://schemas.microsoft.com/office/drawing/2014/main" id="{00000000-0008-0000-1200-0000890D0000}"/>
            </a:ext>
          </a:extLst>
        </xdr:cNvPr>
        <xdr:cNvCxnSpPr/>
      </xdr:nvCxnSpPr>
      <xdr:spPr>
        <a:xfrm flipV="1">
          <a:off x="11324166" y="151119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3466" name="Straight Arrow Connector 3465">
          <a:extLst>
            <a:ext uri="{FF2B5EF4-FFF2-40B4-BE49-F238E27FC236}">
              <a16:creationId xmlns:a16="http://schemas.microsoft.com/office/drawing/2014/main" id="{00000000-0008-0000-1200-00008A0D0000}"/>
            </a:ext>
          </a:extLst>
        </xdr:cNvPr>
        <xdr:cNvCxnSpPr/>
      </xdr:nvCxnSpPr>
      <xdr:spPr>
        <a:xfrm>
          <a:off x="5185833" y="1597342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3467" name="Straight Arrow Connector 3466">
          <a:extLst>
            <a:ext uri="{FF2B5EF4-FFF2-40B4-BE49-F238E27FC236}">
              <a16:creationId xmlns:a16="http://schemas.microsoft.com/office/drawing/2014/main" id="{00000000-0008-0000-1200-00008B0D0000}"/>
            </a:ext>
          </a:extLst>
        </xdr:cNvPr>
        <xdr:cNvCxnSpPr/>
      </xdr:nvCxnSpPr>
      <xdr:spPr>
        <a:xfrm flipV="1">
          <a:off x="6688667" y="154061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3468" name="Straight Arrow Connector 3467">
          <a:extLst>
            <a:ext uri="{FF2B5EF4-FFF2-40B4-BE49-F238E27FC236}">
              <a16:creationId xmlns:a16="http://schemas.microsoft.com/office/drawing/2014/main" id="{00000000-0008-0000-1200-00008C0D0000}"/>
            </a:ext>
          </a:extLst>
        </xdr:cNvPr>
        <xdr:cNvCxnSpPr/>
      </xdr:nvCxnSpPr>
      <xdr:spPr>
        <a:xfrm>
          <a:off x="6720417" y="155638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3469" name="Straight Arrow Connector 3468">
          <a:extLst>
            <a:ext uri="{FF2B5EF4-FFF2-40B4-BE49-F238E27FC236}">
              <a16:creationId xmlns:a16="http://schemas.microsoft.com/office/drawing/2014/main" id="{00000000-0008-0000-1200-00008D0D0000}"/>
            </a:ext>
          </a:extLst>
        </xdr:cNvPr>
        <xdr:cNvCxnSpPr/>
      </xdr:nvCxnSpPr>
      <xdr:spPr>
        <a:xfrm flipV="1">
          <a:off x="7937500" y="156760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3470" name="Straight Arrow Connector 3469">
          <a:extLst>
            <a:ext uri="{FF2B5EF4-FFF2-40B4-BE49-F238E27FC236}">
              <a16:creationId xmlns:a16="http://schemas.microsoft.com/office/drawing/2014/main" id="{00000000-0008-0000-1200-00008E0D0000}"/>
            </a:ext>
          </a:extLst>
        </xdr:cNvPr>
        <xdr:cNvCxnSpPr/>
      </xdr:nvCxnSpPr>
      <xdr:spPr>
        <a:xfrm>
          <a:off x="7926917" y="157776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3471" name="Straight Arrow Connector 3470">
          <a:extLst>
            <a:ext uri="{FF2B5EF4-FFF2-40B4-BE49-F238E27FC236}">
              <a16:creationId xmlns:a16="http://schemas.microsoft.com/office/drawing/2014/main" id="{00000000-0008-0000-1200-00008F0D0000}"/>
            </a:ext>
          </a:extLst>
        </xdr:cNvPr>
        <xdr:cNvCxnSpPr/>
      </xdr:nvCxnSpPr>
      <xdr:spPr>
        <a:xfrm flipV="1">
          <a:off x="9133417" y="155850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3472" name="Straight Arrow Connector 3471">
          <a:extLst>
            <a:ext uri="{FF2B5EF4-FFF2-40B4-BE49-F238E27FC236}">
              <a16:creationId xmlns:a16="http://schemas.microsoft.com/office/drawing/2014/main" id="{00000000-0008-0000-1200-0000900D0000}"/>
            </a:ext>
          </a:extLst>
        </xdr:cNvPr>
        <xdr:cNvCxnSpPr/>
      </xdr:nvCxnSpPr>
      <xdr:spPr>
        <a:xfrm>
          <a:off x="9122833" y="156802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3473" name="Straight Arrow Connector 3472">
          <a:extLst>
            <a:ext uri="{FF2B5EF4-FFF2-40B4-BE49-F238E27FC236}">
              <a16:creationId xmlns:a16="http://schemas.microsoft.com/office/drawing/2014/main" id="{00000000-0008-0000-1200-0000910D0000}"/>
            </a:ext>
          </a:extLst>
        </xdr:cNvPr>
        <xdr:cNvCxnSpPr/>
      </xdr:nvCxnSpPr>
      <xdr:spPr>
        <a:xfrm flipV="1">
          <a:off x="9525000" y="159850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3474" name="Straight Arrow Connector 3473">
          <a:extLst>
            <a:ext uri="{FF2B5EF4-FFF2-40B4-BE49-F238E27FC236}">
              <a16:creationId xmlns:a16="http://schemas.microsoft.com/office/drawing/2014/main" id="{00000000-0008-0000-1200-0000920D0000}"/>
            </a:ext>
          </a:extLst>
        </xdr:cNvPr>
        <xdr:cNvCxnSpPr/>
      </xdr:nvCxnSpPr>
      <xdr:spPr>
        <a:xfrm>
          <a:off x="9535583" y="160782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1704</xdr:row>
      <xdr:rowOff>0</xdr:rowOff>
    </xdr:from>
    <xdr:to>
      <xdr:col>15</xdr:col>
      <xdr:colOff>603250</xdr:colOff>
      <xdr:row>1709</xdr:row>
      <xdr:rowOff>31750</xdr:rowOff>
    </xdr:to>
    <xdr:cxnSp macro="">
      <xdr:nvCxnSpPr>
        <xdr:cNvPr id="3475" name="Straight Arrow Connector 3474">
          <a:extLst>
            <a:ext uri="{FF2B5EF4-FFF2-40B4-BE49-F238E27FC236}">
              <a16:creationId xmlns:a16="http://schemas.microsoft.com/office/drawing/2014/main" id="{00000000-0008-0000-1200-0000930D0000}"/>
            </a:ext>
          </a:extLst>
        </xdr:cNvPr>
        <xdr:cNvCxnSpPr/>
      </xdr:nvCxnSpPr>
      <xdr:spPr>
        <a:xfrm flipV="1">
          <a:off x="11281833" y="154305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3476" name="Straight Arrow Connector 3475">
          <a:extLst>
            <a:ext uri="{FF2B5EF4-FFF2-40B4-BE49-F238E27FC236}">
              <a16:creationId xmlns:a16="http://schemas.microsoft.com/office/drawing/2014/main" id="{00000000-0008-0000-1200-0000940D0000}"/>
            </a:ext>
          </a:extLst>
        </xdr:cNvPr>
        <xdr:cNvCxnSpPr/>
      </xdr:nvCxnSpPr>
      <xdr:spPr>
        <a:xfrm flipV="1">
          <a:off x="11324166" y="154929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3477" name="Straight Arrow Connector 3476">
          <a:extLst>
            <a:ext uri="{FF2B5EF4-FFF2-40B4-BE49-F238E27FC236}">
              <a16:creationId xmlns:a16="http://schemas.microsoft.com/office/drawing/2014/main" id="{00000000-0008-0000-1200-0000950D0000}"/>
            </a:ext>
          </a:extLst>
        </xdr:cNvPr>
        <xdr:cNvCxnSpPr/>
      </xdr:nvCxnSpPr>
      <xdr:spPr>
        <a:xfrm>
          <a:off x="11345333" y="155416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3478" name="Straight Arrow Connector 3477">
          <a:extLst>
            <a:ext uri="{FF2B5EF4-FFF2-40B4-BE49-F238E27FC236}">
              <a16:creationId xmlns:a16="http://schemas.microsoft.com/office/drawing/2014/main" id="{00000000-0008-0000-1200-0000960D0000}"/>
            </a:ext>
          </a:extLst>
        </xdr:cNvPr>
        <xdr:cNvCxnSpPr/>
      </xdr:nvCxnSpPr>
      <xdr:spPr>
        <a:xfrm>
          <a:off x="11260667" y="155363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1717</xdr:row>
      <xdr:rowOff>52916</xdr:rowOff>
    </xdr:from>
    <xdr:to>
      <xdr:col>16</xdr:col>
      <xdr:colOff>0</xdr:colOff>
      <xdr:row>1719</xdr:row>
      <xdr:rowOff>0</xdr:rowOff>
    </xdr:to>
    <xdr:cxnSp macro="">
      <xdr:nvCxnSpPr>
        <xdr:cNvPr id="3479" name="Straight Arrow Connector 3478">
          <a:extLst>
            <a:ext uri="{FF2B5EF4-FFF2-40B4-BE49-F238E27FC236}">
              <a16:creationId xmlns:a16="http://schemas.microsoft.com/office/drawing/2014/main" id="{00000000-0008-0000-1200-0000970D0000}"/>
            </a:ext>
          </a:extLst>
        </xdr:cNvPr>
        <xdr:cNvCxnSpPr/>
      </xdr:nvCxnSpPr>
      <xdr:spPr>
        <a:xfrm flipV="1">
          <a:off x="11281833" y="156834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3480" name="Straight Arrow Connector 3479">
          <a:extLst>
            <a:ext uri="{FF2B5EF4-FFF2-40B4-BE49-F238E27FC236}">
              <a16:creationId xmlns:a16="http://schemas.microsoft.com/office/drawing/2014/main" id="{00000000-0008-0000-1200-0000980D0000}"/>
            </a:ext>
          </a:extLst>
        </xdr:cNvPr>
        <xdr:cNvCxnSpPr/>
      </xdr:nvCxnSpPr>
      <xdr:spPr>
        <a:xfrm>
          <a:off x="11292416" y="157183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3481" name="Straight Arrow Connector 3480">
          <a:extLst>
            <a:ext uri="{FF2B5EF4-FFF2-40B4-BE49-F238E27FC236}">
              <a16:creationId xmlns:a16="http://schemas.microsoft.com/office/drawing/2014/main" id="{00000000-0008-0000-1200-0000990D0000}"/>
            </a:ext>
          </a:extLst>
        </xdr:cNvPr>
        <xdr:cNvCxnSpPr/>
      </xdr:nvCxnSpPr>
      <xdr:spPr>
        <a:xfrm>
          <a:off x="11271250" y="157183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3482" name="Straight Arrow Connector 3481">
          <a:extLst>
            <a:ext uri="{FF2B5EF4-FFF2-40B4-BE49-F238E27FC236}">
              <a16:creationId xmlns:a16="http://schemas.microsoft.com/office/drawing/2014/main" id="{00000000-0008-0000-1200-00009A0D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3483" name="Straight Arrow Connector 3482">
          <a:extLst>
            <a:ext uri="{FF2B5EF4-FFF2-40B4-BE49-F238E27FC236}">
              <a16:creationId xmlns:a16="http://schemas.microsoft.com/office/drawing/2014/main" id="{00000000-0008-0000-1200-00009B0D0000}"/>
            </a:ext>
          </a:extLst>
        </xdr:cNvPr>
        <xdr:cNvCxnSpPr/>
      </xdr:nvCxnSpPr>
      <xdr:spPr>
        <a:xfrm flipV="1">
          <a:off x="6699250" y="164443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3484" name="Straight Arrow Connector 3483">
          <a:extLst>
            <a:ext uri="{FF2B5EF4-FFF2-40B4-BE49-F238E27FC236}">
              <a16:creationId xmlns:a16="http://schemas.microsoft.com/office/drawing/2014/main" id="{00000000-0008-0000-1200-00009C0D0000}"/>
            </a:ext>
          </a:extLst>
        </xdr:cNvPr>
        <xdr:cNvCxnSpPr/>
      </xdr:nvCxnSpPr>
      <xdr:spPr>
        <a:xfrm>
          <a:off x="6720417" y="166475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3485" name="Straight Arrow Connector 3484">
          <a:extLst>
            <a:ext uri="{FF2B5EF4-FFF2-40B4-BE49-F238E27FC236}">
              <a16:creationId xmlns:a16="http://schemas.microsoft.com/office/drawing/2014/main" id="{00000000-0008-0000-1200-00009D0D0000}"/>
            </a:ext>
          </a:extLst>
        </xdr:cNvPr>
        <xdr:cNvCxnSpPr/>
      </xdr:nvCxnSpPr>
      <xdr:spPr>
        <a:xfrm flipV="1">
          <a:off x="7874000" y="167608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3486" name="Straight Arrow Connector 3485">
          <a:extLst>
            <a:ext uri="{FF2B5EF4-FFF2-40B4-BE49-F238E27FC236}">
              <a16:creationId xmlns:a16="http://schemas.microsoft.com/office/drawing/2014/main" id="{00000000-0008-0000-1200-00009E0D0000}"/>
            </a:ext>
          </a:extLst>
        </xdr:cNvPr>
        <xdr:cNvCxnSpPr/>
      </xdr:nvCxnSpPr>
      <xdr:spPr>
        <a:xfrm flipV="1">
          <a:off x="11271250" y="159448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3487" name="Straight Arrow Connector 3486">
          <a:extLst>
            <a:ext uri="{FF2B5EF4-FFF2-40B4-BE49-F238E27FC236}">
              <a16:creationId xmlns:a16="http://schemas.microsoft.com/office/drawing/2014/main" id="{00000000-0008-0000-1200-00009F0D0000}"/>
            </a:ext>
          </a:extLst>
        </xdr:cNvPr>
        <xdr:cNvCxnSpPr/>
      </xdr:nvCxnSpPr>
      <xdr:spPr>
        <a:xfrm>
          <a:off x="11313583" y="159840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3488" name="Straight Arrow Connector 3487">
          <a:extLst>
            <a:ext uri="{FF2B5EF4-FFF2-40B4-BE49-F238E27FC236}">
              <a16:creationId xmlns:a16="http://schemas.microsoft.com/office/drawing/2014/main" id="{00000000-0008-0000-1200-0000A00D0000}"/>
            </a:ext>
          </a:extLst>
        </xdr:cNvPr>
        <xdr:cNvCxnSpPr/>
      </xdr:nvCxnSpPr>
      <xdr:spPr>
        <a:xfrm>
          <a:off x="11292416" y="159840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489" name="Straight Arrow Connector 3488">
          <a:extLst>
            <a:ext uri="{FF2B5EF4-FFF2-40B4-BE49-F238E27FC236}">
              <a16:creationId xmlns:a16="http://schemas.microsoft.com/office/drawing/2014/main" id="{00000000-0008-0000-1200-0000A10D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3490" name="Straight Arrow Connector 3489">
          <a:extLst>
            <a:ext uri="{FF2B5EF4-FFF2-40B4-BE49-F238E27FC236}">
              <a16:creationId xmlns:a16="http://schemas.microsoft.com/office/drawing/2014/main" id="{00000000-0008-0000-1200-0000A20D0000}"/>
            </a:ext>
          </a:extLst>
        </xdr:cNvPr>
        <xdr:cNvCxnSpPr/>
      </xdr:nvCxnSpPr>
      <xdr:spPr>
        <a:xfrm>
          <a:off x="11302999" y="162496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3491" name="Straight Arrow Connector 3490">
          <a:extLst>
            <a:ext uri="{FF2B5EF4-FFF2-40B4-BE49-F238E27FC236}">
              <a16:creationId xmlns:a16="http://schemas.microsoft.com/office/drawing/2014/main" id="{00000000-0008-0000-1200-0000A30D0000}"/>
            </a:ext>
          </a:extLst>
        </xdr:cNvPr>
        <xdr:cNvCxnSpPr/>
      </xdr:nvCxnSpPr>
      <xdr:spPr>
        <a:xfrm>
          <a:off x="11355916" y="162517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3492" name="Straight Arrow Connector 3491">
          <a:extLst>
            <a:ext uri="{FF2B5EF4-FFF2-40B4-BE49-F238E27FC236}">
              <a16:creationId xmlns:a16="http://schemas.microsoft.com/office/drawing/2014/main" id="{00000000-0008-0000-1200-0000A40D0000}"/>
            </a:ext>
          </a:extLst>
        </xdr:cNvPr>
        <xdr:cNvCxnSpPr/>
      </xdr:nvCxnSpPr>
      <xdr:spPr>
        <a:xfrm>
          <a:off x="11313583" y="162549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3493" name="Straight Arrow Connector 3492">
          <a:extLst>
            <a:ext uri="{FF2B5EF4-FFF2-40B4-BE49-F238E27FC236}">
              <a16:creationId xmlns:a16="http://schemas.microsoft.com/office/drawing/2014/main" id="{00000000-0008-0000-1200-0000A50D0000}"/>
            </a:ext>
          </a:extLst>
        </xdr:cNvPr>
        <xdr:cNvCxnSpPr/>
      </xdr:nvCxnSpPr>
      <xdr:spPr>
        <a:xfrm flipV="1">
          <a:off x="11302999" y="165279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3494" name="Straight Arrow Connector 3493">
          <a:extLst>
            <a:ext uri="{FF2B5EF4-FFF2-40B4-BE49-F238E27FC236}">
              <a16:creationId xmlns:a16="http://schemas.microsoft.com/office/drawing/2014/main" id="{00000000-0008-0000-1200-0000A60D0000}"/>
            </a:ext>
          </a:extLst>
        </xdr:cNvPr>
        <xdr:cNvCxnSpPr/>
      </xdr:nvCxnSpPr>
      <xdr:spPr>
        <a:xfrm flipV="1">
          <a:off x="11345333" y="165639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3495" name="Straight Arrow Connector 3494">
          <a:extLst>
            <a:ext uri="{FF2B5EF4-FFF2-40B4-BE49-F238E27FC236}">
              <a16:creationId xmlns:a16="http://schemas.microsoft.com/office/drawing/2014/main" id="{00000000-0008-0000-1200-0000A70D0000}"/>
            </a:ext>
          </a:extLst>
        </xdr:cNvPr>
        <xdr:cNvCxnSpPr/>
      </xdr:nvCxnSpPr>
      <xdr:spPr>
        <a:xfrm>
          <a:off x="11334749" y="166041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3496" name="Straight Arrow Connector 3495">
          <a:extLst>
            <a:ext uri="{FF2B5EF4-FFF2-40B4-BE49-F238E27FC236}">
              <a16:creationId xmlns:a16="http://schemas.microsoft.com/office/drawing/2014/main" id="{00000000-0008-0000-1200-0000A80D0000}"/>
            </a:ext>
          </a:extLst>
        </xdr:cNvPr>
        <xdr:cNvCxnSpPr/>
      </xdr:nvCxnSpPr>
      <xdr:spPr>
        <a:xfrm>
          <a:off x="11313583" y="168137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3497" name="Straight Arrow Connector 3496">
          <a:extLst>
            <a:ext uri="{FF2B5EF4-FFF2-40B4-BE49-F238E27FC236}">
              <a16:creationId xmlns:a16="http://schemas.microsoft.com/office/drawing/2014/main" id="{00000000-0008-0000-1200-0000A90D0000}"/>
            </a:ext>
          </a:extLst>
        </xdr:cNvPr>
        <xdr:cNvCxnSpPr/>
      </xdr:nvCxnSpPr>
      <xdr:spPr>
        <a:xfrm flipV="1">
          <a:off x="11324166" y="161977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3498" name="Straight Arrow Connector 3497">
          <a:extLst>
            <a:ext uri="{FF2B5EF4-FFF2-40B4-BE49-F238E27FC236}">
              <a16:creationId xmlns:a16="http://schemas.microsoft.com/office/drawing/2014/main" id="{00000000-0008-0000-1200-0000AA0D0000}"/>
            </a:ext>
          </a:extLst>
        </xdr:cNvPr>
        <xdr:cNvCxnSpPr/>
      </xdr:nvCxnSpPr>
      <xdr:spPr>
        <a:xfrm>
          <a:off x="7926917" y="16863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3499" name="Straight Arrow Connector 3498">
          <a:extLst>
            <a:ext uri="{FF2B5EF4-FFF2-40B4-BE49-F238E27FC236}">
              <a16:creationId xmlns:a16="http://schemas.microsoft.com/office/drawing/2014/main" id="{00000000-0008-0000-1200-0000AB0D0000}"/>
            </a:ext>
          </a:extLst>
        </xdr:cNvPr>
        <xdr:cNvCxnSpPr/>
      </xdr:nvCxnSpPr>
      <xdr:spPr>
        <a:xfrm flipV="1">
          <a:off x="9133417" y="166708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3500" name="Straight Arrow Connector 3499">
          <a:extLst>
            <a:ext uri="{FF2B5EF4-FFF2-40B4-BE49-F238E27FC236}">
              <a16:creationId xmlns:a16="http://schemas.microsoft.com/office/drawing/2014/main" id="{00000000-0008-0000-1200-0000AC0D0000}"/>
            </a:ext>
          </a:extLst>
        </xdr:cNvPr>
        <xdr:cNvCxnSpPr/>
      </xdr:nvCxnSpPr>
      <xdr:spPr>
        <a:xfrm>
          <a:off x="9122833" y="167661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3501" name="Straight Arrow Connector 3500">
          <a:extLst>
            <a:ext uri="{FF2B5EF4-FFF2-40B4-BE49-F238E27FC236}">
              <a16:creationId xmlns:a16="http://schemas.microsoft.com/office/drawing/2014/main" id="{00000000-0008-0000-1200-0000AD0D0000}"/>
            </a:ext>
          </a:extLst>
        </xdr:cNvPr>
        <xdr:cNvCxnSpPr/>
      </xdr:nvCxnSpPr>
      <xdr:spPr>
        <a:xfrm flipV="1">
          <a:off x="9525000" y="17070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3502" name="Straight Arrow Connector 3501">
          <a:extLst>
            <a:ext uri="{FF2B5EF4-FFF2-40B4-BE49-F238E27FC236}">
              <a16:creationId xmlns:a16="http://schemas.microsoft.com/office/drawing/2014/main" id="{00000000-0008-0000-1200-0000AE0D0000}"/>
            </a:ext>
          </a:extLst>
        </xdr:cNvPr>
        <xdr:cNvCxnSpPr/>
      </xdr:nvCxnSpPr>
      <xdr:spPr>
        <a:xfrm>
          <a:off x="9535583" y="171640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3503" name="Straight Arrow Connector 3502">
          <a:extLst>
            <a:ext uri="{FF2B5EF4-FFF2-40B4-BE49-F238E27FC236}">
              <a16:creationId xmlns:a16="http://schemas.microsoft.com/office/drawing/2014/main" id="{00000000-0008-0000-1200-0000AF0D0000}"/>
            </a:ext>
          </a:extLst>
        </xdr:cNvPr>
        <xdr:cNvCxnSpPr/>
      </xdr:nvCxnSpPr>
      <xdr:spPr>
        <a:xfrm>
          <a:off x="11334749" y="166020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1773</xdr:row>
      <xdr:rowOff>52916</xdr:rowOff>
    </xdr:from>
    <xdr:to>
      <xdr:col>16</xdr:col>
      <xdr:colOff>0</xdr:colOff>
      <xdr:row>1775</xdr:row>
      <xdr:rowOff>0</xdr:rowOff>
    </xdr:to>
    <xdr:cxnSp macro="">
      <xdr:nvCxnSpPr>
        <xdr:cNvPr id="3504" name="Straight Arrow Connector 3503">
          <a:extLst>
            <a:ext uri="{FF2B5EF4-FFF2-40B4-BE49-F238E27FC236}">
              <a16:creationId xmlns:a16="http://schemas.microsoft.com/office/drawing/2014/main" id="{00000000-0008-0000-1200-0000B00D0000}"/>
            </a:ext>
          </a:extLst>
        </xdr:cNvPr>
        <xdr:cNvCxnSpPr/>
      </xdr:nvCxnSpPr>
      <xdr:spPr>
        <a:xfrm flipV="1">
          <a:off x="11281833" y="167692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3505" name="Straight Arrow Connector 3504">
          <a:extLst>
            <a:ext uri="{FF2B5EF4-FFF2-40B4-BE49-F238E27FC236}">
              <a16:creationId xmlns:a16="http://schemas.microsoft.com/office/drawing/2014/main" id="{00000000-0008-0000-1200-0000B10D0000}"/>
            </a:ext>
          </a:extLst>
        </xdr:cNvPr>
        <xdr:cNvCxnSpPr/>
      </xdr:nvCxnSpPr>
      <xdr:spPr>
        <a:xfrm>
          <a:off x="11271250" y="168042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3506" name="Straight Arrow Connector 3505">
          <a:extLst>
            <a:ext uri="{FF2B5EF4-FFF2-40B4-BE49-F238E27FC236}">
              <a16:creationId xmlns:a16="http://schemas.microsoft.com/office/drawing/2014/main" id="{00000000-0008-0000-1200-0000B20D0000}"/>
            </a:ext>
          </a:extLst>
        </xdr:cNvPr>
        <xdr:cNvCxnSpPr/>
      </xdr:nvCxnSpPr>
      <xdr:spPr>
        <a:xfrm>
          <a:off x="11271250" y="168021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3507" name="Straight Arrow Connector 3506">
          <a:extLst>
            <a:ext uri="{FF2B5EF4-FFF2-40B4-BE49-F238E27FC236}">
              <a16:creationId xmlns:a16="http://schemas.microsoft.com/office/drawing/2014/main" id="{00000000-0008-0000-1200-0000B30D0000}"/>
            </a:ext>
          </a:extLst>
        </xdr:cNvPr>
        <xdr:cNvCxnSpPr/>
      </xdr:nvCxnSpPr>
      <xdr:spPr>
        <a:xfrm flipV="1">
          <a:off x="11271250" y="17030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3508" name="Straight Arrow Connector 3507">
          <a:extLst>
            <a:ext uri="{FF2B5EF4-FFF2-40B4-BE49-F238E27FC236}">
              <a16:creationId xmlns:a16="http://schemas.microsoft.com/office/drawing/2014/main" id="{00000000-0008-0000-1200-0000B40D0000}"/>
            </a:ext>
          </a:extLst>
        </xdr:cNvPr>
        <xdr:cNvCxnSpPr/>
      </xdr:nvCxnSpPr>
      <xdr:spPr>
        <a:xfrm>
          <a:off x="11313583" y="17069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3509" name="Straight Arrow Connector 3508">
          <a:extLst>
            <a:ext uri="{FF2B5EF4-FFF2-40B4-BE49-F238E27FC236}">
              <a16:creationId xmlns:a16="http://schemas.microsoft.com/office/drawing/2014/main" id="{00000000-0008-0000-1200-0000B50D0000}"/>
            </a:ext>
          </a:extLst>
        </xdr:cNvPr>
        <xdr:cNvCxnSpPr/>
      </xdr:nvCxnSpPr>
      <xdr:spPr>
        <a:xfrm>
          <a:off x="11292416" y="17069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510" name="Straight Arrow Connector 3509">
          <a:extLst>
            <a:ext uri="{FF2B5EF4-FFF2-40B4-BE49-F238E27FC236}">
              <a16:creationId xmlns:a16="http://schemas.microsoft.com/office/drawing/2014/main" id="{00000000-0008-0000-1200-0000B60D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3511" name="Straight Arrow Connector 3510">
          <a:extLst>
            <a:ext uri="{FF2B5EF4-FFF2-40B4-BE49-F238E27FC236}">
              <a16:creationId xmlns:a16="http://schemas.microsoft.com/office/drawing/2014/main" id="{00000000-0008-0000-1200-0000B70D0000}"/>
            </a:ext>
          </a:extLst>
        </xdr:cNvPr>
        <xdr:cNvCxnSpPr/>
      </xdr:nvCxnSpPr>
      <xdr:spPr>
        <a:xfrm>
          <a:off x="11302999" y="173355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3512" name="Straight Arrow Connector 3511">
          <a:extLst>
            <a:ext uri="{FF2B5EF4-FFF2-40B4-BE49-F238E27FC236}">
              <a16:creationId xmlns:a16="http://schemas.microsoft.com/office/drawing/2014/main" id="{00000000-0008-0000-1200-0000B80D0000}"/>
            </a:ext>
          </a:extLst>
        </xdr:cNvPr>
        <xdr:cNvCxnSpPr/>
      </xdr:nvCxnSpPr>
      <xdr:spPr>
        <a:xfrm>
          <a:off x="11355916" y="17337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3513" name="Straight Arrow Connector 3512">
          <a:extLst>
            <a:ext uri="{FF2B5EF4-FFF2-40B4-BE49-F238E27FC236}">
              <a16:creationId xmlns:a16="http://schemas.microsoft.com/office/drawing/2014/main" id="{00000000-0008-0000-1200-0000B90D0000}"/>
            </a:ext>
          </a:extLst>
        </xdr:cNvPr>
        <xdr:cNvCxnSpPr/>
      </xdr:nvCxnSpPr>
      <xdr:spPr>
        <a:xfrm>
          <a:off x="11313583" y="17340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3514" name="Straight Arrow Connector 3513">
          <a:extLst>
            <a:ext uri="{FF2B5EF4-FFF2-40B4-BE49-F238E27FC236}">
              <a16:creationId xmlns:a16="http://schemas.microsoft.com/office/drawing/2014/main" id="{00000000-0008-0000-1200-0000BA0D0000}"/>
            </a:ext>
          </a:extLst>
        </xdr:cNvPr>
        <xdr:cNvCxnSpPr/>
      </xdr:nvCxnSpPr>
      <xdr:spPr>
        <a:xfrm flipV="1">
          <a:off x="11324166" y="17283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3515" name="Straight Arrow Connector 3514">
          <a:extLst>
            <a:ext uri="{FF2B5EF4-FFF2-40B4-BE49-F238E27FC236}">
              <a16:creationId xmlns:a16="http://schemas.microsoft.com/office/drawing/2014/main" id="{00000000-0008-0000-1200-0000BB0D0000}"/>
            </a:ext>
          </a:extLst>
        </xdr:cNvPr>
        <xdr:cNvCxnSpPr/>
      </xdr:nvCxnSpPr>
      <xdr:spPr>
        <a:xfrm flipV="1">
          <a:off x="5492750" y="1555750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3517" name="Straight Arrow Connector 3516">
          <a:extLst>
            <a:ext uri="{FF2B5EF4-FFF2-40B4-BE49-F238E27FC236}">
              <a16:creationId xmlns:a16="http://schemas.microsoft.com/office/drawing/2014/main" id="{00000000-0008-0000-1200-0000BD0D0000}"/>
            </a:ext>
          </a:extLst>
        </xdr:cNvPr>
        <xdr:cNvCxnSpPr/>
      </xdr:nvCxnSpPr>
      <xdr:spPr>
        <a:xfrm>
          <a:off x="11324166" y="18129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1040</xdr:row>
      <xdr:rowOff>169333</xdr:rowOff>
    </xdr:from>
    <xdr:to>
      <xdr:col>11</xdr:col>
      <xdr:colOff>603250</xdr:colOff>
      <xdr:row>1043</xdr:row>
      <xdr:rowOff>21167</xdr:rowOff>
    </xdr:to>
    <xdr:cxnSp macro="">
      <xdr:nvCxnSpPr>
        <xdr:cNvPr id="3518" name="Straight Arrow Connector 3517">
          <a:extLst>
            <a:ext uri="{FF2B5EF4-FFF2-40B4-BE49-F238E27FC236}">
              <a16:creationId xmlns:a16="http://schemas.microsoft.com/office/drawing/2014/main" id="{00000000-0008-0000-1200-0000BE0D0000}"/>
            </a:ext>
          </a:extLst>
        </xdr:cNvPr>
        <xdr:cNvCxnSpPr/>
      </xdr:nvCxnSpPr>
      <xdr:spPr>
        <a:xfrm flipV="1">
          <a:off x="7937500" y="25886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1046</xdr:row>
      <xdr:rowOff>42333</xdr:rowOff>
    </xdr:from>
    <xdr:to>
      <xdr:col>11</xdr:col>
      <xdr:colOff>603250</xdr:colOff>
      <xdr:row>1058</xdr:row>
      <xdr:rowOff>10583</xdr:rowOff>
    </xdr:to>
    <xdr:cxnSp macro="">
      <xdr:nvCxnSpPr>
        <xdr:cNvPr id="3519" name="Straight Arrow Connector 3518">
          <a:extLst>
            <a:ext uri="{FF2B5EF4-FFF2-40B4-BE49-F238E27FC236}">
              <a16:creationId xmlns:a16="http://schemas.microsoft.com/office/drawing/2014/main" id="{00000000-0008-0000-1200-0000BF0D0000}"/>
            </a:ext>
          </a:extLst>
        </xdr:cNvPr>
        <xdr:cNvCxnSpPr/>
      </xdr:nvCxnSpPr>
      <xdr:spPr>
        <a:xfrm>
          <a:off x="7926917" y="26902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1036</xdr:row>
      <xdr:rowOff>21167</xdr:rowOff>
    </xdr:from>
    <xdr:to>
      <xdr:col>13</xdr:col>
      <xdr:colOff>592667</xdr:colOff>
      <xdr:row>1038</xdr:row>
      <xdr:rowOff>0</xdr:rowOff>
    </xdr:to>
    <xdr:cxnSp macro="">
      <xdr:nvCxnSpPr>
        <xdr:cNvPr id="3520" name="Straight Arrow Connector 3519">
          <a:extLst>
            <a:ext uri="{FF2B5EF4-FFF2-40B4-BE49-F238E27FC236}">
              <a16:creationId xmlns:a16="http://schemas.microsoft.com/office/drawing/2014/main" id="{00000000-0008-0000-1200-0000C00D0000}"/>
            </a:ext>
          </a:extLst>
        </xdr:cNvPr>
        <xdr:cNvCxnSpPr/>
      </xdr:nvCxnSpPr>
      <xdr:spPr>
        <a:xfrm flipV="1">
          <a:off x="9133417" y="24976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1041</xdr:row>
      <xdr:rowOff>21166</xdr:rowOff>
    </xdr:from>
    <xdr:to>
      <xdr:col>13</xdr:col>
      <xdr:colOff>592667</xdr:colOff>
      <xdr:row>1042</xdr:row>
      <xdr:rowOff>169334</xdr:rowOff>
    </xdr:to>
    <xdr:cxnSp macro="">
      <xdr:nvCxnSpPr>
        <xdr:cNvPr id="3521" name="Straight Arrow Connector 3520">
          <a:extLst>
            <a:ext uri="{FF2B5EF4-FFF2-40B4-BE49-F238E27FC236}">
              <a16:creationId xmlns:a16="http://schemas.microsoft.com/office/drawing/2014/main" id="{00000000-0008-0000-1200-0000C10D0000}"/>
            </a:ext>
          </a:extLst>
        </xdr:cNvPr>
        <xdr:cNvCxnSpPr/>
      </xdr:nvCxnSpPr>
      <xdr:spPr>
        <a:xfrm>
          <a:off x="9122833" y="25929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1056</xdr:row>
      <xdr:rowOff>21167</xdr:rowOff>
    </xdr:from>
    <xdr:to>
      <xdr:col>13</xdr:col>
      <xdr:colOff>592667</xdr:colOff>
      <xdr:row>1058</xdr:row>
      <xdr:rowOff>63500</xdr:rowOff>
    </xdr:to>
    <xdr:cxnSp macro="">
      <xdr:nvCxnSpPr>
        <xdr:cNvPr id="3522" name="Straight Arrow Connector 3521">
          <a:extLst>
            <a:ext uri="{FF2B5EF4-FFF2-40B4-BE49-F238E27FC236}">
              <a16:creationId xmlns:a16="http://schemas.microsoft.com/office/drawing/2014/main" id="{00000000-0008-0000-1200-0000C20D0000}"/>
            </a:ext>
          </a:extLst>
        </xdr:cNvPr>
        <xdr:cNvCxnSpPr/>
      </xdr:nvCxnSpPr>
      <xdr:spPr>
        <a:xfrm flipV="1">
          <a:off x="9525000" y="28977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1061</xdr:row>
      <xdr:rowOff>0</xdr:rowOff>
    </xdr:from>
    <xdr:to>
      <xdr:col>14</xdr:col>
      <xdr:colOff>10584</xdr:colOff>
      <xdr:row>1069</xdr:row>
      <xdr:rowOff>148167</xdr:rowOff>
    </xdr:to>
    <xdr:cxnSp macro="">
      <xdr:nvCxnSpPr>
        <xdr:cNvPr id="3523" name="Straight Arrow Connector 3522">
          <a:extLst>
            <a:ext uri="{FF2B5EF4-FFF2-40B4-BE49-F238E27FC236}">
              <a16:creationId xmlns:a16="http://schemas.microsoft.com/office/drawing/2014/main" id="{00000000-0008-0000-1200-0000C30D0000}"/>
            </a:ext>
          </a:extLst>
        </xdr:cNvPr>
        <xdr:cNvCxnSpPr/>
      </xdr:nvCxnSpPr>
      <xdr:spPr>
        <a:xfrm>
          <a:off x="9535583" y="29908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1028</xdr:row>
      <xdr:rowOff>0</xdr:rowOff>
    </xdr:from>
    <xdr:to>
      <xdr:col>15</xdr:col>
      <xdr:colOff>603250</xdr:colOff>
      <xdr:row>1033</xdr:row>
      <xdr:rowOff>31750</xdr:rowOff>
    </xdr:to>
    <xdr:cxnSp macro="">
      <xdr:nvCxnSpPr>
        <xdr:cNvPr id="3524" name="Straight Arrow Connector 3523">
          <a:extLst>
            <a:ext uri="{FF2B5EF4-FFF2-40B4-BE49-F238E27FC236}">
              <a16:creationId xmlns:a16="http://schemas.microsoft.com/office/drawing/2014/main" id="{00000000-0008-0000-1200-0000C40D0000}"/>
            </a:ext>
          </a:extLst>
        </xdr:cNvPr>
        <xdr:cNvCxnSpPr/>
      </xdr:nvCxnSpPr>
      <xdr:spPr>
        <a:xfrm flipV="1">
          <a:off x="11281833" y="23431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1031</xdr:row>
      <xdr:rowOff>52917</xdr:rowOff>
    </xdr:from>
    <xdr:to>
      <xdr:col>15</xdr:col>
      <xdr:colOff>603250</xdr:colOff>
      <xdr:row>1033</xdr:row>
      <xdr:rowOff>95250</xdr:rowOff>
    </xdr:to>
    <xdr:cxnSp macro="">
      <xdr:nvCxnSpPr>
        <xdr:cNvPr id="3525" name="Straight Arrow Connector 3524">
          <a:extLst>
            <a:ext uri="{FF2B5EF4-FFF2-40B4-BE49-F238E27FC236}">
              <a16:creationId xmlns:a16="http://schemas.microsoft.com/office/drawing/2014/main" id="{00000000-0008-0000-1200-0000C50D0000}"/>
            </a:ext>
          </a:extLst>
        </xdr:cNvPr>
        <xdr:cNvCxnSpPr/>
      </xdr:nvCxnSpPr>
      <xdr:spPr>
        <a:xfrm flipV="1">
          <a:off x="11324166" y="24055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1033</xdr:row>
      <xdr:rowOff>158750</xdr:rowOff>
    </xdr:from>
    <xdr:to>
      <xdr:col>15</xdr:col>
      <xdr:colOff>582083</xdr:colOff>
      <xdr:row>1034</xdr:row>
      <xdr:rowOff>137583</xdr:rowOff>
    </xdr:to>
    <xdr:cxnSp macro="">
      <xdr:nvCxnSpPr>
        <xdr:cNvPr id="3526" name="Straight Arrow Connector 3525">
          <a:extLst>
            <a:ext uri="{FF2B5EF4-FFF2-40B4-BE49-F238E27FC236}">
              <a16:creationId xmlns:a16="http://schemas.microsoft.com/office/drawing/2014/main" id="{00000000-0008-0000-1200-0000C60D0000}"/>
            </a:ext>
          </a:extLst>
        </xdr:cNvPr>
        <xdr:cNvCxnSpPr/>
      </xdr:nvCxnSpPr>
      <xdr:spPr>
        <a:xfrm>
          <a:off x="11345333" y="24542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1033</xdr:row>
      <xdr:rowOff>105834</xdr:rowOff>
    </xdr:from>
    <xdr:to>
      <xdr:col>16</xdr:col>
      <xdr:colOff>0</xdr:colOff>
      <xdr:row>1037</xdr:row>
      <xdr:rowOff>84667</xdr:rowOff>
    </xdr:to>
    <xdr:cxnSp macro="">
      <xdr:nvCxnSpPr>
        <xdr:cNvPr id="3527" name="Straight Arrow Connector 3526">
          <a:extLst>
            <a:ext uri="{FF2B5EF4-FFF2-40B4-BE49-F238E27FC236}">
              <a16:creationId xmlns:a16="http://schemas.microsoft.com/office/drawing/2014/main" id="{00000000-0008-0000-1200-0000C70D0000}"/>
            </a:ext>
          </a:extLst>
        </xdr:cNvPr>
        <xdr:cNvCxnSpPr/>
      </xdr:nvCxnSpPr>
      <xdr:spPr>
        <a:xfrm>
          <a:off x="11260667" y="24489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1041</xdr:row>
      <xdr:rowOff>52916</xdr:rowOff>
    </xdr:from>
    <xdr:to>
      <xdr:col>16</xdr:col>
      <xdr:colOff>0</xdr:colOff>
      <xdr:row>1043</xdr:row>
      <xdr:rowOff>0</xdr:rowOff>
    </xdr:to>
    <xdr:cxnSp macro="">
      <xdr:nvCxnSpPr>
        <xdr:cNvPr id="3528" name="Straight Arrow Connector 3527">
          <a:extLst>
            <a:ext uri="{FF2B5EF4-FFF2-40B4-BE49-F238E27FC236}">
              <a16:creationId xmlns:a16="http://schemas.microsoft.com/office/drawing/2014/main" id="{00000000-0008-0000-1200-0000C80D0000}"/>
            </a:ext>
          </a:extLst>
        </xdr:cNvPr>
        <xdr:cNvCxnSpPr/>
      </xdr:nvCxnSpPr>
      <xdr:spPr>
        <a:xfrm flipV="1">
          <a:off x="11281833" y="25960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1043</xdr:row>
      <xdr:rowOff>21167</xdr:rowOff>
    </xdr:from>
    <xdr:to>
      <xdr:col>15</xdr:col>
      <xdr:colOff>582083</xdr:colOff>
      <xdr:row>1044</xdr:row>
      <xdr:rowOff>42333</xdr:rowOff>
    </xdr:to>
    <xdr:cxnSp macro="">
      <xdr:nvCxnSpPr>
        <xdr:cNvPr id="3529" name="Straight Arrow Connector 3528">
          <a:extLst>
            <a:ext uri="{FF2B5EF4-FFF2-40B4-BE49-F238E27FC236}">
              <a16:creationId xmlns:a16="http://schemas.microsoft.com/office/drawing/2014/main" id="{00000000-0008-0000-1200-0000C90D0000}"/>
            </a:ext>
          </a:extLst>
        </xdr:cNvPr>
        <xdr:cNvCxnSpPr/>
      </xdr:nvCxnSpPr>
      <xdr:spPr>
        <a:xfrm>
          <a:off x="11292416" y="26310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1043</xdr:row>
      <xdr:rowOff>21167</xdr:rowOff>
    </xdr:from>
    <xdr:to>
      <xdr:col>16</xdr:col>
      <xdr:colOff>42333</xdr:colOff>
      <xdr:row>1048</xdr:row>
      <xdr:rowOff>21168</xdr:rowOff>
    </xdr:to>
    <xdr:cxnSp macro="">
      <xdr:nvCxnSpPr>
        <xdr:cNvPr id="3530" name="Straight Arrow Connector 3529">
          <a:extLst>
            <a:ext uri="{FF2B5EF4-FFF2-40B4-BE49-F238E27FC236}">
              <a16:creationId xmlns:a16="http://schemas.microsoft.com/office/drawing/2014/main" id="{00000000-0008-0000-1200-0000CA0D0000}"/>
            </a:ext>
          </a:extLst>
        </xdr:cNvPr>
        <xdr:cNvCxnSpPr/>
      </xdr:nvCxnSpPr>
      <xdr:spPr>
        <a:xfrm>
          <a:off x="11271250" y="26310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1043</xdr:row>
      <xdr:rowOff>31750</xdr:rowOff>
    </xdr:from>
    <xdr:to>
      <xdr:col>16</xdr:col>
      <xdr:colOff>42334</xdr:colOff>
      <xdr:row>1050</xdr:row>
      <xdr:rowOff>63501</xdr:rowOff>
    </xdr:to>
    <xdr:cxnSp macro="">
      <xdr:nvCxnSpPr>
        <xdr:cNvPr id="3531" name="Straight Arrow Connector 3530">
          <a:extLst>
            <a:ext uri="{FF2B5EF4-FFF2-40B4-BE49-F238E27FC236}">
              <a16:creationId xmlns:a16="http://schemas.microsoft.com/office/drawing/2014/main" id="{00000000-0008-0000-1200-0000CB0D0000}"/>
            </a:ext>
          </a:extLst>
        </xdr:cNvPr>
        <xdr:cNvCxnSpPr/>
      </xdr:nvCxnSpPr>
      <xdr:spPr>
        <a:xfrm>
          <a:off x="11281833" y="263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1096</xdr:row>
      <xdr:rowOff>158750</xdr:rowOff>
    </xdr:from>
    <xdr:to>
      <xdr:col>11</xdr:col>
      <xdr:colOff>571500</xdr:colOff>
      <xdr:row>1099</xdr:row>
      <xdr:rowOff>0</xdr:rowOff>
    </xdr:to>
    <xdr:cxnSp macro="">
      <xdr:nvCxnSpPr>
        <xdr:cNvPr id="3532" name="Straight Arrow Connector 3531">
          <a:extLst>
            <a:ext uri="{FF2B5EF4-FFF2-40B4-BE49-F238E27FC236}">
              <a16:creationId xmlns:a16="http://schemas.microsoft.com/office/drawing/2014/main" id="{00000000-0008-0000-1200-0000CC0D0000}"/>
            </a:ext>
          </a:extLst>
        </xdr:cNvPr>
        <xdr:cNvCxnSpPr/>
      </xdr:nvCxnSpPr>
      <xdr:spPr>
        <a:xfrm flipV="1">
          <a:off x="7874000" y="36734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1054</xdr:row>
      <xdr:rowOff>0</xdr:rowOff>
    </xdr:from>
    <xdr:to>
      <xdr:col>15</xdr:col>
      <xdr:colOff>603250</xdr:colOff>
      <xdr:row>1056</xdr:row>
      <xdr:rowOff>1</xdr:rowOff>
    </xdr:to>
    <xdr:cxnSp macro="">
      <xdr:nvCxnSpPr>
        <xdr:cNvPr id="3533" name="Straight Arrow Connector 3532">
          <a:extLst>
            <a:ext uri="{FF2B5EF4-FFF2-40B4-BE49-F238E27FC236}">
              <a16:creationId xmlns:a16="http://schemas.microsoft.com/office/drawing/2014/main" id="{00000000-0008-0000-1200-0000CD0D0000}"/>
            </a:ext>
          </a:extLst>
        </xdr:cNvPr>
        <xdr:cNvCxnSpPr/>
      </xdr:nvCxnSpPr>
      <xdr:spPr>
        <a:xfrm flipV="1">
          <a:off x="11271250" y="28575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1056</xdr:row>
      <xdr:rowOff>10584</xdr:rowOff>
    </xdr:from>
    <xdr:to>
      <xdr:col>15</xdr:col>
      <xdr:colOff>592666</xdr:colOff>
      <xdr:row>1057</xdr:row>
      <xdr:rowOff>95250</xdr:rowOff>
    </xdr:to>
    <xdr:cxnSp macro="">
      <xdr:nvCxnSpPr>
        <xdr:cNvPr id="3534" name="Straight Arrow Connector 3533">
          <a:extLst>
            <a:ext uri="{FF2B5EF4-FFF2-40B4-BE49-F238E27FC236}">
              <a16:creationId xmlns:a16="http://schemas.microsoft.com/office/drawing/2014/main" id="{00000000-0008-0000-1200-0000CE0D0000}"/>
            </a:ext>
          </a:extLst>
        </xdr:cNvPr>
        <xdr:cNvCxnSpPr/>
      </xdr:nvCxnSpPr>
      <xdr:spPr>
        <a:xfrm>
          <a:off x="11313583" y="28966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1056</xdr:row>
      <xdr:rowOff>10584</xdr:rowOff>
    </xdr:from>
    <xdr:to>
      <xdr:col>15</xdr:col>
      <xdr:colOff>560916</xdr:colOff>
      <xdr:row>1060</xdr:row>
      <xdr:rowOff>52917</xdr:rowOff>
    </xdr:to>
    <xdr:cxnSp macro="">
      <xdr:nvCxnSpPr>
        <xdr:cNvPr id="3535" name="Straight Arrow Connector 3534">
          <a:extLst>
            <a:ext uri="{FF2B5EF4-FFF2-40B4-BE49-F238E27FC236}">
              <a16:creationId xmlns:a16="http://schemas.microsoft.com/office/drawing/2014/main" id="{00000000-0008-0000-1200-0000CF0D0000}"/>
            </a:ext>
          </a:extLst>
        </xdr:cNvPr>
        <xdr:cNvCxnSpPr/>
      </xdr:nvCxnSpPr>
      <xdr:spPr>
        <a:xfrm>
          <a:off x="11292416" y="28966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3536" name="Straight Arrow Connector 3535">
          <a:extLst>
            <a:ext uri="{FF2B5EF4-FFF2-40B4-BE49-F238E27FC236}">
              <a16:creationId xmlns:a16="http://schemas.microsoft.com/office/drawing/2014/main" id="{00000000-0008-0000-1200-0000D00D0000}"/>
            </a:ext>
          </a:extLst>
        </xdr:cNvPr>
        <xdr:cNvCxnSpPr/>
      </xdr:nvCxnSpPr>
      <xdr:spPr>
        <a:xfrm>
          <a:off x="11324166" y="28987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1070</xdr:row>
      <xdr:rowOff>0</xdr:rowOff>
    </xdr:from>
    <xdr:to>
      <xdr:col>16</xdr:col>
      <xdr:colOff>0</xdr:colOff>
      <xdr:row>1070</xdr:row>
      <xdr:rowOff>42334</xdr:rowOff>
    </xdr:to>
    <xdr:cxnSp macro="">
      <xdr:nvCxnSpPr>
        <xdr:cNvPr id="3537" name="Straight Arrow Connector 3536">
          <a:extLst>
            <a:ext uri="{FF2B5EF4-FFF2-40B4-BE49-F238E27FC236}">
              <a16:creationId xmlns:a16="http://schemas.microsoft.com/office/drawing/2014/main" id="{00000000-0008-0000-1200-0000D10D0000}"/>
            </a:ext>
          </a:extLst>
        </xdr:cNvPr>
        <xdr:cNvCxnSpPr/>
      </xdr:nvCxnSpPr>
      <xdr:spPr>
        <a:xfrm>
          <a:off x="11302999" y="31623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1070</xdr:row>
      <xdr:rowOff>21166</xdr:rowOff>
    </xdr:from>
    <xdr:to>
      <xdr:col>15</xdr:col>
      <xdr:colOff>560916</xdr:colOff>
      <xdr:row>1073</xdr:row>
      <xdr:rowOff>84667</xdr:rowOff>
    </xdr:to>
    <xdr:cxnSp macro="">
      <xdr:nvCxnSpPr>
        <xdr:cNvPr id="3538" name="Straight Arrow Connector 3537">
          <a:extLst>
            <a:ext uri="{FF2B5EF4-FFF2-40B4-BE49-F238E27FC236}">
              <a16:creationId xmlns:a16="http://schemas.microsoft.com/office/drawing/2014/main" id="{00000000-0008-0000-1200-0000D20D0000}"/>
            </a:ext>
          </a:extLst>
        </xdr:cNvPr>
        <xdr:cNvCxnSpPr/>
      </xdr:nvCxnSpPr>
      <xdr:spPr>
        <a:xfrm>
          <a:off x="11355916" y="31644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1070</xdr:row>
      <xdr:rowOff>52916</xdr:rowOff>
    </xdr:from>
    <xdr:to>
      <xdr:col>15</xdr:col>
      <xdr:colOff>592666</xdr:colOff>
      <xdr:row>1076</xdr:row>
      <xdr:rowOff>63501</xdr:rowOff>
    </xdr:to>
    <xdr:cxnSp macro="">
      <xdr:nvCxnSpPr>
        <xdr:cNvPr id="3539" name="Straight Arrow Connector 3538">
          <a:extLst>
            <a:ext uri="{FF2B5EF4-FFF2-40B4-BE49-F238E27FC236}">
              <a16:creationId xmlns:a16="http://schemas.microsoft.com/office/drawing/2014/main" id="{00000000-0008-0000-1200-0000D30D0000}"/>
            </a:ext>
          </a:extLst>
        </xdr:cNvPr>
        <xdr:cNvCxnSpPr/>
      </xdr:nvCxnSpPr>
      <xdr:spPr>
        <a:xfrm>
          <a:off x="11313583" y="31675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1084</xdr:row>
      <xdr:rowOff>116416</xdr:rowOff>
    </xdr:from>
    <xdr:to>
      <xdr:col>15</xdr:col>
      <xdr:colOff>592666</xdr:colOff>
      <xdr:row>1087</xdr:row>
      <xdr:rowOff>158750</xdr:rowOff>
    </xdr:to>
    <xdr:cxnSp macro="">
      <xdr:nvCxnSpPr>
        <xdr:cNvPr id="3540" name="Straight Arrow Connector 3539">
          <a:extLst>
            <a:ext uri="{FF2B5EF4-FFF2-40B4-BE49-F238E27FC236}">
              <a16:creationId xmlns:a16="http://schemas.microsoft.com/office/drawing/2014/main" id="{00000000-0008-0000-1200-0000D40D0000}"/>
            </a:ext>
          </a:extLst>
        </xdr:cNvPr>
        <xdr:cNvCxnSpPr/>
      </xdr:nvCxnSpPr>
      <xdr:spPr>
        <a:xfrm flipV="1">
          <a:off x="11302999" y="34406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1086</xdr:row>
      <xdr:rowOff>95250</xdr:rowOff>
    </xdr:from>
    <xdr:to>
      <xdr:col>15</xdr:col>
      <xdr:colOff>582083</xdr:colOff>
      <xdr:row>1088</xdr:row>
      <xdr:rowOff>52917</xdr:rowOff>
    </xdr:to>
    <xdr:cxnSp macro="">
      <xdr:nvCxnSpPr>
        <xdr:cNvPr id="3541" name="Straight Arrow Connector 3540">
          <a:extLst>
            <a:ext uri="{FF2B5EF4-FFF2-40B4-BE49-F238E27FC236}">
              <a16:creationId xmlns:a16="http://schemas.microsoft.com/office/drawing/2014/main" id="{00000000-0008-0000-1200-0000D50D0000}"/>
            </a:ext>
          </a:extLst>
        </xdr:cNvPr>
        <xdr:cNvCxnSpPr/>
      </xdr:nvCxnSpPr>
      <xdr:spPr>
        <a:xfrm flipV="1">
          <a:off x="11345333" y="34766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116417</xdr:rowOff>
    </xdr:from>
    <xdr:to>
      <xdr:col>15</xdr:col>
      <xdr:colOff>592666</xdr:colOff>
      <xdr:row>1092</xdr:row>
      <xdr:rowOff>95250</xdr:rowOff>
    </xdr:to>
    <xdr:cxnSp macro="">
      <xdr:nvCxnSpPr>
        <xdr:cNvPr id="3542" name="Straight Arrow Connector 3541">
          <a:extLst>
            <a:ext uri="{FF2B5EF4-FFF2-40B4-BE49-F238E27FC236}">
              <a16:creationId xmlns:a16="http://schemas.microsoft.com/office/drawing/2014/main" id="{00000000-0008-0000-1200-0000D60D0000}"/>
            </a:ext>
          </a:extLst>
        </xdr:cNvPr>
        <xdr:cNvCxnSpPr/>
      </xdr:nvCxnSpPr>
      <xdr:spPr>
        <a:xfrm>
          <a:off x="11334749" y="35168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1099</xdr:row>
      <xdr:rowOff>116416</xdr:rowOff>
    </xdr:from>
    <xdr:to>
      <xdr:col>16</xdr:col>
      <xdr:colOff>0</xdr:colOff>
      <xdr:row>1106</xdr:row>
      <xdr:rowOff>74084</xdr:rowOff>
    </xdr:to>
    <xdr:cxnSp macro="">
      <xdr:nvCxnSpPr>
        <xdr:cNvPr id="3543" name="Straight Arrow Connector 3542">
          <a:extLst>
            <a:ext uri="{FF2B5EF4-FFF2-40B4-BE49-F238E27FC236}">
              <a16:creationId xmlns:a16="http://schemas.microsoft.com/office/drawing/2014/main" id="{00000000-0008-0000-1200-0000D70D0000}"/>
            </a:ext>
          </a:extLst>
        </xdr:cNvPr>
        <xdr:cNvCxnSpPr/>
      </xdr:nvCxnSpPr>
      <xdr:spPr>
        <a:xfrm>
          <a:off x="11313583" y="37263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1067</xdr:row>
      <xdr:rowOff>52917</xdr:rowOff>
    </xdr:from>
    <xdr:to>
      <xdr:col>15</xdr:col>
      <xdr:colOff>603250</xdr:colOff>
      <xdr:row>1069</xdr:row>
      <xdr:rowOff>148167</xdr:rowOff>
    </xdr:to>
    <xdr:cxnSp macro="">
      <xdr:nvCxnSpPr>
        <xdr:cNvPr id="3544" name="Straight Arrow Connector 3543">
          <a:extLst>
            <a:ext uri="{FF2B5EF4-FFF2-40B4-BE49-F238E27FC236}">
              <a16:creationId xmlns:a16="http://schemas.microsoft.com/office/drawing/2014/main" id="{00000000-0008-0000-1200-0000D80D0000}"/>
            </a:ext>
          </a:extLst>
        </xdr:cNvPr>
        <xdr:cNvCxnSpPr/>
      </xdr:nvCxnSpPr>
      <xdr:spPr>
        <a:xfrm flipV="1">
          <a:off x="11324166" y="31104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1102</xdr:row>
      <xdr:rowOff>42333</xdr:rowOff>
    </xdr:from>
    <xdr:to>
      <xdr:col>11</xdr:col>
      <xdr:colOff>603250</xdr:colOff>
      <xdr:row>1114</xdr:row>
      <xdr:rowOff>10583</xdr:rowOff>
    </xdr:to>
    <xdr:cxnSp macro="">
      <xdr:nvCxnSpPr>
        <xdr:cNvPr id="3545" name="Straight Arrow Connector 3544">
          <a:extLst>
            <a:ext uri="{FF2B5EF4-FFF2-40B4-BE49-F238E27FC236}">
              <a16:creationId xmlns:a16="http://schemas.microsoft.com/office/drawing/2014/main" id="{00000000-0008-0000-1200-0000D90D0000}"/>
            </a:ext>
          </a:extLst>
        </xdr:cNvPr>
        <xdr:cNvCxnSpPr/>
      </xdr:nvCxnSpPr>
      <xdr:spPr>
        <a:xfrm>
          <a:off x="7926917" y="37761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1092</xdr:row>
      <xdr:rowOff>21167</xdr:rowOff>
    </xdr:from>
    <xdr:to>
      <xdr:col>13</xdr:col>
      <xdr:colOff>592667</xdr:colOff>
      <xdr:row>1094</xdr:row>
      <xdr:rowOff>0</xdr:rowOff>
    </xdr:to>
    <xdr:cxnSp macro="">
      <xdr:nvCxnSpPr>
        <xdr:cNvPr id="3546" name="Straight Arrow Connector 3545">
          <a:extLst>
            <a:ext uri="{FF2B5EF4-FFF2-40B4-BE49-F238E27FC236}">
              <a16:creationId xmlns:a16="http://schemas.microsoft.com/office/drawing/2014/main" id="{00000000-0008-0000-1200-0000DA0D0000}"/>
            </a:ext>
          </a:extLst>
        </xdr:cNvPr>
        <xdr:cNvCxnSpPr/>
      </xdr:nvCxnSpPr>
      <xdr:spPr>
        <a:xfrm flipV="1">
          <a:off x="9133417" y="35835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1097</xdr:row>
      <xdr:rowOff>21166</xdr:rowOff>
    </xdr:from>
    <xdr:to>
      <xdr:col>13</xdr:col>
      <xdr:colOff>592667</xdr:colOff>
      <xdr:row>1098</xdr:row>
      <xdr:rowOff>169334</xdr:rowOff>
    </xdr:to>
    <xdr:cxnSp macro="">
      <xdr:nvCxnSpPr>
        <xdr:cNvPr id="3547" name="Straight Arrow Connector 3546">
          <a:extLst>
            <a:ext uri="{FF2B5EF4-FFF2-40B4-BE49-F238E27FC236}">
              <a16:creationId xmlns:a16="http://schemas.microsoft.com/office/drawing/2014/main" id="{00000000-0008-0000-1200-0000DB0D0000}"/>
            </a:ext>
          </a:extLst>
        </xdr:cNvPr>
        <xdr:cNvCxnSpPr/>
      </xdr:nvCxnSpPr>
      <xdr:spPr>
        <a:xfrm>
          <a:off x="9122833" y="36787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1112</xdr:row>
      <xdr:rowOff>21167</xdr:rowOff>
    </xdr:from>
    <xdr:to>
      <xdr:col>13</xdr:col>
      <xdr:colOff>592667</xdr:colOff>
      <xdr:row>1114</xdr:row>
      <xdr:rowOff>63500</xdr:rowOff>
    </xdr:to>
    <xdr:cxnSp macro="">
      <xdr:nvCxnSpPr>
        <xdr:cNvPr id="3548" name="Straight Arrow Connector 3547">
          <a:extLst>
            <a:ext uri="{FF2B5EF4-FFF2-40B4-BE49-F238E27FC236}">
              <a16:creationId xmlns:a16="http://schemas.microsoft.com/office/drawing/2014/main" id="{00000000-0008-0000-1200-0000DC0D0000}"/>
            </a:ext>
          </a:extLst>
        </xdr:cNvPr>
        <xdr:cNvCxnSpPr/>
      </xdr:nvCxnSpPr>
      <xdr:spPr>
        <a:xfrm flipV="1">
          <a:off x="9525000" y="39835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1117</xdr:row>
      <xdr:rowOff>0</xdr:rowOff>
    </xdr:from>
    <xdr:to>
      <xdr:col>14</xdr:col>
      <xdr:colOff>10584</xdr:colOff>
      <xdr:row>1125</xdr:row>
      <xdr:rowOff>148167</xdr:rowOff>
    </xdr:to>
    <xdr:cxnSp macro="">
      <xdr:nvCxnSpPr>
        <xdr:cNvPr id="3549" name="Straight Arrow Connector 3548">
          <a:extLst>
            <a:ext uri="{FF2B5EF4-FFF2-40B4-BE49-F238E27FC236}">
              <a16:creationId xmlns:a16="http://schemas.microsoft.com/office/drawing/2014/main" id="{00000000-0008-0000-1200-0000DD0D0000}"/>
            </a:ext>
          </a:extLst>
        </xdr:cNvPr>
        <xdr:cNvCxnSpPr/>
      </xdr:nvCxnSpPr>
      <xdr:spPr>
        <a:xfrm>
          <a:off x="9535583" y="40767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1088</xdr:row>
      <xdr:rowOff>95250</xdr:rowOff>
    </xdr:from>
    <xdr:to>
      <xdr:col>15</xdr:col>
      <xdr:colOff>582083</xdr:colOff>
      <xdr:row>1090</xdr:row>
      <xdr:rowOff>137583</xdr:rowOff>
    </xdr:to>
    <xdr:cxnSp macro="">
      <xdr:nvCxnSpPr>
        <xdr:cNvPr id="3550" name="Straight Arrow Connector 3549">
          <a:extLst>
            <a:ext uri="{FF2B5EF4-FFF2-40B4-BE49-F238E27FC236}">
              <a16:creationId xmlns:a16="http://schemas.microsoft.com/office/drawing/2014/main" id="{00000000-0008-0000-1200-0000DE0D0000}"/>
            </a:ext>
          </a:extLst>
        </xdr:cNvPr>
        <xdr:cNvCxnSpPr/>
      </xdr:nvCxnSpPr>
      <xdr:spPr>
        <a:xfrm>
          <a:off x="11334749" y="35147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1097</xdr:row>
      <xdr:rowOff>52916</xdr:rowOff>
    </xdr:from>
    <xdr:to>
      <xdr:col>16</xdr:col>
      <xdr:colOff>0</xdr:colOff>
      <xdr:row>1099</xdr:row>
      <xdr:rowOff>0</xdr:rowOff>
    </xdr:to>
    <xdr:cxnSp macro="">
      <xdr:nvCxnSpPr>
        <xdr:cNvPr id="3551" name="Straight Arrow Connector 3550">
          <a:extLst>
            <a:ext uri="{FF2B5EF4-FFF2-40B4-BE49-F238E27FC236}">
              <a16:creationId xmlns:a16="http://schemas.microsoft.com/office/drawing/2014/main" id="{00000000-0008-0000-1200-0000DF0D0000}"/>
            </a:ext>
          </a:extLst>
        </xdr:cNvPr>
        <xdr:cNvCxnSpPr/>
      </xdr:nvCxnSpPr>
      <xdr:spPr>
        <a:xfrm flipV="1">
          <a:off x="11281833" y="36819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21167</xdr:rowOff>
    </xdr:from>
    <xdr:to>
      <xdr:col>15</xdr:col>
      <xdr:colOff>592666</xdr:colOff>
      <xdr:row>1100</xdr:row>
      <xdr:rowOff>84667</xdr:rowOff>
    </xdr:to>
    <xdr:cxnSp macro="">
      <xdr:nvCxnSpPr>
        <xdr:cNvPr id="3552" name="Straight Arrow Connector 3551">
          <a:extLst>
            <a:ext uri="{FF2B5EF4-FFF2-40B4-BE49-F238E27FC236}">
              <a16:creationId xmlns:a16="http://schemas.microsoft.com/office/drawing/2014/main" id="{00000000-0008-0000-1200-0000E00D0000}"/>
            </a:ext>
          </a:extLst>
        </xdr:cNvPr>
        <xdr:cNvCxnSpPr/>
      </xdr:nvCxnSpPr>
      <xdr:spPr>
        <a:xfrm>
          <a:off x="11271250" y="37168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1099</xdr:row>
      <xdr:rowOff>0</xdr:rowOff>
    </xdr:from>
    <xdr:to>
      <xdr:col>16</xdr:col>
      <xdr:colOff>0</xdr:colOff>
      <xdr:row>1103</xdr:row>
      <xdr:rowOff>42334</xdr:rowOff>
    </xdr:to>
    <xdr:cxnSp macro="">
      <xdr:nvCxnSpPr>
        <xdr:cNvPr id="3553" name="Straight Arrow Connector 3552">
          <a:extLst>
            <a:ext uri="{FF2B5EF4-FFF2-40B4-BE49-F238E27FC236}">
              <a16:creationId xmlns:a16="http://schemas.microsoft.com/office/drawing/2014/main" id="{00000000-0008-0000-1200-0000E10D0000}"/>
            </a:ext>
          </a:extLst>
        </xdr:cNvPr>
        <xdr:cNvCxnSpPr/>
      </xdr:nvCxnSpPr>
      <xdr:spPr>
        <a:xfrm>
          <a:off x="11271250" y="37147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1110</xdr:row>
      <xdr:rowOff>0</xdr:rowOff>
    </xdr:from>
    <xdr:to>
      <xdr:col>15</xdr:col>
      <xdr:colOff>603250</xdr:colOff>
      <xdr:row>1112</xdr:row>
      <xdr:rowOff>1</xdr:rowOff>
    </xdr:to>
    <xdr:cxnSp macro="">
      <xdr:nvCxnSpPr>
        <xdr:cNvPr id="3554" name="Straight Arrow Connector 3553">
          <a:extLst>
            <a:ext uri="{FF2B5EF4-FFF2-40B4-BE49-F238E27FC236}">
              <a16:creationId xmlns:a16="http://schemas.microsoft.com/office/drawing/2014/main" id="{00000000-0008-0000-1200-0000E20D0000}"/>
            </a:ext>
          </a:extLst>
        </xdr:cNvPr>
        <xdr:cNvCxnSpPr/>
      </xdr:nvCxnSpPr>
      <xdr:spPr>
        <a:xfrm flipV="1">
          <a:off x="11271250" y="39433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1112</xdr:row>
      <xdr:rowOff>10584</xdr:rowOff>
    </xdr:from>
    <xdr:to>
      <xdr:col>15</xdr:col>
      <xdr:colOff>592666</xdr:colOff>
      <xdr:row>1113</xdr:row>
      <xdr:rowOff>95250</xdr:rowOff>
    </xdr:to>
    <xdr:cxnSp macro="">
      <xdr:nvCxnSpPr>
        <xdr:cNvPr id="3555" name="Straight Arrow Connector 3554">
          <a:extLst>
            <a:ext uri="{FF2B5EF4-FFF2-40B4-BE49-F238E27FC236}">
              <a16:creationId xmlns:a16="http://schemas.microsoft.com/office/drawing/2014/main" id="{00000000-0008-0000-1200-0000E30D0000}"/>
            </a:ext>
          </a:extLst>
        </xdr:cNvPr>
        <xdr:cNvCxnSpPr/>
      </xdr:nvCxnSpPr>
      <xdr:spPr>
        <a:xfrm>
          <a:off x="11313583" y="39825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1112</xdr:row>
      <xdr:rowOff>10584</xdr:rowOff>
    </xdr:from>
    <xdr:to>
      <xdr:col>15</xdr:col>
      <xdr:colOff>560916</xdr:colOff>
      <xdr:row>1116</xdr:row>
      <xdr:rowOff>52917</xdr:rowOff>
    </xdr:to>
    <xdr:cxnSp macro="">
      <xdr:nvCxnSpPr>
        <xdr:cNvPr id="3556" name="Straight Arrow Connector 3555">
          <a:extLst>
            <a:ext uri="{FF2B5EF4-FFF2-40B4-BE49-F238E27FC236}">
              <a16:creationId xmlns:a16="http://schemas.microsoft.com/office/drawing/2014/main" id="{00000000-0008-0000-1200-0000E40D0000}"/>
            </a:ext>
          </a:extLst>
        </xdr:cNvPr>
        <xdr:cNvCxnSpPr/>
      </xdr:nvCxnSpPr>
      <xdr:spPr>
        <a:xfrm>
          <a:off x="11292416" y="39825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3557" name="Straight Arrow Connector 3556">
          <a:extLst>
            <a:ext uri="{FF2B5EF4-FFF2-40B4-BE49-F238E27FC236}">
              <a16:creationId xmlns:a16="http://schemas.microsoft.com/office/drawing/2014/main" id="{00000000-0008-0000-1200-0000E50D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1126</xdr:row>
      <xdr:rowOff>0</xdr:rowOff>
    </xdr:from>
    <xdr:to>
      <xdr:col>16</xdr:col>
      <xdr:colOff>0</xdr:colOff>
      <xdr:row>1126</xdr:row>
      <xdr:rowOff>42334</xdr:rowOff>
    </xdr:to>
    <xdr:cxnSp macro="">
      <xdr:nvCxnSpPr>
        <xdr:cNvPr id="3558" name="Straight Arrow Connector 3557">
          <a:extLst>
            <a:ext uri="{FF2B5EF4-FFF2-40B4-BE49-F238E27FC236}">
              <a16:creationId xmlns:a16="http://schemas.microsoft.com/office/drawing/2014/main" id="{00000000-0008-0000-1200-0000E60D0000}"/>
            </a:ext>
          </a:extLst>
        </xdr:cNvPr>
        <xdr:cNvCxnSpPr/>
      </xdr:nvCxnSpPr>
      <xdr:spPr>
        <a:xfrm>
          <a:off x="11302999" y="42481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1126</xdr:row>
      <xdr:rowOff>21166</xdr:rowOff>
    </xdr:from>
    <xdr:to>
      <xdr:col>15</xdr:col>
      <xdr:colOff>560916</xdr:colOff>
      <xdr:row>1129</xdr:row>
      <xdr:rowOff>84667</xdr:rowOff>
    </xdr:to>
    <xdr:cxnSp macro="">
      <xdr:nvCxnSpPr>
        <xdr:cNvPr id="3559" name="Straight Arrow Connector 3558">
          <a:extLst>
            <a:ext uri="{FF2B5EF4-FFF2-40B4-BE49-F238E27FC236}">
              <a16:creationId xmlns:a16="http://schemas.microsoft.com/office/drawing/2014/main" id="{00000000-0008-0000-1200-0000E70D0000}"/>
            </a:ext>
          </a:extLst>
        </xdr:cNvPr>
        <xdr:cNvCxnSpPr/>
      </xdr:nvCxnSpPr>
      <xdr:spPr>
        <a:xfrm>
          <a:off x="11355916" y="42502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1126</xdr:row>
      <xdr:rowOff>52916</xdr:rowOff>
    </xdr:from>
    <xdr:to>
      <xdr:col>15</xdr:col>
      <xdr:colOff>592666</xdr:colOff>
      <xdr:row>1132</xdr:row>
      <xdr:rowOff>63501</xdr:rowOff>
    </xdr:to>
    <xdr:cxnSp macro="">
      <xdr:nvCxnSpPr>
        <xdr:cNvPr id="3560" name="Straight Arrow Connector 3559">
          <a:extLst>
            <a:ext uri="{FF2B5EF4-FFF2-40B4-BE49-F238E27FC236}">
              <a16:creationId xmlns:a16="http://schemas.microsoft.com/office/drawing/2014/main" id="{00000000-0008-0000-1200-0000E80D0000}"/>
            </a:ext>
          </a:extLst>
        </xdr:cNvPr>
        <xdr:cNvCxnSpPr/>
      </xdr:nvCxnSpPr>
      <xdr:spPr>
        <a:xfrm>
          <a:off x="11313583" y="42534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1123</xdr:row>
      <xdr:rowOff>52917</xdr:rowOff>
    </xdr:from>
    <xdr:to>
      <xdr:col>15</xdr:col>
      <xdr:colOff>603250</xdr:colOff>
      <xdr:row>1125</xdr:row>
      <xdr:rowOff>148167</xdr:rowOff>
    </xdr:to>
    <xdr:cxnSp macro="">
      <xdr:nvCxnSpPr>
        <xdr:cNvPr id="3561" name="Straight Arrow Connector 3560">
          <a:extLst>
            <a:ext uri="{FF2B5EF4-FFF2-40B4-BE49-F238E27FC236}">
              <a16:creationId xmlns:a16="http://schemas.microsoft.com/office/drawing/2014/main" id="{00000000-0008-0000-1200-0000E90D0000}"/>
            </a:ext>
          </a:extLst>
        </xdr:cNvPr>
        <xdr:cNvCxnSpPr/>
      </xdr:nvCxnSpPr>
      <xdr:spPr>
        <a:xfrm flipV="1">
          <a:off x="11324166" y="41962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1099</xdr:row>
      <xdr:rowOff>31750</xdr:rowOff>
    </xdr:from>
    <xdr:to>
      <xdr:col>16</xdr:col>
      <xdr:colOff>42334</xdr:colOff>
      <xdr:row>1106</xdr:row>
      <xdr:rowOff>63501</xdr:rowOff>
    </xdr:to>
    <xdr:cxnSp macro="">
      <xdr:nvCxnSpPr>
        <xdr:cNvPr id="3562" name="Straight Arrow Connector 3561">
          <a:extLst>
            <a:ext uri="{FF2B5EF4-FFF2-40B4-BE49-F238E27FC236}">
              <a16:creationId xmlns:a16="http://schemas.microsoft.com/office/drawing/2014/main" id="{00000000-0008-0000-1200-0000EA0D0000}"/>
            </a:ext>
          </a:extLst>
        </xdr:cNvPr>
        <xdr:cNvCxnSpPr/>
      </xdr:nvCxnSpPr>
      <xdr:spPr>
        <a:xfrm>
          <a:off x="11281833" y="37179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3563" name="Straight Arrow Connector 3562">
          <a:extLst>
            <a:ext uri="{FF2B5EF4-FFF2-40B4-BE49-F238E27FC236}">
              <a16:creationId xmlns:a16="http://schemas.microsoft.com/office/drawing/2014/main" id="{00000000-0008-0000-1200-0000EB0D0000}"/>
            </a:ext>
          </a:extLst>
        </xdr:cNvPr>
        <xdr:cNvCxnSpPr/>
      </xdr:nvCxnSpPr>
      <xdr:spPr>
        <a:xfrm>
          <a:off x="11324166" y="39846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3564" name="Straight Arrow Connector 3563">
          <a:extLst>
            <a:ext uri="{FF2B5EF4-FFF2-40B4-BE49-F238E27FC236}">
              <a16:creationId xmlns:a16="http://schemas.microsoft.com/office/drawing/2014/main" id="{00000000-0008-0000-1200-0000EC0D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3565" name="Straight Arrow Connector 3564">
          <a:extLst>
            <a:ext uri="{FF2B5EF4-FFF2-40B4-BE49-F238E27FC236}">
              <a16:creationId xmlns:a16="http://schemas.microsoft.com/office/drawing/2014/main" id="{00000000-0008-0000-1200-0000ED0D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3566" name="Straight Arrow Connector 3565">
          <a:extLst>
            <a:ext uri="{FF2B5EF4-FFF2-40B4-BE49-F238E27FC236}">
              <a16:creationId xmlns:a16="http://schemas.microsoft.com/office/drawing/2014/main" id="{00000000-0008-0000-1200-0000EE0D0000}"/>
            </a:ext>
          </a:extLst>
        </xdr:cNvPr>
        <xdr:cNvCxnSpPr/>
      </xdr:nvCxnSpPr>
      <xdr:spPr>
        <a:xfrm>
          <a:off x="11281833" y="480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3567" name="Straight Arrow Connector 3566">
          <a:extLst>
            <a:ext uri="{FF2B5EF4-FFF2-40B4-BE49-F238E27FC236}">
              <a16:creationId xmlns:a16="http://schemas.microsoft.com/office/drawing/2014/main" id="{00000000-0008-0000-1200-0000EF0D0000}"/>
            </a:ext>
          </a:extLst>
        </xdr:cNvPr>
        <xdr:cNvCxnSpPr/>
      </xdr:nvCxnSpPr>
      <xdr:spPr>
        <a:xfrm>
          <a:off x="11324166" y="50704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1238</xdr:row>
      <xdr:rowOff>21167</xdr:rowOff>
    </xdr:from>
    <xdr:to>
      <xdr:col>15</xdr:col>
      <xdr:colOff>592666</xdr:colOff>
      <xdr:row>1239</xdr:row>
      <xdr:rowOff>84667</xdr:rowOff>
    </xdr:to>
    <xdr:cxnSp macro="">
      <xdr:nvCxnSpPr>
        <xdr:cNvPr id="3568" name="Straight Arrow Connector 3567">
          <a:extLst>
            <a:ext uri="{FF2B5EF4-FFF2-40B4-BE49-F238E27FC236}">
              <a16:creationId xmlns:a16="http://schemas.microsoft.com/office/drawing/2014/main" id="{00000000-0008-0000-1200-0000F00D0000}"/>
            </a:ext>
          </a:extLst>
        </xdr:cNvPr>
        <xdr:cNvCxnSpPr/>
      </xdr:nvCxnSpPr>
      <xdr:spPr>
        <a:xfrm>
          <a:off x="11271250" y="64219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3569" name="Straight Arrow Connector 3568">
          <a:extLst>
            <a:ext uri="{FF2B5EF4-FFF2-40B4-BE49-F238E27FC236}">
              <a16:creationId xmlns:a16="http://schemas.microsoft.com/office/drawing/2014/main" id="{00000000-0008-0000-1200-0000F10D0000}"/>
            </a:ext>
          </a:extLst>
        </xdr:cNvPr>
        <xdr:cNvCxnSpPr/>
      </xdr:nvCxnSpPr>
      <xdr:spPr>
        <a:xfrm>
          <a:off x="11281833" y="588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3570" name="Straight Arrow Connector 3569">
          <a:extLst>
            <a:ext uri="{FF2B5EF4-FFF2-40B4-BE49-F238E27FC236}">
              <a16:creationId xmlns:a16="http://schemas.microsoft.com/office/drawing/2014/main" id="{00000000-0008-0000-1200-0000F20D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3571" name="Straight Arrow Connector 3570">
          <a:extLst>
            <a:ext uri="{FF2B5EF4-FFF2-40B4-BE49-F238E27FC236}">
              <a16:creationId xmlns:a16="http://schemas.microsoft.com/office/drawing/2014/main" id="{00000000-0008-0000-1200-0000F30D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3572" name="Straight Arrow Connector 3571">
          <a:extLst>
            <a:ext uri="{FF2B5EF4-FFF2-40B4-BE49-F238E27FC236}">
              <a16:creationId xmlns:a16="http://schemas.microsoft.com/office/drawing/2014/main" id="{00000000-0008-0000-1200-0000F40D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3573" name="Straight Arrow Connector 3572">
          <a:extLst>
            <a:ext uri="{FF2B5EF4-FFF2-40B4-BE49-F238E27FC236}">
              <a16:creationId xmlns:a16="http://schemas.microsoft.com/office/drawing/2014/main" id="{00000000-0008-0000-1200-0000F50D0000}"/>
            </a:ext>
          </a:extLst>
        </xdr:cNvPr>
        <xdr:cNvCxnSpPr/>
      </xdr:nvCxnSpPr>
      <xdr:spPr>
        <a:xfrm>
          <a:off x="11281833" y="588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3574" name="Straight Arrow Connector 3573">
          <a:extLst>
            <a:ext uri="{FF2B5EF4-FFF2-40B4-BE49-F238E27FC236}">
              <a16:creationId xmlns:a16="http://schemas.microsoft.com/office/drawing/2014/main" id="{00000000-0008-0000-1200-0000F60D0000}"/>
            </a:ext>
          </a:extLst>
        </xdr:cNvPr>
        <xdr:cNvCxnSpPr/>
      </xdr:nvCxnSpPr>
      <xdr:spPr>
        <a:xfrm>
          <a:off x="11324166" y="61563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1264</xdr:row>
      <xdr:rowOff>169333</xdr:rowOff>
    </xdr:from>
    <xdr:to>
      <xdr:col>11</xdr:col>
      <xdr:colOff>603250</xdr:colOff>
      <xdr:row>1267</xdr:row>
      <xdr:rowOff>21167</xdr:rowOff>
    </xdr:to>
    <xdr:cxnSp macro="">
      <xdr:nvCxnSpPr>
        <xdr:cNvPr id="3575" name="Straight Arrow Connector 3574">
          <a:extLst>
            <a:ext uri="{FF2B5EF4-FFF2-40B4-BE49-F238E27FC236}">
              <a16:creationId xmlns:a16="http://schemas.microsoft.com/office/drawing/2014/main" id="{00000000-0008-0000-1200-0000F70D0000}"/>
            </a:ext>
          </a:extLst>
        </xdr:cNvPr>
        <xdr:cNvCxnSpPr/>
      </xdr:nvCxnSpPr>
      <xdr:spPr>
        <a:xfrm flipV="1">
          <a:off x="7937500" y="693208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1270</xdr:row>
      <xdr:rowOff>42333</xdr:rowOff>
    </xdr:from>
    <xdr:to>
      <xdr:col>11</xdr:col>
      <xdr:colOff>603250</xdr:colOff>
      <xdr:row>1282</xdr:row>
      <xdr:rowOff>10583</xdr:rowOff>
    </xdr:to>
    <xdr:cxnSp macro="">
      <xdr:nvCxnSpPr>
        <xdr:cNvPr id="3576" name="Straight Arrow Connector 3575">
          <a:extLst>
            <a:ext uri="{FF2B5EF4-FFF2-40B4-BE49-F238E27FC236}">
              <a16:creationId xmlns:a16="http://schemas.microsoft.com/office/drawing/2014/main" id="{00000000-0008-0000-1200-0000F80D0000}"/>
            </a:ext>
          </a:extLst>
        </xdr:cNvPr>
        <xdr:cNvCxnSpPr/>
      </xdr:nvCxnSpPr>
      <xdr:spPr>
        <a:xfrm>
          <a:off x="7926917" y="70336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1260</xdr:row>
      <xdr:rowOff>21167</xdr:rowOff>
    </xdr:from>
    <xdr:to>
      <xdr:col>13</xdr:col>
      <xdr:colOff>592667</xdr:colOff>
      <xdr:row>1262</xdr:row>
      <xdr:rowOff>0</xdr:rowOff>
    </xdr:to>
    <xdr:cxnSp macro="">
      <xdr:nvCxnSpPr>
        <xdr:cNvPr id="3577" name="Straight Arrow Connector 3576">
          <a:extLst>
            <a:ext uri="{FF2B5EF4-FFF2-40B4-BE49-F238E27FC236}">
              <a16:creationId xmlns:a16="http://schemas.microsoft.com/office/drawing/2014/main" id="{00000000-0008-0000-1200-0000F90D0000}"/>
            </a:ext>
          </a:extLst>
        </xdr:cNvPr>
        <xdr:cNvCxnSpPr/>
      </xdr:nvCxnSpPr>
      <xdr:spPr>
        <a:xfrm flipV="1">
          <a:off x="9133417" y="68410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1265</xdr:row>
      <xdr:rowOff>21166</xdr:rowOff>
    </xdr:from>
    <xdr:to>
      <xdr:col>13</xdr:col>
      <xdr:colOff>592667</xdr:colOff>
      <xdr:row>1266</xdr:row>
      <xdr:rowOff>169334</xdr:rowOff>
    </xdr:to>
    <xdr:cxnSp macro="">
      <xdr:nvCxnSpPr>
        <xdr:cNvPr id="3578" name="Straight Arrow Connector 3577">
          <a:extLst>
            <a:ext uri="{FF2B5EF4-FFF2-40B4-BE49-F238E27FC236}">
              <a16:creationId xmlns:a16="http://schemas.microsoft.com/office/drawing/2014/main" id="{00000000-0008-0000-1200-0000FA0D0000}"/>
            </a:ext>
          </a:extLst>
        </xdr:cNvPr>
        <xdr:cNvCxnSpPr/>
      </xdr:nvCxnSpPr>
      <xdr:spPr>
        <a:xfrm>
          <a:off x="9122833" y="69363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1280</xdr:row>
      <xdr:rowOff>21167</xdr:rowOff>
    </xdr:from>
    <xdr:to>
      <xdr:col>13</xdr:col>
      <xdr:colOff>592667</xdr:colOff>
      <xdr:row>1282</xdr:row>
      <xdr:rowOff>63500</xdr:rowOff>
    </xdr:to>
    <xdr:cxnSp macro="">
      <xdr:nvCxnSpPr>
        <xdr:cNvPr id="3579" name="Straight Arrow Connector 3578">
          <a:extLst>
            <a:ext uri="{FF2B5EF4-FFF2-40B4-BE49-F238E27FC236}">
              <a16:creationId xmlns:a16="http://schemas.microsoft.com/office/drawing/2014/main" id="{00000000-0008-0000-1200-0000FB0D0000}"/>
            </a:ext>
          </a:extLst>
        </xdr:cNvPr>
        <xdr:cNvCxnSpPr/>
      </xdr:nvCxnSpPr>
      <xdr:spPr>
        <a:xfrm flipV="1">
          <a:off x="9525000" y="72411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1285</xdr:row>
      <xdr:rowOff>0</xdr:rowOff>
    </xdr:from>
    <xdr:to>
      <xdr:col>14</xdr:col>
      <xdr:colOff>10584</xdr:colOff>
      <xdr:row>1293</xdr:row>
      <xdr:rowOff>148167</xdr:rowOff>
    </xdr:to>
    <xdr:cxnSp macro="">
      <xdr:nvCxnSpPr>
        <xdr:cNvPr id="3580" name="Straight Arrow Connector 3579">
          <a:extLst>
            <a:ext uri="{FF2B5EF4-FFF2-40B4-BE49-F238E27FC236}">
              <a16:creationId xmlns:a16="http://schemas.microsoft.com/office/drawing/2014/main" id="{00000000-0008-0000-1200-0000FC0D0000}"/>
            </a:ext>
          </a:extLst>
        </xdr:cNvPr>
        <xdr:cNvCxnSpPr/>
      </xdr:nvCxnSpPr>
      <xdr:spPr>
        <a:xfrm>
          <a:off x="9535583" y="73342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1252</xdr:row>
      <xdr:rowOff>0</xdr:rowOff>
    </xdr:from>
    <xdr:to>
      <xdr:col>15</xdr:col>
      <xdr:colOff>603250</xdr:colOff>
      <xdr:row>1257</xdr:row>
      <xdr:rowOff>31750</xdr:rowOff>
    </xdr:to>
    <xdr:cxnSp macro="">
      <xdr:nvCxnSpPr>
        <xdr:cNvPr id="3581" name="Straight Arrow Connector 3580">
          <a:extLst>
            <a:ext uri="{FF2B5EF4-FFF2-40B4-BE49-F238E27FC236}">
              <a16:creationId xmlns:a16="http://schemas.microsoft.com/office/drawing/2014/main" id="{00000000-0008-0000-1200-0000FD0D0000}"/>
            </a:ext>
          </a:extLst>
        </xdr:cNvPr>
        <xdr:cNvCxnSpPr/>
      </xdr:nvCxnSpPr>
      <xdr:spPr>
        <a:xfrm flipV="1">
          <a:off x="11281833" y="668655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1255</xdr:row>
      <xdr:rowOff>52917</xdr:rowOff>
    </xdr:from>
    <xdr:to>
      <xdr:col>15</xdr:col>
      <xdr:colOff>603250</xdr:colOff>
      <xdr:row>1257</xdr:row>
      <xdr:rowOff>95250</xdr:rowOff>
    </xdr:to>
    <xdr:cxnSp macro="">
      <xdr:nvCxnSpPr>
        <xdr:cNvPr id="3582" name="Straight Arrow Connector 3581">
          <a:extLst>
            <a:ext uri="{FF2B5EF4-FFF2-40B4-BE49-F238E27FC236}">
              <a16:creationId xmlns:a16="http://schemas.microsoft.com/office/drawing/2014/main" id="{00000000-0008-0000-1200-0000FE0D0000}"/>
            </a:ext>
          </a:extLst>
        </xdr:cNvPr>
        <xdr:cNvCxnSpPr/>
      </xdr:nvCxnSpPr>
      <xdr:spPr>
        <a:xfrm flipV="1">
          <a:off x="11324166" y="674899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1257</xdr:row>
      <xdr:rowOff>158750</xdr:rowOff>
    </xdr:from>
    <xdr:to>
      <xdr:col>15</xdr:col>
      <xdr:colOff>582083</xdr:colOff>
      <xdr:row>1258</xdr:row>
      <xdr:rowOff>137583</xdr:rowOff>
    </xdr:to>
    <xdr:cxnSp macro="">
      <xdr:nvCxnSpPr>
        <xdr:cNvPr id="3583" name="Straight Arrow Connector 3582">
          <a:extLst>
            <a:ext uri="{FF2B5EF4-FFF2-40B4-BE49-F238E27FC236}">
              <a16:creationId xmlns:a16="http://schemas.microsoft.com/office/drawing/2014/main" id="{00000000-0008-0000-1200-0000FF0D0000}"/>
            </a:ext>
          </a:extLst>
        </xdr:cNvPr>
        <xdr:cNvCxnSpPr/>
      </xdr:nvCxnSpPr>
      <xdr:spPr>
        <a:xfrm>
          <a:off x="11345333" y="679767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1257</xdr:row>
      <xdr:rowOff>105834</xdr:rowOff>
    </xdr:from>
    <xdr:to>
      <xdr:col>16</xdr:col>
      <xdr:colOff>0</xdr:colOff>
      <xdr:row>1261</xdr:row>
      <xdr:rowOff>84667</xdr:rowOff>
    </xdr:to>
    <xdr:cxnSp macro="">
      <xdr:nvCxnSpPr>
        <xdr:cNvPr id="3584" name="Straight Arrow Connector 3583">
          <a:extLst>
            <a:ext uri="{FF2B5EF4-FFF2-40B4-BE49-F238E27FC236}">
              <a16:creationId xmlns:a16="http://schemas.microsoft.com/office/drawing/2014/main" id="{00000000-0008-0000-1200-0000000E0000}"/>
            </a:ext>
          </a:extLst>
        </xdr:cNvPr>
        <xdr:cNvCxnSpPr/>
      </xdr:nvCxnSpPr>
      <xdr:spPr>
        <a:xfrm>
          <a:off x="11260667" y="679238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1265</xdr:row>
      <xdr:rowOff>52916</xdr:rowOff>
    </xdr:from>
    <xdr:to>
      <xdr:col>16</xdr:col>
      <xdr:colOff>0</xdr:colOff>
      <xdr:row>1267</xdr:row>
      <xdr:rowOff>0</xdr:rowOff>
    </xdr:to>
    <xdr:cxnSp macro="">
      <xdr:nvCxnSpPr>
        <xdr:cNvPr id="3585" name="Straight Arrow Connector 3584">
          <a:extLst>
            <a:ext uri="{FF2B5EF4-FFF2-40B4-BE49-F238E27FC236}">
              <a16:creationId xmlns:a16="http://schemas.microsoft.com/office/drawing/2014/main" id="{00000000-0008-0000-1200-0000010E0000}"/>
            </a:ext>
          </a:extLst>
        </xdr:cNvPr>
        <xdr:cNvCxnSpPr/>
      </xdr:nvCxnSpPr>
      <xdr:spPr>
        <a:xfrm flipV="1">
          <a:off x="11281833" y="69394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1267</xdr:row>
      <xdr:rowOff>21167</xdr:rowOff>
    </xdr:from>
    <xdr:to>
      <xdr:col>15</xdr:col>
      <xdr:colOff>582083</xdr:colOff>
      <xdr:row>1268</xdr:row>
      <xdr:rowOff>42333</xdr:rowOff>
    </xdr:to>
    <xdr:cxnSp macro="">
      <xdr:nvCxnSpPr>
        <xdr:cNvPr id="3586" name="Straight Arrow Connector 3585">
          <a:extLst>
            <a:ext uri="{FF2B5EF4-FFF2-40B4-BE49-F238E27FC236}">
              <a16:creationId xmlns:a16="http://schemas.microsoft.com/office/drawing/2014/main" id="{00000000-0008-0000-1200-0000020E0000}"/>
            </a:ext>
          </a:extLst>
        </xdr:cNvPr>
        <xdr:cNvCxnSpPr/>
      </xdr:nvCxnSpPr>
      <xdr:spPr>
        <a:xfrm>
          <a:off x="11292416" y="697441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1267</xdr:row>
      <xdr:rowOff>21167</xdr:rowOff>
    </xdr:from>
    <xdr:to>
      <xdr:col>16</xdr:col>
      <xdr:colOff>42333</xdr:colOff>
      <xdr:row>1272</xdr:row>
      <xdr:rowOff>21168</xdr:rowOff>
    </xdr:to>
    <xdr:cxnSp macro="">
      <xdr:nvCxnSpPr>
        <xdr:cNvPr id="3587" name="Straight Arrow Connector 3586">
          <a:extLst>
            <a:ext uri="{FF2B5EF4-FFF2-40B4-BE49-F238E27FC236}">
              <a16:creationId xmlns:a16="http://schemas.microsoft.com/office/drawing/2014/main" id="{00000000-0008-0000-1200-0000030E0000}"/>
            </a:ext>
          </a:extLst>
        </xdr:cNvPr>
        <xdr:cNvCxnSpPr/>
      </xdr:nvCxnSpPr>
      <xdr:spPr>
        <a:xfrm>
          <a:off x="11271250" y="697441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3588" name="Straight Arrow Connector 3587">
          <a:extLst>
            <a:ext uri="{FF2B5EF4-FFF2-40B4-BE49-F238E27FC236}">
              <a16:creationId xmlns:a16="http://schemas.microsoft.com/office/drawing/2014/main" id="{00000000-0008-0000-1200-0000040E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1320</xdr:row>
      <xdr:rowOff>158750</xdr:rowOff>
    </xdr:from>
    <xdr:to>
      <xdr:col>11</xdr:col>
      <xdr:colOff>571500</xdr:colOff>
      <xdr:row>1323</xdr:row>
      <xdr:rowOff>0</xdr:rowOff>
    </xdr:to>
    <xdr:cxnSp macro="">
      <xdr:nvCxnSpPr>
        <xdr:cNvPr id="3589" name="Straight Arrow Connector 3588">
          <a:extLst>
            <a:ext uri="{FF2B5EF4-FFF2-40B4-BE49-F238E27FC236}">
              <a16:creationId xmlns:a16="http://schemas.microsoft.com/office/drawing/2014/main" id="{00000000-0008-0000-1200-0000050E0000}"/>
            </a:ext>
          </a:extLst>
        </xdr:cNvPr>
        <xdr:cNvCxnSpPr/>
      </xdr:nvCxnSpPr>
      <xdr:spPr>
        <a:xfrm flipV="1">
          <a:off x="7874000" y="801687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1278</xdr:row>
      <xdr:rowOff>0</xdr:rowOff>
    </xdr:from>
    <xdr:to>
      <xdr:col>15</xdr:col>
      <xdr:colOff>603250</xdr:colOff>
      <xdr:row>1280</xdr:row>
      <xdr:rowOff>1</xdr:rowOff>
    </xdr:to>
    <xdr:cxnSp macro="">
      <xdr:nvCxnSpPr>
        <xdr:cNvPr id="3590" name="Straight Arrow Connector 3589">
          <a:extLst>
            <a:ext uri="{FF2B5EF4-FFF2-40B4-BE49-F238E27FC236}">
              <a16:creationId xmlns:a16="http://schemas.microsoft.com/office/drawing/2014/main" id="{00000000-0008-0000-1200-0000060E0000}"/>
            </a:ext>
          </a:extLst>
        </xdr:cNvPr>
        <xdr:cNvCxnSpPr/>
      </xdr:nvCxnSpPr>
      <xdr:spPr>
        <a:xfrm flipV="1">
          <a:off x="11271250" y="72009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1280</xdr:row>
      <xdr:rowOff>10584</xdr:rowOff>
    </xdr:from>
    <xdr:to>
      <xdr:col>15</xdr:col>
      <xdr:colOff>592666</xdr:colOff>
      <xdr:row>1281</xdr:row>
      <xdr:rowOff>95250</xdr:rowOff>
    </xdr:to>
    <xdr:cxnSp macro="">
      <xdr:nvCxnSpPr>
        <xdr:cNvPr id="3591" name="Straight Arrow Connector 3590">
          <a:extLst>
            <a:ext uri="{FF2B5EF4-FFF2-40B4-BE49-F238E27FC236}">
              <a16:creationId xmlns:a16="http://schemas.microsoft.com/office/drawing/2014/main" id="{00000000-0008-0000-1200-0000070E0000}"/>
            </a:ext>
          </a:extLst>
        </xdr:cNvPr>
        <xdr:cNvCxnSpPr/>
      </xdr:nvCxnSpPr>
      <xdr:spPr>
        <a:xfrm>
          <a:off x="11313583" y="72400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1280</xdr:row>
      <xdr:rowOff>10584</xdr:rowOff>
    </xdr:from>
    <xdr:to>
      <xdr:col>15</xdr:col>
      <xdr:colOff>560916</xdr:colOff>
      <xdr:row>1284</xdr:row>
      <xdr:rowOff>52917</xdr:rowOff>
    </xdr:to>
    <xdr:cxnSp macro="">
      <xdr:nvCxnSpPr>
        <xdr:cNvPr id="3592" name="Straight Arrow Connector 3591">
          <a:extLst>
            <a:ext uri="{FF2B5EF4-FFF2-40B4-BE49-F238E27FC236}">
              <a16:creationId xmlns:a16="http://schemas.microsoft.com/office/drawing/2014/main" id="{00000000-0008-0000-1200-0000080E0000}"/>
            </a:ext>
          </a:extLst>
        </xdr:cNvPr>
        <xdr:cNvCxnSpPr/>
      </xdr:nvCxnSpPr>
      <xdr:spPr>
        <a:xfrm>
          <a:off x="11292416" y="72400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3593" name="Straight Arrow Connector 3592">
          <a:extLst>
            <a:ext uri="{FF2B5EF4-FFF2-40B4-BE49-F238E27FC236}">
              <a16:creationId xmlns:a16="http://schemas.microsoft.com/office/drawing/2014/main" id="{00000000-0008-0000-1200-0000090E0000}"/>
            </a:ext>
          </a:extLst>
        </xdr:cNvPr>
        <xdr:cNvCxnSpPr/>
      </xdr:nvCxnSpPr>
      <xdr:spPr>
        <a:xfrm>
          <a:off x="11324166" y="72421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1294</xdr:row>
      <xdr:rowOff>0</xdr:rowOff>
    </xdr:from>
    <xdr:to>
      <xdr:col>16</xdr:col>
      <xdr:colOff>0</xdr:colOff>
      <xdr:row>1294</xdr:row>
      <xdr:rowOff>42334</xdr:rowOff>
    </xdr:to>
    <xdr:cxnSp macro="">
      <xdr:nvCxnSpPr>
        <xdr:cNvPr id="3594" name="Straight Arrow Connector 3593">
          <a:extLst>
            <a:ext uri="{FF2B5EF4-FFF2-40B4-BE49-F238E27FC236}">
              <a16:creationId xmlns:a16="http://schemas.microsoft.com/office/drawing/2014/main" id="{00000000-0008-0000-1200-00000A0E0000}"/>
            </a:ext>
          </a:extLst>
        </xdr:cNvPr>
        <xdr:cNvCxnSpPr/>
      </xdr:nvCxnSpPr>
      <xdr:spPr>
        <a:xfrm>
          <a:off x="11302999" y="75057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1294</xdr:row>
      <xdr:rowOff>21166</xdr:rowOff>
    </xdr:from>
    <xdr:to>
      <xdr:col>15</xdr:col>
      <xdr:colOff>560916</xdr:colOff>
      <xdr:row>1297</xdr:row>
      <xdr:rowOff>84667</xdr:rowOff>
    </xdr:to>
    <xdr:cxnSp macro="">
      <xdr:nvCxnSpPr>
        <xdr:cNvPr id="3595" name="Straight Arrow Connector 3594">
          <a:extLst>
            <a:ext uri="{FF2B5EF4-FFF2-40B4-BE49-F238E27FC236}">
              <a16:creationId xmlns:a16="http://schemas.microsoft.com/office/drawing/2014/main" id="{00000000-0008-0000-1200-00000B0E0000}"/>
            </a:ext>
          </a:extLst>
        </xdr:cNvPr>
        <xdr:cNvCxnSpPr/>
      </xdr:nvCxnSpPr>
      <xdr:spPr>
        <a:xfrm>
          <a:off x="11355916" y="75078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1294</xdr:row>
      <xdr:rowOff>52916</xdr:rowOff>
    </xdr:from>
    <xdr:to>
      <xdr:col>15</xdr:col>
      <xdr:colOff>592666</xdr:colOff>
      <xdr:row>1300</xdr:row>
      <xdr:rowOff>63501</xdr:rowOff>
    </xdr:to>
    <xdr:cxnSp macro="">
      <xdr:nvCxnSpPr>
        <xdr:cNvPr id="3596" name="Straight Arrow Connector 3595">
          <a:extLst>
            <a:ext uri="{FF2B5EF4-FFF2-40B4-BE49-F238E27FC236}">
              <a16:creationId xmlns:a16="http://schemas.microsoft.com/office/drawing/2014/main" id="{00000000-0008-0000-1200-00000C0E0000}"/>
            </a:ext>
          </a:extLst>
        </xdr:cNvPr>
        <xdr:cNvCxnSpPr/>
      </xdr:nvCxnSpPr>
      <xdr:spPr>
        <a:xfrm>
          <a:off x="11313583" y="75109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1308</xdr:row>
      <xdr:rowOff>116416</xdr:rowOff>
    </xdr:from>
    <xdr:to>
      <xdr:col>15</xdr:col>
      <xdr:colOff>592666</xdr:colOff>
      <xdr:row>1311</xdr:row>
      <xdr:rowOff>158750</xdr:rowOff>
    </xdr:to>
    <xdr:cxnSp macro="">
      <xdr:nvCxnSpPr>
        <xdr:cNvPr id="3597" name="Straight Arrow Connector 3596">
          <a:extLst>
            <a:ext uri="{FF2B5EF4-FFF2-40B4-BE49-F238E27FC236}">
              <a16:creationId xmlns:a16="http://schemas.microsoft.com/office/drawing/2014/main" id="{00000000-0008-0000-1200-00000D0E0000}"/>
            </a:ext>
          </a:extLst>
        </xdr:cNvPr>
        <xdr:cNvCxnSpPr/>
      </xdr:nvCxnSpPr>
      <xdr:spPr>
        <a:xfrm flipV="1">
          <a:off x="11302999" y="778404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1310</xdr:row>
      <xdr:rowOff>95250</xdr:rowOff>
    </xdr:from>
    <xdr:to>
      <xdr:col>15</xdr:col>
      <xdr:colOff>582083</xdr:colOff>
      <xdr:row>1312</xdr:row>
      <xdr:rowOff>52917</xdr:rowOff>
    </xdr:to>
    <xdr:cxnSp macro="">
      <xdr:nvCxnSpPr>
        <xdr:cNvPr id="3598" name="Straight Arrow Connector 3597">
          <a:extLst>
            <a:ext uri="{FF2B5EF4-FFF2-40B4-BE49-F238E27FC236}">
              <a16:creationId xmlns:a16="http://schemas.microsoft.com/office/drawing/2014/main" id="{00000000-0008-0000-1200-00000E0E0000}"/>
            </a:ext>
          </a:extLst>
        </xdr:cNvPr>
        <xdr:cNvCxnSpPr/>
      </xdr:nvCxnSpPr>
      <xdr:spPr>
        <a:xfrm flipV="1">
          <a:off x="11345333" y="782002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116417</xdr:rowOff>
    </xdr:from>
    <xdr:to>
      <xdr:col>15</xdr:col>
      <xdr:colOff>592666</xdr:colOff>
      <xdr:row>1316</xdr:row>
      <xdr:rowOff>95250</xdr:rowOff>
    </xdr:to>
    <xdr:cxnSp macro="">
      <xdr:nvCxnSpPr>
        <xdr:cNvPr id="3599" name="Straight Arrow Connector 3598">
          <a:extLst>
            <a:ext uri="{FF2B5EF4-FFF2-40B4-BE49-F238E27FC236}">
              <a16:creationId xmlns:a16="http://schemas.microsoft.com/office/drawing/2014/main" id="{00000000-0008-0000-1200-00000F0E0000}"/>
            </a:ext>
          </a:extLst>
        </xdr:cNvPr>
        <xdr:cNvCxnSpPr/>
      </xdr:nvCxnSpPr>
      <xdr:spPr>
        <a:xfrm>
          <a:off x="11334749" y="786024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1323</xdr:row>
      <xdr:rowOff>116416</xdr:rowOff>
    </xdr:from>
    <xdr:to>
      <xdr:col>16</xdr:col>
      <xdr:colOff>0</xdr:colOff>
      <xdr:row>1330</xdr:row>
      <xdr:rowOff>74084</xdr:rowOff>
    </xdr:to>
    <xdr:cxnSp macro="">
      <xdr:nvCxnSpPr>
        <xdr:cNvPr id="3600" name="Straight Arrow Connector 3599">
          <a:extLst>
            <a:ext uri="{FF2B5EF4-FFF2-40B4-BE49-F238E27FC236}">
              <a16:creationId xmlns:a16="http://schemas.microsoft.com/office/drawing/2014/main" id="{00000000-0008-0000-1200-0000100E0000}"/>
            </a:ext>
          </a:extLst>
        </xdr:cNvPr>
        <xdr:cNvCxnSpPr/>
      </xdr:nvCxnSpPr>
      <xdr:spPr>
        <a:xfrm>
          <a:off x="11313583" y="806979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1291</xdr:row>
      <xdr:rowOff>52917</xdr:rowOff>
    </xdr:from>
    <xdr:to>
      <xdr:col>15</xdr:col>
      <xdr:colOff>603250</xdr:colOff>
      <xdr:row>1293</xdr:row>
      <xdr:rowOff>148167</xdr:rowOff>
    </xdr:to>
    <xdr:cxnSp macro="">
      <xdr:nvCxnSpPr>
        <xdr:cNvPr id="3601" name="Straight Arrow Connector 3600">
          <a:extLst>
            <a:ext uri="{FF2B5EF4-FFF2-40B4-BE49-F238E27FC236}">
              <a16:creationId xmlns:a16="http://schemas.microsoft.com/office/drawing/2014/main" id="{00000000-0008-0000-1200-0000110E0000}"/>
            </a:ext>
          </a:extLst>
        </xdr:cNvPr>
        <xdr:cNvCxnSpPr/>
      </xdr:nvCxnSpPr>
      <xdr:spPr>
        <a:xfrm flipV="1">
          <a:off x="11324166" y="74538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1326</xdr:row>
      <xdr:rowOff>42333</xdr:rowOff>
    </xdr:from>
    <xdr:to>
      <xdr:col>11</xdr:col>
      <xdr:colOff>603250</xdr:colOff>
      <xdr:row>1338</xdr:row>
      <xdr:rowOff>10583</xdr:rowOff>
    </xdr:to>
    <xdr:cxnSp macro="">
      <xdr:nvCxnSpPr>
        <xdr:cNvPr id="3602" name="Straight Arrow Connector 3601">
          <a:extLst>
            <a:ext uri="{FF2B5EF4-FFF2-40B4-BE49-F238E27FC236}">
              <a16:creationId xmlns:a16="http://schemas.microsoft.com/office/drawing/2014/main" id="{00000000-0008-0000-1200-0000120E0000}"/>
            </a:ext>
          </a:extLst>
        </xdr:cNvPr>
        <xdr:cNvCxnSpPr/>
      </xdr:nvCxnSpPr>
      <xdr:spPr>
        <a:xfrm>
          <a:off x="7926917" y="8119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1316</xdr:row>
      <xdr:rowOff>21167</xdr:rowOff>
    </xdr:from>
    <xdr:to>
      <xdr:col>13</xdr:col>
      <xdr:colOff>592667</xdr:colOff>
      <xdr:row>1318</xdr:row>
      <xdr:rowOff>0</xdr:rowOff>
    </xdr:to>
    <xdr:cxnSp macro="">
      <xdr:nvCxnSpPr>
        <xdr:cNvPr id="3603" name="Straight Arrow Connector 3602">
          <a:extLst>
            <a:ext uri="{FF2B5EF4-FFF2-40B4-BE49-F238E27FC236}">
              <a16:creationId xmlns:a16="http://schemas.microsoft.com/office/drawing/2014/main" id="{00000000-0008-0000-1200-0000130E0000}"/>
            </a:ext>
          </a:extLst>
        </xdr:cNvPr>
        <xdr:cNvCxnSpPr/>
      </xdr:nvCxnSpPr>
      <xdr:spPr>
        <a:xfrm flipV="1">
          <a:off x="9133417" y="7926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1321</xdr:row>
      <xdr:rowOff>21166</xdr:rowOff>
    </xdr:from>
    <xdr:to>
      <xdr:col>13</xdr:col>
      <xdr:colOff>592667</xdr:colOff>
      <xdr:row>1322</xdr:row>
      <xdr:rowOff>169334</xdr:rowOff>
    </xdr:to>
    <xdr:cxnSp macro="">
      <xdr:nvCxnSpPr>
        <xdr:cNvPr id="3604" name="Straight Arrow Connector 3603">
          <a:extLst>
            <a:ext uri="{FF2B5EF4-FFF2-40B4-BE49-F238E27FC236}">
              <a16:creationId xmlns:a16="http://schemas.microsoft.com/office/drawing/2014/main" id="{00000000-0008-0000-1200-0000140E0000}"/>
            </a:ext>
          </a:extLst>
        </xdr:cNvPr>
        <xdr:cNvCxnSpPr/>
      </xdr:nvCxnSpPr>
      <xdr:spPr>
        <a:xfrm>
          <a:off x="9122833" y="8022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1336</xdr:row>
      <xdr:rowOff>21167</xdr:rowOff>
    </xdr:from>
    <xdr:to>
      <xdr:col>13</xdr:col>
      <xdr:colOff>592667</xdr:colOff>
      <xdr:row>1338</xdr:row>
      <xdr:rowOff>63500</xdr:rowOff>
    </xdr:to>
    <xdr:cxnSp macro="">
      <xdr:nvCxnSpPr>
        <xdr:cNvPr id="3605" name="Straight Arrow Connector 3604">
          <a:extLst>
            <a:ext uri="{FF2B5EF4-FFF2-40B4-BE49-F238E27FC236}">
              <a16:creationId xmlns:a16="http://schemas.microsoft.com/office/drawing/2014/main" id="{00000000-0008-0000-1200-0000150E0000}"/>
            </a:ext>
          </a:extLst>
        </xdr:cNvPr>
        <xdr:cNvCxnSpPr/>
      </xdr:nvCxnSpPr>
      <xdr:spPr>
        <a:xfrm flipV="1">
          <a:off x="9525000" y="8326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1341</xdr:row>
      <xdr:rowOff>0</xdr:rowOff>
    </xdr:from>
    <xdr:to>
      <xdr:col>14</xdr:col>
      <xdr:colOff>10584</xdr:colOff>
      <xdr:row>1349</xdr:row>
      <xdr:rowOff>148167</xdr:rowOff>
    </xdr:to>
    <xdr:cxnSp macro="">
      <xdr:nvCxnSpPr>
        <xdr:cNvPr id="3606" name="Straight Arrow Connector 3605">
          <a:extLst>
            <a:ext uri="{FF2B5EF4-FFF2-40B4-BE49-F238E27FC236}">
              <a16:creationId xmlns:a16="http://schemas.microsoft.com/office/drawing/2014/main" id="{00000000-0008-0000-1200-0000160E0000}"/>
            </a:ext>
          </a:extLst>
        </xdr:cNvPr>
        <xdr:cNvCxnSpPr/>
      </xdr:nvCxnSpPr>
      <xdr:spPr>
        <a:xfrm>
          <a:off x="9535583" y="8420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1312</xdr:row>
      <xdr:rowOff>95250</xdr:rowOff>
    </xdr:from>
    <xdr:to>
      <xdr:col>15</xdr:col>
      <xdr:colOff>582083</xdr:colOff>
      <xdr:row>1314</xdr:row>
      <xdr:rowOff>137583</xdr:rowOff>
    </xdr:to>
    <xdr:cxnSp macro="">
      <xdr:nvCxnSpPr>
        <xdr:cNvPr id="3607" name="Straight Arrow Connector 3606">
          <a:extLst>
            <a:ext uri="{FF2B5EF4-FFF2-40B4-BE49-F238E27FC236}">
              <a16:creationId xmlns:a16="http://schemas.microsoft.com/office/drawing/2014/main" id="{00000000-0008-0000-1200-0000170E0000}"/>
            </a:ext>
          </a:extLst>
        </xdr:cNvPr>
        <xdr:cNvCxnSpPr/>
      </xdr:nvCxnSpPr>
      <xdr:spPr>
        <a:xfrm>
          <a:off x="11334749" y="785812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1321</xdr:row>
      <xdr:rowOff>52916</xdr:rowOff>
    </xdr:from>
    <xdr:to>
      <xdr:col>16</xdr:col>
      <xdr:colOff>0</xdr:colOff>
      <xdr:row>1323</xdr:row>
      <xdr:rowOff>0</xdr:rowOff>
    </xdr:to>
    <xdr:cxnSp macro="">
      <xdr:nvCxnSpPr>
        <xdr:cNvPr id="3608" name="Straight Arrow Connector 3607">
          <a:extLst>
            <a:ext uri="{FF2B5EF4-FFF2-40B4-BE49-F238E27FC236}">
              <a16:creationId xmlns:a16="http://schemas.microsoft.com/office/drawing/2014/main" id="{00000000-0008-0000-1200-0000180E0000}"/>
            </a:ext>
          </a:extLst>
        </xdr:cNvPr>
        <xdr:cNvCxnSpPr/>
      </xdr:nvCxnSpPr>
      <xdr:spPr>
        <a:xfrm flipV="1">
          <a:off x="11281833" y="8025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21167</xdr:rowOff>
    </xdr:from>
    <xdr:to>
      <xdr:col>15</xdr:col>
      <xdr:colOff>592666</xdr:colOff>
      <xdr:row>1324</xdr:row>
      <xdr:rowOff>84667</xdr:rowOff>
    </xdr:to>
    <xdr:cxnSp macro="">
      <xdr:nvCxnSpPr>
        <xdr:cNvPr id="3609" name="Straight Arrow Connector 3608">
          <a:extLst>
            <a:ext uri="{FF2B5EF4-FFF2-40B4-BE49-F238E27FC236}">
              <a16:creationId xmlns:a16="http://schemas.microsoft.com/office/drawing/2014/main" id="{00000000-0008-0000-1200-0000190E0000}"/>
            </a:ext>
          </a:extLst>
        </xdr:cNvPr>
        <xdr:cNvCxnSpPr/>
      </xdr:nvCxnSpPr>
      <xdr:spPr>
        <a:xfrm>
          <a:off x="11271250" y="80602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1323</xdr:row>
      <xdr:rowOff>0</xdr:rowOff>
    </xdr:from>
    <xdr:to>
      <xdr:col>16</xdr:col>
      <xdr:colOff>0</xdr:colOff>
      <xdr:row>1327</xdr:row>
      <xdr:rowOff>42334</xdr:rowOff>
    </xdr:to>
    <xdr:cxnSp macro="">
      <xdr:nvCxnSpPr>
        <xdr:cNvPr id="3610" name="Straight Arrow Connector 3609">
          <a:extLst>
            <a:ext uri="{FF2B5EF4-FFF2-40B4-BE49-F238E27FC236}">
              <a16:creationId xmlns:a16="http://schemas.microsoft.com/office/drawing/2014/main" id="{00000000-0008-0000-1200-00001A0E0000}"/>
            </a:ext>
          </a:extLst>
        </xdr:cNvPr>
        <xdr:cNvCxnSpPr/>
      </xdr:nvCxnSpPr>
      <xdr:spPr>
        <a:xfrm>
          <a:off x="11271250" y="805815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1334</xdr:row>
      <xdr:rowOff>0</xdr:rowOff>
    </xdr:from>
    <xdr:to>
      <xdr:col>15</xdr:col>
      <xdr:colOff>603250</xdr:colOff>
      <xdr:row>1336</xdr:row>
      <xdr:rowOff>1</xdr:rowOff>
    </xdr:to>
    <xdr:cxnSp macro="">
      <xdr:nvCxnSpPr>
        <xdr:cNvPr id="3611" name="Straight Arrow Connector 3610">
          <a:extLst>
            <a:ext uri="{FF2B5EF4-FFF2-40B4-BE49-F238E27FC236}">
              <a16:creationId xmlns:a16="http://schemas.microsoft.com/office/drawing/2014/main" id="{00000000-0008-0000-1200-00001B0E0000}"/>
            </a:ext>
          </a:extLst>
        </xdr:cNvPr>
        <xdr:cNvCxnSpPr/>
      </xdr:nvCxnSpPr>
      <xdr:spPr>
        <a:xfrm flipV="1">
          <a:off x="11271250" y="8286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1336</xdr:row>
      <xdr:rowOff>10584</xdr:rowOff>
    </xdr:from>
    <xdr:to>
      <xdr:col>15</xdr:col>
      <xdr:colOff>592666</xdr:colOff>
      <xdr:row>1337</xdr:row>
      <xdr:rowOff>95250</xdr:rowOff>
    </xdr:to>
    <xdr:cxnSp macro="">
      <xdr:nvCxnSpPr>
        <xdr:cNvPr id="3612" name="Straight Arrow Connector 3611">
          <a:extLst>
            <a:ext uri="{FF2B5EF4-FFF2-40B4-BE49-F238E27FC236}">
              <a16:creationId xmlns:a16="http://schemas.microsoft.com/office/drawing/2014/main" id="{00000000-0008-0000-1200-00001C0E0000}"/>
            </a:ext>
          </a:extLst>
        </xdr:cNvPr>
        <xdr:cNvCxnSpPr/>
      </xdr:nvCxnSpPr>
      <xdr:spPr>
        <a:xfrm>
          <a:off x="11313583" y="8325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1336</xdr:row>
      <xdr:rowOff>10584</xdr:rowOff>
    </xdr:from>
    <xdr:to>
      <xdr:col>15</xdr:col>
      <xdr:colOff>560916</xdr:colOff>
      <xdr:row>1340</xdr:row>
      <xdr:rowOff>52917</xdr:rowOff>
    </xdr:to>
    <xdr:cxnSp macro="">
      <xdr:nvCxnSpPr>
        <xdr:cNvPr id="3613" name="Straight Arrow Connector 3612">
          <a:extLst>
            <a:ext uri="{FF2B5EF4-FFF2-40B4-BE49-F238E27FC236}">
              <a16:creationId xmlns:a16="http://schemas.microsoft.com/office/drawing/2014/main" id="{00000000-0008-0000-1200-00001D0E0000}"/>
            </a:ext>
          </a:extLst>
        </xdr:cNvPr>
        <xdr:cNvCxnSpPr/>
      </xdr:nvCxnSpPr>
      <xdr:spPr>
        <a:xfrm>
          <a:off x="11292416" y="8325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614" name="Straight Arrow Connector 3613">
          <a:extLst>
            <a:ext uri="{FF2B5EF4-FFF2-40B4-BE49-F238E27FC236}">
              <a16:creationId xmlns:a16="http://schemas.microsoft.com/office/drawing/2014/main" id="{00000000-0008-0000-1200-00001E0E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1350</xdr:row>
      <xdr:rowOff>0</xdr:rowOff>
    </xdr:from>
    <xdr:to>
      <xdr:col>16</xdr:col>
      <xdr:colOff>0</xdr:colOff>
      <xdr:row>1350</xdr:row>
      <xdr:rowOff>42334</xdr:rowOff>
    </xdr:to>
    <xdr:cxnSp macro="">
      <xdr:nvCxnSpPr>
        <xdr:cNvPr id="3615" name="Straight Arrow Connector 3614">
          <a:extLst>
            <a:ext uri="{FF2B5EF4-FFF2-40B4-BE49-F238E27FC236}">
              <a16:creationId xmlns:a16="http://schemas.microsoft.com/office/drawing/2014/main" id="{00000000-0008-0000-1200-00001F0E0000}"/>
            </a:ext>
          </a:extLst>
        </xdr:cNvPr>
        <xdr:cNvCxnSpPr/>
      </xdr:nvCxnSpPr>
      <xdr:spPr>
        <a:xfrm>
          <a:off x="11302999" y="8591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1350</xdr:row>
      <xdr:rowOff>21166</xdr:rowOff>
    </xdr:from>
    <xdr:to>
      <xdr:col>15</xdr:col>
      <xdr:colOff>560916</xdr:colOff>
      <xdr:row>1353</xdr:row>
      <xdr:rowOff>84667</xdr:rowOff>
    </xdr:to>
    <xdr:cxnSp macro="">
      <xdr:nvCxnSpPr>
        <xdr:cNvPr id="3616" name="Straight Arrow Connector 3615">
          <a:extLst>
            <a:ext uri="{FF2B5EF4-FFF2-40B4-BE49-F238E27FC236}">
              <a16:creationId xmlns:a16="http://schemas.microsoft.com/office/drawing/2014/main" id="{00000000-0008-0000-1200-0000200E0000}"/>
            </a:ext>
          </a:extLst>
        </xdr:cNvPr>
        <xdr:cNvCxnSpPr/>
      </xdr:nvCxnSpPr>
      <xdr:spPr>
        <a:xfrm>
          <a:off x="11355916" y="8593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1350</xdr:row>
      <xdr:rowOff>52916</xdr:rowOff>
    </xdr:from>
    <xdr:to>
      <xdr:col>15</xdr:col>
      <xdr:colOff>592666</xdr:colOff>
      <xdr:row>1356</xdr:row>
      <xdr:rowOff>63501</xdr:rowOff>
    </xdr:to>
    <xdr:cxnSp macro="">
      <xdr:nvCxnSpPr>
        <xdr:cNvPr id="3617" name="Straight Arrow Connector 3616">
          <a:extLst>
            <a:ext uri="{FF2B5EF4-FFF2-40B4-BE49-F238E27FC236}">
              <a16:creationId xmlns:a16="http://schemas.microsoft.com/office/drawing/2014/main" id="{00000000-0008-0000-1200-0000210E0000}"/>
            </a:ext>
          </a:extLst>
        </xdr:cNvPr>
        <xdr:cNvCxnSpPr/>
      </xdr:nvCxnSpPr>
      <xdr:spPr>
        <a:xfrm>
          <a:off x="11313583" y="8596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1347</xdr:row>
      <xdr:rowOff>52917</xdr:rowOff>
    </xdr:from>
    <xdr:to>
      <xdr:col>15</xdr:col>
      <xdr:colOff>603250</xdr:colOff>
      <xdr:row>1349</xdr:row>
      <xdr:rowOff>148167</xdr:rowOff>
    </xdr:to>
    <xdr:cxnSp macro="">
      <xdr:nvCxnSpPr>
        <xdr:cNvPr id="3618" name="Straight Arrow Connector 3617">
          <a:extLst>
            <a:ext uri="{FF2B5EF4-FFF2-40B4-BE49-F238E27FC236}">
              <a16:creationId xmlns:a16="http://schemas.microsoft.com/office/drawing/2014/main" id="{00000000-0008-0000-1200-0000220E0000}"/>
            </a:ext>
          </a:extLst>
        </xdr:cNvPr>
        <xdr:cNvCxnSpPr/>
      </xdr:nvCxnSpPr>
      <xdr:spPr>
        <a:xfrm flipV="1">
          <a:off x="11324166" y="8539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3619" name="Straight Arrow Connector 3618">
          <a:extLst>
            <a:ext uri="{FF2B5EF4-FFF2-40B4-BE49-F238E27FC236}">
              <a16:creationId xmlns:a16="http://schemas.microsoft.com/office/drawing/2014/main" id="{00000000-0008-0000-1200-0000230E0000}"/>
            </a:ext>
          </a:extLst>
        </xdr:cNvPr>
        <xdr:cNvCxnSpPr/>
      </xdr:nvCxnSpPr>
      <xdr:spPr>
        <a:xfrm>
          <a:off x="11324166" y="72421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3620" name="Straight Arrow Connector 3619">
          <a:extLst>
            <a:ext uri="{FF2B5EF4-FFF2-40B4-BE49-F238E27FC236}">
              <a16:creationId xmlns:a16="http://schemas.microsoft.com/office/drawing/2014/main" id="{00000000-0008-0000-1200-0000240E0000}"/>
            </a:ext>
          </a:extLst>
        </xdr:cNvPr>
        <xdr:cNvCxnSpPr/>
      </xdr:nvCxnSpPr>
      <xdr:spPr>
        <a:xfrm>
          <a:off x="11324166" y="72421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3621" name="Straight Arrow Connector 3620">
          <a:extLst>
            <a:ext uri="{FF2B5EF4-FFF2-40B4-BE49-F238E27FC236}">
              <a16:creationId xmlns:a16="http://schemas.microsoft.com/office/drawing/2014/main" id="{00000000-0008-0000-1200-0000250E0000}"/>
            </a:ext>
          </a:extLst>
        </xdr:cNvPr>
        <xdr:cNvCxnSpPr/>
      </xdr:nvCxnSpPr>
      <xdr:spPr>
        <a:xfrm>
          <a:off x="11281833" y="6975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3622" name="Straight Arrow Connector 3621">
          <a:extLst>
            <a:ext uri="{FF2B5EF4-FFF2-40B4-BE49-F238E27FC236}">
              <a16:creationId xmlns:a16="http://schemas.microsoft.com/office/drawing/2014/main" id="{00000000-0008-0000-1200-0000260E0000}"/>
            </a:ext>
          </a:extLst>
        </xdr:cNvPr>
        <xdr:cNvCxnSpPr/>
      </xdr:nvCxnSpPr>
      <xdr:spPr>
        <a:xfrm>
          <a:off x="11324166" y="72421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1350</xdr:row>
      <xdr:rowOff>21167</xdr:rowOff>
    </xdr:from>
    <xdr:to>
      <xdr:col>15</xdr:col>
      <xdr:colOff>592666</xdr:colOff>
      <xdr:row>1351</xdr:row>
      <xdr:rowOff>84667</xdr:rowOff>
    </xdr:to>
    <xdr:cxnSp macro="">
      <xdr:nvCxnSpPr>
        <xdr:cNvPr id="3623" name="Straight Arrow Connector 3622">
          <a:extLst>
            <a:ext uri="{FF2B5EF4-FFF2-40B4-BE49-F238E27FC236}">
              <a16:creationId xmlns:a16="http://schemas.microsoft.com/office/drawing/2014/main" id="{00000000-0008-0000-1200-0000270E0000}"/>
            </a:ext>
          </a:extLst>
        </xdr:cNvPr>
        <xdr:cNvCxnSpPr/>
      </xdr:nvCxnSpPr>
      <xdr:spPr>
        <a:xfrm>
          <a:off x="11271250" y="859366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3624" name="Straight Arrow Connector 3623">
          <a:extLst>
            <a:ext uri="{FF2B5EF4-FFF2-40B4-BE49-F238E27FC236}">
              <a16:creationId xmlns:a16="http://schemas.microsoft.com/office/drawing/2014/main" id="{00000000-0008-0000-1200-0000280E0000}"/>
            </a:ext>
          </a:extLst>
        </xdr:cNvPr>
        <xdr:cNvCxnSpPr/>
      </xdr:nvCxnSpPr>
      <xdr:spPr>
        <a:xfrm>
          <a:off x="11281833" y="8061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625" name="Straight Arrow Connector 3624">
          <a:extLst>
            <a:ext uri="{FF2B5EF4-FFF2-40B4-BE49-F238E27FC236}">
              <a16:creationId xmlns:a16="http://schemas.microsoft.com/office/drawing/2014/main" id="{00000000-0008-0000-1200-0000290E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626" name="Straight Arrow Connector 3625">
          <a:extLst>
            <a:ext uri="{FF2B5EF4-FFF2-40B4-BE49-F238E27FC236}">
              <a16:creationId xmlns:a16="http://schemas.microsoft.com/office/drawing/2014/main" id="{00000000-0008-0000-1200-00002A0E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627" name="Straight Arrow Connector 3626">
          <a:extLst>
            <a:ext uri="{FF2B5EF4-FFF2-40B4-BE49-F238E27FC236}">
              <a16:creationId xmlns:a16="http://schemas.microsoft.com/office/drawing/2014/main" id="{00000000-0008-0000-1200-00002B0E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3628" name="Straight Arrow Connector 3627">
          <a:extLst>
            <a:ext uri="{FF2B5EF4-FFF2-40B4-BE49-F238E27FC236}">
              <a16:creationId xmlns:a16="http://schemas.microsoft.com/office/drawing/2014/main" id="{00000000-0008-0000-1200-00002C0E0000}"/>
            </a:ext>
          </a:extLst>
        </xdr:cNvPr>
        <xdr:cNvCxnSpPr/>
      </xdr:nvCxnSpPr>
      <xdr:spPr>
        <a:xfrm>
          <a:off x="11281833" y="8061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3629" name="Straight Arrow Connector 3628">
          <a:extLst>
            <a:ext uri="{FF2B5EF4-FFF2-40B4-BE49-F238E27FC236}">
              <a16:creationId xmlns:a16="http://schemas.microsoft.com/office/drawing/2014/main" id="{00000000-0008-0000-1200-00002D0E0000}"/>
            </a:ext>
          </a:extLst>
        </xdr:cNvPr>
        <xdr:cNvCxnSpPr/>
      </xdr:nvCxnSpPr>
      <xdr:spPr>
        <a:xfrm>
          <a:off x="11324166" y="8328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1364</xdr:row>
      <xdr:rowOff>10584</xdr:rowOff>
    </xdr:from>
    <xdr:to>
      <xdr:col>1</xdr:col>
      <xdr:colOff>603250</xdr:colOff>
      <xdr:row>1457</xdr:row>
      <xdr:rowOff>158750</xdr:rowOff>
    </xdr:to>
    <xdr:cxnSp macro="">
      <xdr:nvCxnSpPr>
        <xdr:cNvPr id="3630" name="Straight Arrow Connector 3629">
          <a:extLst>
            <a:ext uri="{FF2B5EF4-FFF2-40B4-BE49-F238E27FC236}">
              <a16:creationId xmlns:a16="http://schemas.microsoft.com/office/drawing/2014/main" id="{00000000-0008-0000-1200-00002E0E0000}"/>
            </a:ext>
          </a:extLst>
        </xdr:cNvPr>
        <xdr:cNvCxnSpPr/>
      </xdr:nvCxnSpPr>
      <xdr:spPr>
        <a:xfrm flipV="1">
          <a:off x="603250" y="88402584"/>
          <a:ext cx="613833" cy="18245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603250</xdr:colOff>
      <xdr:row>1460</xdr:row>
      <xdr:rowOff>169333</xdr:rowOff>
    </xdr:from>
    <xdr:to>
      <xdr:col>1</xdr:col>
      <xdr:colOff>603250</xdr:colOff>
      <xdr:row>1502</xdr:row>
      <xdr:rowOff>148167</xdr:rowOff>
    </xdr:to>
    <xdr:cxnSp macro="">
      <xdr:nvCxnSpPr>
        <xdr:cNvPr id="3631" name="Straight Arrow Connector 3630">
          <a:extLst>
            <a:ext uri="{FF2B5EF4-FFF2-40B4-BE49-F238E27FC236}">
              <a16:creationId xmlns:a16="http://schemas.microsoft.com/office/drawing/2014/main" id="{00000000-0008-0000-1200-00002F0E0000}"/>
            </a:ext>
          </a:extLst>
        </xdr:cNvPr>
        <xdr:cNvCxnSpPr/>
      </xdr:nvCxnSpPr>
      <xdr:spPr>
        <a:xfrm>
          <a:off x="603250" y="107230333"/>
          <a:ext cx="613833" cy="7979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10584</xdr:colOff>
      <xdr:row>1436</xdr:row>
      <xdr:rowOff>158750</xdr:rowOff>
    </xdr:from>
    <xdr:to>
      <xdr:col>3</xdr:col>
      <xdr:colOff>603250</xdr:colOff>
      <xdr:row>1503</xdr:row>
      <xdr:rowOff>10583</xdr:rowOff>
    </xdr:to>
    <xdr:cxnSp macro="">
      <xdr:nvCxnSpPr>
        <xdr:cNvPr id="3632" name="Straight Arrow Connector 3631">
          <a:extLst>
            <a:ext uri="{FF2B5EF4-FFF2-40B4-BE49-F238E27FC236}">
              <a16:creationId xmlns:a16="http://schemas.microsoft.com/office/drawing/2014/main" id="{00000000-0008-0000-1200-0000300E0000}"/>
            </a:ext>
          </a:extLst>
        </xdr:cNvPr>
        <xdr:cNvCxnSpPr/>
      </xdr:nvCxnSpPr>
      <xdr:spPr>
        <a:xfrm flipV="1">
          <a:off x="2381251" y="102457250"/>
          <a:ext cx="592666" cy="12805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21167</xdr:colOff>
      <xdr:row>1505</xdr:row>
      <xdr:rowOff>10583</xdr:rowOff>
    </xdr:from>
    <xdr:to>
      <xdr:col>4</xdr:col>
      <xdr:colOff>63500</xdr:colOff>
      <xdr:row>1656</xdr:row>
      <xdr:rowOff>158750</xdr:rowOff>
    </xdr:to>
    <xdr:cxnSp macro="">
      <xdr:nvCxnSpPr>
        <xdr:cNvPr id="3633" name="Straight Arrow Connector 3632">
          <a:extLst>
            <a:ext uri="{FF2B5EF4-FFF2-40B4-BE49-F238E27FC236}">
              <a16:creationId xmlns:a16="http://schemas.microsoft.com/office/drawing/2014/main" id="{00000000-0008-0000-1200-0000310E0000}"/>
            </a:ext>
          </a:extLst>
        </xdr:cNvPr>
        <xdr:cNvCxnSpPr/>
      </xdr:nvCxnSpPr>
      <xdr:spPr>
        <a:xfrm>
          <a:off x="2391834" y="115834583"/>
          <a:ext cx="656166" cy="29294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1399</xdr:row>
      <xdr:rowOff>1</xdr:rowOff>
    </xdr:from>
    <xdr:to>
      <xdr:col>6</xdr:col>
      <xdr:colOff>0</xdr:colOff>
      <xdr:row>1433</xdr:row>
      <xdr:rowOff>116417</xdr:rowOff>
    </xdr:to>
    <xdr:cxnSp macro="">
      <xdr:nvCxnSpPr>
        <xdr:cNvPr id="3634" name="Straight Arrow Connector 3633">
          <a:extLst>
            <a:ext uri="{FF2B5EF4-FFF2-40B4-BE49-F238E27FC236}">
              <a16:creationId xmlns:a16="http://schemas.microsoft.com/office/drawing/2014/main" id="{00000000-0008-0000-1200-0000320E0000}"/>
            </a:ext>
          </a:extLst>
        </xdr:cNvPr>
        <xdr:cNvCxnSpPr/>
      </xdr:nvCxnSpPr>
      <xdr:spPr>
        <a:xfrm flipV="1">
          <a:off x="3810000" y="952500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1436</xdr:row>
      <xdr:rowOff>169334</xdr:rowOff>
    </xdr:from>
    <xdr:to>
      <xdr:col>5</xdr:col>
      <xdr:colOff>571500</xdr:colOff>
      <xdr:row>1505</xdr:row>
      <xdr:rowOff>0</xdr:rowOff>
    </xdr:to>
    <xdr:cxnSp macro="">
      <xdr:nvCxnSpPr>
        <xdr:cNvPr id="3635" name="Straight Arrow Connector 3634">
          <a:extLst>
            <a:ext uri="{FF2B5EF4-FFF2-40B4-BE49-F238E27FC236}">
              <a16:creationId xmlns:a16="http://schemas.microsoft.com/office/drawing/2014/main" id="{00000000-0008-0000-1200-0000330E0000}"/>
            </a:ext>
          </a:extLst>
        </xdr:cNvPr>
        <xdr:cNvCxnSpPr/>
      </xdr:nvCxnSpPr>
      <xdr:spPr>
        <a:xfrm>
          <a:off x="3894667" y="102467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1374</xdr:row>
      <xdr:rowOff>148167</xdr:rowOff>
    </xdr:from>
    <xdr:to>
      <xdr:col>7</xdr:col>
      <xdr:colOff>603250</xdr:colOff>
      <xdr:row>1396</xdr:row>
      <xdr:rowOff>31750</xdr:rowOff>
    </xdr:to>
    <xdr:cxnSp macro="">
      <xdr:nvCxnSpPr>
        <xdr:cNvPr id="3636" name="Straight Arrow Connector 3635">
          <a:extLst>
            <a:ext uri="{FF2B5EF4-FFF2-40B4-BE49-F238E27FC236}">
              <a16:creationId xmlns:a16="http://schemas.microsoft.com/office/drawing/2014/main" id="{00000000-0008-0000-1200-0000340E0000}"/>
            </a:ext>
          </a:extLst>
        </xdr:cNvPr>
        <xdr:cNvCxnSpPr/>
      </xdr:nvCxnSpPr>
      <xdr:spPr>
        <a:xfrm flipV="1">
          <a:off x="5461000" y="90445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1399</xdr:row>
      <xdr:rowOff>10584</xdr:rowOff>
    </xdr:from>
    <xdr:to>
      <xdr:col>8</xdr:col>
      <xdr:colOff>21167</xdr:colOff>
      <xdr:row>1427</xdr:row>
      <xdr:rowOff>148166</xdr:rowOff>
    </xdr:to>
    <xdr:cxnSp macro="">
      <xdr:nvCxnSpPr>
        <xdr:cNvPr id="3637" name="Straight Arrow Connector 3636">
          <a:extLst>
            <a:ext uri="{FF2B5EF4-FFF2-40B4-BE49-F238E27FC236}">
              <a16:creationId xmlns:a16="http://schemas.microsoft.com/office/drawing/2014/main" id="{00000000-0008-0000-1200-0000350E0000}"/>
            </a:ext>
          </a:extLst>
        </xdr:cNvPr>
        <xdr:cNvCxnSpPr/>
      </xdr:nvCxnSpPr>
      <xdr:spPr>
        <a:xfrm>
          <a:off x="5461000" y="952605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1366</xdr:row>
      <xdr:rowOff>137583</xdr:rowOff>
    </xdr:from>
    <xdr:to>
      <xdr:col>9</xdr:col>
      <xdr:colOff>603250</xdr:colOff>
      <xdr:row>1372</xdr:row>
      <xdr:rowOff>21166</xdr:rowOff>
    </xdr:to>
    <xdr:cxnSp macro="">
      <xdr:nvCxnSpPr>
        <xdr:cNvPr id="3638" name="Straight Arrow Connector 3637">
          <a:extLst>
            <a:ext uri="{FF2B5EF4-FFF2-40B4-BE49-F238E27FC236}">
              <a16:creationId xmlns:a16="http://schemas.microsoft.com/office/drawing/2014/main" id="{00000000-0008-0000-1200-0000360E0000}"/>
            </a:ext>
          </a:extLst>
        </xdr:cNvPr>
        <xdr:cNvCxnSpPr/>
      </xdr:nvCxnSpPr>
      <xdr:spPr>
        <a:xfrm flipV="1">
          <a:off x="6688667" y="88910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1375</xdr:row>
      <xdr:rowOff>0</xdr:rowOff>
    </xdr:from>
    <xdr:to>
      <xdr:col>9</xdr:col>
      <xdr:colOff>582083</xdr:colOff>
      <xdr:row>1383</xdr:row>
      <xdr:rowOff>10583</xdr:rowOff>
    </xdr:to>
    <xdr:cxnSp macro="">
      <xdr:nvCxnSpPr>
        <xdr:cNvPr id="3639" name="Straight Arrow Connector 3638">
          <a:extLst>
            <a:ext uri="{FF2B5EF4-FFF2-40B4-BE49-F238E27FC236}">
              <a16:creationId xmlns:a16="http://schemas.microsoft.com/office/drawing/2014/main" id="{00000000-0008-0000-1200-0000370E0000}"/>
            </a:ext>
          </a:extLst>
        </xdr:cNvPr>
        <xdr:cNvCxnSpPr/>
      </xdr:nvCxnSpPr>
      <xdr:spPr>
        <a:xfrm>
          <a:off x="6720417" y="90487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1380</xdr:row>
      <xdr:rowOff>169333</xdr:rowOff>
    </xdr:from>
    <xdr:to>
      <xdr:col>11</xdr:col>
      <xdr:colOff>603250</xdr:colOff>
      <xdr:row>1383</xdr:row>
      <xdr:rowOff>21167</xdr:rowOff>
    </xdr:to>
    <xdr:cxnSp macro="">
      <xdr:nvCxnSpPr>
        <xdr:cNvPr id="3640" name="Straight Arrow Connector 3639">
          <a:extLst>
            <a:ext uri="{FF2B5EF4-FFF2-40B4-BE49-F238E27FC236}">
              <a16:creationId xmlns:a16="http://schemas.microsoft.com/office/drawing/2014/main" id="{00000000-0008-0000-1200-0000380E0000}"/>
            </a:ext>
          </a:extLst>
        </xdr:cNvPr>
        <xdr:cNvCxnSpPr/>
      </xdr:nvCxnSpPr>
      <xdr:spPr>
        <a:xfrm flipV="1">
          <a:off x="7937500" y="91609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1386</xdr:row>
      <xdr:rowOff>42333</xdr:rowOff>
    </xdr:from>
    <xdr:to>
      <xdr:col>11</xdr:col>
      <xdr:colOff>603250</xdr:colOff>
      <xdr:row>1398</xdr:row>
      <xdr:rowOff>10583</xdr:rowOff>
    </xdr:to>
    <xdr:cxnSp macro="">
      <xdr:nvCxnSpPr>
        <xdr:cNvPr id="3641" name="Straight Arrow Connector 3640">
          <a:extLst>
            <a:ext uri="{FF2B5EF4-FFF2-40B4-BE49-F238E27FC236}">
              <a16:creationId xmlns:a16="http://schemas.microsoft.com/office/drawing/2014/main" id="{00000000-0008-0000-1200-0000390E0000}"/>
            </a:ext>
          </a:extLst>
        </xdr:cNvPr>
        <xdr:cNvCxnSpPr/>
      </xdr:nvCxnSpPr>
      <xdr:spPr>
        <a:xfrm>
          <a:off x="7926917" y="92625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1376</xdr:row>
      <xdr:rowOff>21167</xdr:rowOff>
    </xdr:from>
    <xdr:to>
      <xdr:col>13</xdr:col>
      <xdr:colOff>592667</xdr:colOff>
      <xdr:row>1378</xdr:row>
      <xdr:rowOff>0</xdr:rowOff>
    </xdr:to>
    <xdr:cxnSp macro="">
      <xdr:nvCxnSpPr>
        <xdr:cNvPr id="3642" name="Straight Arrow Connector 3641">
          <a:extLst>
            <a:ext uri="{FF2B5EF4-FFF2-40B4-BE49-F238E27FC236}">
              <a16:creationId xmlns:a16="http://schemas.microsoft.com/office/drawing/2014/main" id="{00000000-0008-0000-1200-00003A0E0000}"/>
            </a:ext>
          </a:extLst>
        </xdr:cNvPr>
        <xdr:cNvCxnSpPr/>
      </xdr:nvCxnSpPr>
      <xdr:spPr>
        <a:xfrm flipV="1">
          <a:off x="9133417" y="90699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1381</xdr:row>
      <xdr:rowOff>21166</xdr:rowOff>
    </xdr:from>
    <xdr:to>
      <xdr:col>13</xdr:col>
      <xdr:colOff>592667</xdr:colOff>
      <xdr:row>1382</xdr:row>
      <xdr:rowOff>169334</xdr:rowOff>
    </xdr:to>
    <xdr:cxnSp macro="">
      <xdr:nvCxnSpPr>
        <xdr:cNvPr id="3643" name="Straight Arrow Connector 3642">
          <a:extLst>
            <a:ext uri="{FF2B5EF4-FFF2-40B4-BE49-F238E27FC236}">
              <a16:creationId xmlns:a16="http://schemas.microsoft.com/office/drawing/2014/main" id="{00000000-0008-0000-1200-00003B0E0000}"/>
            </a:ext>
          </a:extLst>
        </xdr:cNvPr>
        <xdr:cNvCxnSpPr/>
      </xdr:nvCxnSpPr>
      <xdr:spPr>
        <a:xfrm>
          <a:off x="9122833" y="91651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1396</xdr:row>
      <xdr:rowOff>21167</xdr:rowOff>
    </xdr:from>
    <xdr:to>
      <xdr:col>13</xdr:col>
      <xdr:colOff>592667</xdr:colOff>
      <xdr:row>1398</xdr:row>
      <xdr:rowOff>63500</xdr:rowOff>
    </xdr:to>
    <xdr:cxnSp macro="">
      <xdr:nvCxnSpPr>
        <xdr:cNvPr id="3644" name="Straight Arrow Connector 3643">
          <a:extLst>
            <a:ext uri="{FF2B5EF4-FFF2-40B4-BE49-F238E27FC236}">
              <a16:creationId xmlns:a16="http://schemas.microsoft.com/office/drawing/2014/main" id="{00000000-0008-0000-1200-00003C0E0000}"/>
            </a:ext>
          </a:extLst>
        </xdr:cNvPr>
        <xdr:cNvCxnSpPr/>
      </xdr:nvCxnSpPr>
      <xdr:spPr>
        <a:xfrm flipV="1">
          <a:off x="9525000" y="94699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1401</xdr:row>
      <xdr:rowOff>0</xdr:rowOff>
    </xdr:from>
    <xdr:to>
      <xdr:col>14</xdr:col>
      <xdr:colOff>10584</xdr:colOff>
      <xdr:row>1409</xdr:row>
      <xdr:rowOff>148167</xdr:rowOff>
    </xdr:to>
    <xdr:cxnSp macro="">
      <xdr:nvCxnSpPr>
        <xdr:cNvPr id="3645" name="Straight Arrow Connector 3644">
          <a:extLst>
            <a:ext uri="{FF2B5EF4-FFF2-40B4-BE49-F238E27FC236}">
              <a16:creationId xmlns:a16="http://schemas.microsoft.com/office/drawing/2014/main" id="{00000000-0008-0000-1200-00003D0E0000}"/>
            </a:ext>
          </a:extLst>
        </xdr:cNvPr>
        <xdr:cNvCxnSpPr/>
      </xdr:nvCxnSpPr>
      <xdr:spPr>
        <a:xfrm>
          <a:off x="9535583" y="95631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1368</xdr:row>
      <xdr:rowOff>0</xdr:rowOff>
    </xdr:from>
    <xdr:to>
      <xdr:col>15</xdr:col>
      <xdr:colOff>603250</xdr:colOff>
      <xdr:row>1373</xdr:row>
      <xdr:rowOff>31750</xdr:rowOff>
    </xdr:to>
    <xdr:cxnSp macro="">
      <xdr:nvCxnSpPr>
        <xdr:cNvPr id="3646" name="Straight Arrow Connector 3645">
          <a:extLst>
            <a:ext uri="{FF2B5EF4-FFF2-40B4-BE49-F238E27FC236}">
              <a16:creationId xmlns:a16="http://schemas.microsoft.com/office/drawing/2014/main" id="{00000000-0008-0000-1200-00003E0E0000}"/>
            </a:ext>
          </a:extLst>
        </xdr:cNvPr>
        <xdr:cNvCxnSpPr/>
      </xdr:nvCxnSpPr>
      <xdr:spPr>
        <a:xfrm flipV="1">
          <a:off x="11281833" y="89154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1371</xdr:row>
      <xdr:rowOff>52917</xdr:rowOff>
    </xdr:from>
    <xdr:to>
      <xdr:col>15</xdr:col>
      <xdr:colOff>603250</xdr:colOff>
      <xdr:row>1373</xdr:row>
      <xdr:rowOff>95250</xdr:rowOff>
    </xdr:to>
    <xdr:cxnSp macro="">
      <xdr:nvCxnSpPr>
        <xdr:cNvPr id="3647" name="Straight Arrow Connector 3646">
          <a:extLst>
            <a:ext uri="{FF2B5EF4-FFF2-40B4-BE49-F238E27FC236}">
              <a16:creationId xmlns:a16="http://schemas.microsoft.com/office/drawing/2014/main" id="{00000000-0008-0000-1200-00003F0E0000}"/>
            </a:ext>
          </a:extLst>
        </xdr:cNvPr>
        <xdr:cNvCxnSpPr/>
      </xdr:nvCxnSpPr>
      <xdr:spPr>
        <a:xfrm flipV="1">
          <a:off x="11324166" y="89778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1373</xdr:row>
      <xdr:rowOff>158750</xdr:rowOff>
    </xdr:from>
    <xdr:to>
      <xdr:col>15</xdr:col>
      <xdr:colOff>582083</xdr:colOff>
      <xdr:row>1374</xdr:row>
      <xdr:rowOff>137583</xdr:rowOff>
    </xdr:to>
    <xdr:cxnSp macro="">
      <xdr:nvCxnSpPr>
        <xdr:cNvPr id="3648" name="Straight Arrow Connector 3647">
          <a:extLst>
            <a:ext uri="{FF2B5EF4-FFF2-40B4-BE49-F238E27FC236}">
              <a16:creationId xmlns:a16="http://schemas.microsoft.com/office/drawing/2014/main" id="{00000000-0008-0000-1200-0000400E0000}"/>
            </a:ext>
          </a:extLst>
        </xdr:cNvPr>
        <xdr:cNvCxnSpPr/>
      </xdr:nvCxnSpPr>
      <xdr:spPr>
        <a:xfrm>
          <a:off x="11345333" y="90265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1373</xdr:row>
      <xdr:rowOff>105834</xdr:rowOff>
    </xdr:from>
    <xdr:to>
      <xdr:col>16</xdr:col>
      <xdr:colOff>0</xdr:colOff>
      <xdr:row>1377</xdr:row>
      <xdr:rowOff>84667</xdr:rowOff>
    </xdr:to>
    <xdr:cxnSp macro="">
      <xdr:nvCxnSpPr>
        <xdr:cNvPr id="3649" name="Straight Arrow Connector 3648">
          <a:extLst>
            <a:ext uri="{FF2B5EF4-FFF2-40B4-BE49-F238E27FC236}">
              <a16:creationId xmlns:a16="http://schemas.microsoft.com/office/drawing/2014/main" id="{00000000-0008-0000-1200-0000410E0000}"/>
            </a:ext>
          </a:extLst>
        </xdr:cNvPr>
        <xdr:cNvCxnSpPr/>
      </xdr:nvCxnSpPr>
      <xdr:spPr>
        <a:xfrm>
          <a:off x="11260667" y="90212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1381</xdr:row>
      <xdr:rowOff>52916</xdr:rowOff>
    </xdr:from>
    <xdr:to>
      <xdr:col>16</xdr:col>
      <xdr:colOff>0</xdr:colOff>
      <xdr:row>1383</xdr:row>
      <xdr:rowOff>0</xdr:rowOff>
    </xdr:to>
    <xdr:cxnSp macro="">
      <xdr:nvCxnSpPr>
        <xdr:cNvPr id="3650" name="Straight Arrow Connector 3649">
          <a:extLst>
            <a:ext uri="{FF2B5EF4-FFF2-40B4-BE49-F238E27FC236}">
              <a16:creationId xmlns:a16="http://schemas.microsoft.com/office/drawing/2014/main" id="{00000000-0008-0000-1200-0000420E0000}"/>
            </a:ext>
          </a:extLst>
        </xdr:cNvPr>
        <xdr:cNvCxnSpPr/>
      </xdr:nvCxnSpPr>
      <xdr:spPr>
        <a:xfrm flipV="1">
          <a:off x="11281833" y="91683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1383</xdr:row>
      <xdr:rowOff>21167</xdr:rowOff>
    </xdr:from>
    <xdr:to>
      <xdr:col>15</xdr:col>
      <xdr:colOff>582083</xdr:colOff>
      <xdr:row>1384</xdr:row>
      <xdr:rowOff>42333</xdr:rowOff>
    </xdr:to>
    <xdr:cxnSp macro="">
      <xdr:nvCxnSpPr>
        <xdr:cNvPr id="3651" name="Straight Arrow Connector 3650">
          <a:extLst>
            <a:ext uri="{FF2B5EF4-FFF2-40B4-BE49-F238E27FC236}">
              <a16:creationId xmlns:a16="http://schemas.microsoft.com/office/drawing/2014/main" id="{00000000-0008-0000-1200-0000430E0000}"/>
            </a:ext>
          </a:extLst>
        </xdr:cNvPr>
        <xdr:cNvCxnSpPr/>
      </xdr:nvCxnSpPr>
      <xdr:spPr>
        <a:xfrm>
          <a:off x="11292416" y="92032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1383</xdr:row>
      <xdr:rowOff>21167</xdr:rowOff>
    </xdr:from>
    <xdr:to>
      <xdr:col>16</xdr:col>
      <xdr:colOff>42333</xdr:colOff>
      <xdr:row>1388</xdr:row>
      <xdr:rowOff>21168</xdr:rowOff>
    </xdr:to>
    <xdr:cxnSp macro="">
      <xdr:nvCxnSpPr>
        <xdr:cNvPr id="3652" name="Straight Arrow Connector 3651">
          <a:extLst>
            <a:ext uri="{FF2B5EF4-FFF2-40B4-BE49-F238E27FC236}">
              <a16:creationId xmlns:a16="http://schemas.microsoft.com/office/drawing/2014/main" id="{00000000-0008-0000-1200-0000440E0000}"/>
            </a:ext>
          </a:extLst>
        </xdr:cNvPr>
        <xdr:cNvCxnSpPr/>
      </xdr:nvCxnSpPr>
      <xdr:spPr>
        <a:xfrm>
          <a:off x="11271250" y="92032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1383</xdr:row>
      <xdr:rowOff>31750</xdr:rowOff>
    </xdr:from>
    <xdr:to>
      <xdr:col>16</xdr:col>
      <xdr:colOff>42334</xdr:colOff>
      <xdr:row>1390</xdr:row>
      <xdr:rowOff>63501</xdr:rowOff>
    </xdr:to>
    <xdr:cxnSp macro="">
      <xdr:nvCxnSpPr>
        <xdr:cNvPr id="3653" name="Straight Arrow Connector 3652">
          <a:extLst>
            <a:ext uri="{FF2B5EF4-FFF2-40B4-BE49-F238E27FC236}">
              <a16:creationId xmlns:a16="http://schemas.microsoft.com/office/drawing/2014/main" id="{00000000-0008-0000-1200-0000450E0000}"/>
            </a:ext>
          </a:extLst>
        </xdr:cNvPr>
        <xdr:cNvCxnSpPr/>
      </xdr:nvCxnSpPr>
      <xdr:spPr>
        <a:xfrm>
          <a:off x="11281833" y="9204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1420</xdr:row>
      <xdr:rowOff>42333</xdr:rowOff>
    </xdr:from>
    <xdr:to>
      <xdr:col>9</xdr:col>
      <xdr:colOff>592666</xdr:colOff>
      <xdr:row>1428</xdr:row>
      <xdr:rowOff>42333</xdr:rowOff>
    </xdr:to>
    <xdr:cxnSp macro="">
      <xdr:nvCxnSpPr>
        <xdr:cNvPr id="3654" name="Straight Arrow Connector 3653">
          <a:extLst>
            <a:ext uri="{FF2B5EF4-FFF2-40B4-BE49-F238E27FC236}">
              <a16:creationId xmlns:a16="http://schemas.microsoft.com/office/drawing/2014/main" id="{00000000-0008-0000-1200-0000460E0000}"/>
            </a:ext>
          </a:extLst>
        </xdr:cNvPr>
        <xdr:cNvCxnSpPr/>
      </xdr:nvCxnSpPr>
      <xdr:spPr>
        <a:xfrm flipV="1">
          <a:off x="6699250" y="99292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1430</xdr:row>
      <xdr:rowOff>169334</xdr:rowOff>
    </xdr:from>
    <xdr:to>
      <xdr:col>9</xdr:col>
      <xdr:colOff>603250</xdr:colOff>
      <xdr:row>1439</xdr:row>
      <xdr:rowOff>31750</xdr:rowOff>
    </xdr:to>
    <xdr:cxnSp macro="">
      <xdr:nvCxnSpPr>
        <xdr:cNvPr id="3655" name="Straight Arrow Connector 3654">
          <a:extLst>
            <a:ext uri="{FF2B5EF4-FFF2-40B4-BE49-F238E27FC236}">
              <a16:creationId xmlns:a16="http://schemas.microsoft.com/office/drawing/2014/main" id="{00000000-0008-0000-1200-0000470E0000}"/>
            </a:ext>
          </a:extLst>
        </xdr:cNvPr>
        <xdr:cNvCxnSpPr/>
      </xdr:nvCxnSpPr>
      <xdr:spPr>
        <a:xfrm>
          <a:off x="6720417" y="101324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1436</xdr:row>
      <xdr:rowOff>158750</xdr:rowOff>
    </xdr:from>
    <xdr:to>
      <xdr:col>11</xdr:col>
      <xdr:colOff>571500</xdr:colOff>
      <xdr:row>1439</xdr:row>
      <xdr:rowOff>0</xdr:rowOff>
    </xdr:to>
    <xdr:cxnSp macro="">
      <xdr:nvCxnSpPr>
        <xdr:cNvPr id="3656" name="Straight Arrow Connector 3655">
          <a:extLst>
            <a:ext uri="{FF2B5EF4-FFF2-40B4-BE49-F238E27FC236}">
              <a16:creationId xmlns:a16="http://schemas.microsoft.com/office/drawing/2014/main" id="{00000000-0008-0000-1200-0000480E0000}"/>
            </a:ext>
          </a:extLst>
        </xdr:cNvPr>
        <xdr:cNvCxnSpPr/>
      </xdr:nvCxnSpPr>
      <xdr:spPr>
        <a:xfrm flipV="1">
          <a:off x="7874000" y="102457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1394</xdr:row>
      <xdr:rowOff>0</xdr:rowOff>
    </xdr:from>
    <xdr:to>
      <xdr:col>15</xdr:col>
      <xdr:colOff>603250</xdr:colOff>
      <xdr:row>1396</xdr:row>
      <xdr:rowOff>1</xdr:rowOff>
    </xdr:to>
    <xdr:cxnSp macro="">
      <xdr:nvCxnSpPr>
        <xdr:cNvPr id="3657" name="Straight Arrow Connector 3656">
          <a:extLst>
            <a:ext uri="{FF2B5EF4-FFF2-40B4-BE49-F238E27FC236}">
              <a16:creationId xmlns:a16="http://schemas.microsoft.com/office/drawing/2014/main" id="{00000000-0008-0000-1200-0000490E0000}"/>
            </a:ext>
          </a:extLst>
        </xdr:cNvPr>
        <xdr:cNvCxnSpPr/>
      </xdr:nvCxnSpPr>
      <xdr:spPr>
        <a:xfrm flipV="1">
          <a:off x="11271250" y="94297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1396</xdr:row>
      <xdr:rowOff>10584</xdr:rowOff>
    </xdr:from>
    <xdr:to>
      <xdr:col>15</xdr:col>
      <xdr:colOff>592666</xdr:colOff>
      <xdr:row>1397</xdr:row>
      <xdr:rowOff>95250</xdr:rowOff>
    </xdr:to>
    <xdr:cxnSp macro="">
      <xdr:nvCxnSpPr>
        <xdr:cNvPr id="3658" name="Straight Arrow Connector 3657">
          <a:extLst>
            <a:ext uri="{FF2B5EF4-FFF2-40B4-BE49-F238E27FC236}">
              <a16:creationId xmlns:a16="http://schemas.microsoft.com/office/drawing/2014/main" id="{00000000-0008-0000-1200-00004A0E0000}"/>
            </a:ext>
          </a:extLst>
        </xdr:cNvPr>
        <xdr:cNvCxnSpPr/>
      </xdr:nvCxnSpPr>
      <xdr:spPr>
        <a:xfrm>
          <a:off x="11313583" y="94689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1396</xdr:row>
      <xdr:rowOff>10584</xdr:rowOff>
    </xdr:from>
    <xdr:to>
      <xdr:col>15</xdr:col>
      <xdr:colOff>560916</xdr:colOff>
      <xdr:row>1400</xdr:row>
      <xdr:rowOff>52917</xdr:rowOff>
    </xdr:to>
    <xdr:cxnSp macro="">
      <xdr:nvCxnSpPr>
        <xdr:cNvPr id="3659" name="Straight Arrow Connector 3658">
          <a:extLst>
            <a:ext uri="{FF2B5EF4-FFF2-40B4-BE49-F238E27FC236}">
              <a16:creationId xmlns:a16="http://schemas.microsoft.com/office/drawing/2014/main" id="{00000000-0008-0000-1200-00004B0E0000}"/>
            </a:ext>
          </a:extLst>
        </xdr:cNvPr>
        <xdr:cNvCxnSpPr/>
      </xdr:nvCxnSpPr>
      <xdr:spPr>
        <a:xfrm>
          <a:off x="11292416" y="94689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1396</xdr:row>
      <xdr:rowOff>31750</xdr:rowOff>
    </xdr:from>
    <xdr:to>
      <xdr:col>16</xdr:col>
      <xdr:colOff>21167</xdr:colOff>
      <xdr:row>1403</xdr:row>
      <xdr:rowOff>95250</xdr:rowOff>
    </xdr:to>
    <xdr:cxnSp macro="">
      <xdr:nvCxnSpPr>
        <xdr:cNvPr id="3660" name="Straight Arrow Connector 3659">
          <a:extLst>
            <a:ext uri="{FF2B5EF4-FFF2-40B4-BE49-F238E27FC236}">
              <a16:creationId xmlns:a16="http://schemas.microsoft.com/office/drawing/2014/main" id="{00000000-0008-0000-1200-00004C0E0000}"/>
            </a:ext>
          </a:extLst>
        </xdr:cNvPr>
        <xdr:cNvCxnSpPr/>
      </xdr:nvCxnSpPr>
      <xdr:spPr>
        <a:xfrm>
          <a:off x="11324166" y="9471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1410</xdr:row>
      <xdr:rowOff>0</xdr:rowOff>
    </xdr:from>
    <xdr:to>
      <xdr:col>16</xdr:col>
      <xdr:colOff>0</xdr:colOff>
      <xdr:row>1410</xdr:row>
      <xdr:rowOff>42334</xdr:rowOff>
    </xdr:to>
    <xdr:cxnSp macro="">
      <xdr:nvCxnSpPr>
        <xdr:cNvPr id="3661" name="Straight Arrow Connector 3660">
          <a:extLst>
            <a:ext uri="{FF2B5EF4-FFF2-40B4-BE49-F238E27FC236}">
              <a16:creationId xmlns:a16="http://schemas.microsoft.com/office/drawing/2014/main" id="{00000000-0008-0000-1200-00004D0E0000}"/>
            </a:ext>
          </a:extLst>
        </xdr:cNvPr>
        <xdr:cNvCxnSpPr/>
      </xdr:nvCxnSpPr>
      <xdr:spPr>
        <a:xfrm>
          <a:off x="11302999" y="97345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1410</xdr:row>
      <xdr:rowOff>21166</xdr:rowOff>
    </xdr:from>
    <xdr:to>
      <xdr:col>15</xdr:col>
      <xdr:colOff>560916</xdr:colOff>
      <xdr:row>1413</xdr:row>
      <xdr:rowOff>84667</xdr:rowOff>
    </xdr:to>
    <xdr:cxnSp macro="">
      <xdr:nvCxnSpPr>
        <xdr:cNvPr id="3662" name="Straight Arrow Connector 3661">
          <a:extLst>
            <a:ext uri="{FF2B5EF4-FFF2-40B4-BE49-F238E27FC236}">
              <a16:creationId xmlns:a16="http://schemas.microsoft.com/office/drawing/2014/main" id="{00000000-0008-0000-1200-00004E0E0000}"/>
            </a:ext>
          </a:extLst>
        </xdr:cNvPr>
        <xdr:cNvCxnSpPr/>
      </xdr:nvCxnSpPr>
      <xdr:spPr>
        <a:xfrm>
          <a:off x="11355916" y="97366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1410</xdr:row>
      <xdr:rowOff>52916</xdr:rowOff>
    </xdr:from>
    <xdr:to>
      <xdr:col>15</xdr:col>
      <xdr:colOff>592666</xdr:colOff>
      <xdr:row>1416</xdr:row>
      <xdr:rowOff>63501</xdr:rowOff>
    </xdr:to>
    <xdr:cxnSp macro="">
      <xdr:nvCxnSpPr>
        <xdr:cNvPr id="3663" name="Straight Arrow Connector 3662">
          <a:extLst>
            <a:ext uri="{FF2B5EF4-FFF2-40B4-BE49-F238E27FC236}">
              <a16:creationId xmlns:a16="http://schemas.microsoft.com/office/drawing/2014/main" id="{00000000-0008-0000-1200-00004F0E0000}"/>
            </a:ext>
          </a:extLst>
        </xdr:cNvPr>
        <xdr:cNvCxnSpPr/>
      </xdr:nvCxnSpPr>
      <xdr:spPr>
        <a:xfrm>
          <a:off x="11313583" y="97398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1424</xdr:row>
      <xdr:rowOff>116416</xdr:rowOff>
    </xdr:from>
    <xdr:to>
      <xdr:col>15</xdr:col>
      <xdr:colOff>592666</xdr:colOff>
      <xdr:row>1427</xdr:row>
      <xdr:rowOff>158750</xdr:rowOff>
    </xdr:to>
    <xdr:cxnSp macro="">
      <xdr:nvCxnSpPr>
        <xdr:cNvPr id="3664" name="Straight Arrow Connector 3663">
          <a:extLst>
            <a:ext uri="{FF2B5EF4-FFF2-40B4-BE49-F238E27FC236}">
              <a16:creationId xmlns:a16="http://schemas.microsoft.com/office/drawing/2014/main" id="{00000000-0008-0000-1200-0000500E0000}"/>
            </a:ext>
          </a:extLst>
        </xdr:cNvPr>
        <xdr:cNvCxnSpPr/>
      </xdr:nvCxnSpPr>
      <xdr:spPr>
        <a:xfrm flipV="1">
          <a:off x="11302999" y="100128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1426</xdr:row>
      <xdr:rowOff>95250</xdr:rowOff>
    </xdr:from>
    <xdr:to>
      <xdr:col>15</xdr:col>
      <xdr:colOff>582083</xdr:colOff>
      <xdr:row>1428</xdr:row>
      <xdr:rowOff>52917</xdr:rowOff>
    </xdr:to>
    <xdr:cxnSp macro="">
      <xdr:nvCxnSpPr>
        <xdr:cNvPr id="3665" name="Straight Arrow Connector 3664">
          <a:extLst>
            <a:ext uri="{FF2B5EF4-FFF2-40B4-BE49-F238E27FC236}">
              <a16:creationId xmlns:a16="http://schemas.microsoft.com/office/drawing/2014/main" id="{00000000-0008-0000-1200-0000510E0000}"/>
            </a:ext>
          </a:extLst>
        </xdr:cNvPr>
        <xdr:cNvCxnSpPr/>
      </xdr:nvCxnSpPr>
      <xdr:spPr>
        <a:xfrm flipV="1">
          <a:off x="11345333" y="100488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116417</xdr:rowOff>
    </xdr:from>
    <xdr:to>
      <xdr:col>15</xdr:col>
      <xdr:colOff>592666</xdr:colOff>
      <xdr:row>1432</xdr:row>
      <xdr:rowOff>95250</xdr:rowOff>
    </xdr:to>
    <xdr:cxnSp macro="">
      <xdr:nvCxnSpPr>
        <xdr:cNvPr id="3666" name="Straight Arrow Connector 3665">
          <a:extLst>
            <a:ext uri="{FF2B5EF4-FFF2-40B4-BE49-F238E27FC236}">
              <a16:creationId xmlns:a16="http://schemas.microsoft.com/office/drawing/2014/main" id="{00000000-0008-0000-1200-0000520E0000}"/>
            </a:ext>
          </a:extLst>
        </xdr:cNvPr>
        <xdr:cNvCxnSpPr/>
      </xdr:nvCxnSpPr>
      <xdr:spPr>
        <a:xfrm>
          <a:off x="11334749" y="100890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1439</xdr:row>
      <xdr:rowOff>116416</xdr:rowOff>
    </xdr:from>
    <xdr:to>
      <xdr:col>16</xdr:col>
      <xdr:colOff>0</xdr:colOff>
      <xdr:row>1446</xdr:row>
      <xdr:rowOff>74084</xdr:rowOff>
    </xdr:to>
    <xdr:cxnSp macro="">
      <xdr:nvCxnSpPr>
        <xdr:cNvPr id="3667" name="Straight Arrow Connector 3666">
          <a:extLst>
            <a:ext uri="{FF2B5EF4-FFF2-40B4-BE49-F238E27FC236}">
              <a16:creationId xmlns:a16="http://schemas.microsoft.com/office/drawing/2014/main" id="{00000000-0008-0000-1200-0000530E0000}"/>
            </a:ext>
          </a:extLst>
        </xdr:cNvPr>
        <xdr:cNvCxnSpPr/>
      </xdr:nvCxnSpPr>
      <xdr:spPr>
        <a:xfrm>
          <a:off x="11313583" y="102986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1407</xdr:row>
      <xdr:rowOff>52917</xdr:rowOff>
    </xdr:from>
    <xdr:to>
      <xdr:col>15</xdr:col>
      <xdr:colOff>603250</xdr:colOff>
      <xdr:row>1409</xdr:row>
      <xdr:rowOff>148167</xdr:rowOff>
    </xdr:to>
    <xdr:cxnSp macro="">
      <xdr:nvCxnSpPr>
        <xdr:cNvPr id="3668" name="Straight Arrow Connector 3667">
          <a:extLst>
            <a:ext uri="{FF2B5EF4-FFF2-40B4-BE49-F238E27FC236}">
              <a16:creationId xmlns:a16="http://schemas.microsoft.com/office/drawing/2014/main" id="{00000000-0008-0000-1200-0000540E0000}"/>
            </a:ext>
          </a:extLst>
        </xdr:cNvPr>
        <xdr:cNvCxnSpPr/>
      </xdr:nvCxnSpPr>
      <xdr:spPr>
        <a:xfrm flipV="1">
          <a:off x="11324166" y="96826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1442</xdr:row>
      <xdr:rowOff>42333</xdr:rowOff>
    </xdr:from>
    <xdr:to>
      <xdr:col>11</xdr:col>
      <xdr:colOff>603250</xdr:colOff>
      <xdr:row>1454</xdr:row>
      <xdr:rowOff>10583</xdr:rowOff>
    </xdr:to>
    <xdr:cxnSp macro="">
      <xdr:nvCxnSpPr>
        <xdr:cNvPr id="3669" name="Straight Arrow Connector 3668">
          <a:extLst>
            <a:ext uri="{FF2B5EF4-FFF2-40B4-BE49-F238E27FC236}">
              <a16:creationId xmlns:a16="http://schemas.microsoft.com/office/drawing/2014/main" id="{00000000-0008-0000-1200-0000550E0000}"/>
            </a:ext>
          </a:extLst>
        </xdr:cNvPr>
        <xdr:cNvCxnSpPr/>
      </xdr:nvCxnSpPr>
      <xdr:spPr>
        <a:xfrm>
          <a:off x="7926917" y="103483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1432</xdr:row>
      <xdr:rowOff>21167</xdr:rowOff>
    </xdr:from>
    <xdr:to>
      <xdr:col>13</xdr:col>
      <xdr:colOff>592667</xdr:colOff>
      <xdr:row>1434</xdr:row>
      <xdr:rowOff>0</xdr:rowOff>
    </xdr:to>
    <xdr:cxnSp macro="">
      <xdr:nvCxnSpPr>
        <xdr:cNvPr id="3670" name="Straight Arrow Connector 3669">
          <a:extLst>
            <a:ext uri="{FF2B5EF4-FFF2-40B4-BE49-F238E27FC236}">
              <a16:creationId xmlns:a16="http://schemas.microsoft.com/office/drawing/2014/main" id="{00000000-0008-0000-1200-0000560E0000}"/>
            </a:ext>
          </a:extLst>
        </xdr:cNvPr>
        <xdr:cNvCxnSpPr/>
      </xdr:nvCxnSpPr>
      <xdr:spPr>
        <a:xfrm flipV="1">
          <a:off x="9133417" y="101557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1437</xdr:row>
      <xdr:rowOff>21166</xdr:rowOff>
    </xdr:from>
    <xdr:to>
      <xdr:col>13</xdr:col>
      <xdr:colOff>592667</xdr:colOff>
      <xdr:row>1438</xdr:row>
      <xdr:rowOff>169334</xdr:rowOff>
    </xdr:to>
    <xdr:cxnSp macro="">
      <xdr:nvCxnSpPr>
        <xdr:cNvPr id="3671" name="Straight Arrow Connector 3670">
          <a:extLst>
            <a:ext uri="{FF2B5EF4-FFF2-40B4-BE49-F238E27FC236}">
              <a16:creationId xmlns:a16="http://schemas.microsoft.com/office/drawing/2014/main" id="{00000000-0008-0000-1200-0000570E0000}"/>
            </a:ext>
          </a:extLst>
        </xdr:cNvPr>
        <xdr:cNvCxnSpPr/>
      </xdr:nvCxnSpPr>
      <xdr:spPr>
        <a:xfrm>
          <a:off x="9122833" y="102510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1452</xdr:row>
      <xdr:rowOff>21167</xdr:rowOff>
    </xdr:from>
    <xdr:to>
      <xdr:col>13</xdr:col>
      <xdr:colOff>592667</xdr:colOff>
      <xdr:row>1454</xdr:row>
      <xdr:rowOff>63500</xdr:rowOff>
    </xdr:to>
    <xdr:cxnSp macro="">
      <xdr:nvCxnSpPr>
        <xdr:cNvPr id="3672" name="Straight Arrow Connector 3671">
          <a:extLst>
            <a:ext uri="{FF2B5EF4-FFF2-40B4-BE49-F238E27FC236}">
              <a16:creationId xmlns:a16="http://schemas.microsoft.com/office/drawing/2014/main" id="{00000000-0008-0000-1200-0000580E0000}"/>
            </a:ext>
          </a:extLst>
        </xdr:cNvPr>
        <xdr:cNvCxnSpPr/>
      </xdr:nvCxnSpPr>
      <xdr:spPr>
        <a:xfrm flipV="1">
          <a:off x="9525000" y="105558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1457</xdr:row>
      <xdr:rowOff>0</xdr:rowOff>
    </xdr:from>
    <xdr:to>
      <xdr:col>14</xdr:col>
      <xdr:colOff>10584</xdr:colOff>
      <xdr:row>1465</xdr:row>
      <xdr:rowOff>148167</xdr:rowOff>
    </xdr:to>
    <xdr:cxnSp macro="">
      <xdr:nvCxnSpPr>
        <xdr:cNvPr id="3673" name="Straight Arrow Connector 3672">
          <a:extLst>
            <a:ext uri="{FF2B5EF4-FFF2-40B4-BE49-F238E27FC236}">
              <a16:creationId xmlns:a16="http://schemas.microsoft.com/office/drawing/2014/main" id="{00000000-0008-0000-1200-0000590E0000}"/>
            </a:ext>
          </a:extLst>
        </xdr:cNvPr>
        <xdr:cNvCxnSpPr/>
      </xdr:nvCxnSpPr>
      <xdr:spPr>
        <a:xfrm>
          <a:off x="9535583" y="106489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1428</xdr:row>
      <xdr:rowOff>95250</xdr:rowOff>
    </xdr:from>
    <xdr:to>
      <xdr:col>15</xdr:col>
      <xdr:colOff>582083</xdr:colOff>
      <xdr:row>1430</xdr:row>
      <xdr:rowOff>137583</xdr:rowOff>
    </xdr:to>
    <xdr:cxnSp macro="">
      <xdr:nvCxnSpPr>
        <xdr:cNvPr id="3674" name="Straight Arrow Connector 3673">
          <a:extLst>
            <a:ext uri="{FF2B5EF4-FFF2-40B4-BE49-F238E27FC236}">
              <a16:creationId xmlns:a16="http://schemas.microsoft.com/office/drawing/2014/main" id="{00000000-0008-0000-1200-00005A0E0000}"/>
            </a:ext>
          </a:extLst>
        </xdr:cNvPr>
        <xdr:cNvCxnSpPr/>
      </xdr:nvCxnSpPr>
      <xdr:spPr>
        <a:xfrm>
          <a:off x="11334749" y="100869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1437</xdr:row>
      <xdr:rowOff>52916</xdr:rowOff>
    </xdr:from>
    <xdr:to>
      <xdr:col>16</xdr:col>
      <xdr:colOff>0</xdr:colOff>
      <xdr:row>1439</xdr:row>
      <xdr:rowOff>0</xdr:rowOff>
    </xdr:to>
    <xdr:cxnSp macro="">
      <xdr:nvCxnSpPr>
        <xdr:cNvPr id="3675" name="Straight Arrow Connector 3674">
          <a:extLst>
            <a:ext uri="{FF2B5EF4-FFF2-40B4-BE49-F238E27FC236}">
              <a16:creationId xmlns:a16="http://schemas.microsoft.com/office/drawing/2014/main" id="{00000000-0008-0000-1200-00005B0E0000}"/>
            </a:ext>
          </a:extLst>
        </xdr:cNvPr>
        <xdr:cNvCxnSpPr/>
      </xdr:nvCxnSpPr>
      <xdr:spPr>
        <a:xfrm flipV="1">
          <a:off x="11281833" y="102541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21167</xdr:rowOff>
    </xdr:from>
    <xdr:to>
      <xdr:col>15</xdr:col>
      <xdr:colOff>592666</xdr:colOff>
      <xdr:row>1440</xdr:row>
      <xdr:rowOff>84667</xdr:rowOff>
    </xdr:to>
    <xdr:cxnSp macro="">
      <xdr:nvCxnSpPr>
        <xdr:cNvPr id="3676" name="Straight Arrow Connector 3675">
          <a:extLst>
            <a:ext uri="{FF2B5EF4-FFF2-40B4-BE49-F238E27FC236}">
              <a16:creationId xmlns:a16="http://schemas.microsoft.com/office/drawing/2014/main" id="{00000000-0008-0000-1200-00005C0E0000}"/>
            </a:ext>
          </a:extLst>
        </xdr:cNvPr>
        <xdr:cNvCxnSpPr/>
      </xdr:nvCxnSpPr>
      <xdr:spPr>
        <a:xfrm>
          <a:off x="11271250" y="102891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1439</xdr:row>
      <xdr:rowOff>0</xdr:rowOff>
    </xdr:from>
    <xdr:to>
      <xdr:col>16</xdr:col>
      <xdr:colOff>0</xdr:colOff>
      <xdr:row>1443</xdr:row>
      <xdr:rowOff>42334</xdr:rowOff>
    </xdr:to>
    <xdr:cxnSp macro="">
      <xdr:nvCxnSpPr>
        <xdr:cNvPr id="3677" name="Straight Arrow Connector 3676">
          <a:extLst>
            <a:ext uri="{FF2B5EF4-FFF2-40B4-BE49-F238E27FC236}">
              <a16:creationId xmlns:a16="http://schemas.microsoft.com/office/drawing/2014/main" id="{00000000-0008-0000-1200-00005D0E0000}"/>
            </a:ext>
          </a:extLst>
        </xdr:cNvPr>
        <xdr:cNvCxnSpPr/>
      </xdr:nvCxnSpPr>
      <xdr:spPr>
        <a:xfrm>
          <a:off x="11271250" y="102870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1450</xdr:row>
      <xdr:rowOff>0</xdr:rowOff>
    </xdr:from>
    <xdr:to>
      <xdr:col>15</xdr:col>
      <xdr:colOff>603250</xdr:colOff>
      <xdr:row>1452</xdr:row>
      <xdr:rowOff>1</xdr:rowOff>
    </xdr:to>
    <xdr:cxnSp macro="">
      <xdr:nvCxnSpPr>
        <xdr:cNvPr id="3678" name="Straight Arrow Connector 3677">
          <a:extLst>
            <a:ext uri="{FF2B5EF4-FFF2-40B4-BE49-F238E27FC236}">
              <a16:creationId xmlns:a16="http://schemas.microsoft.com/office/drawing/2014/main" id="{00000000-0008-0000-1200-00005E0E0000}"/>
            </a:ext>
          </a:extLst>
        </xdr:cNvPr>
        <xdr:cNvCxnSpPr/>
      </xdr:nvCxnSpPr>
      <xdr:spPr>
        <a:xfrm flipV="1">
          <a:off x="11271250" y="105156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1452</xdr:row>
      <xdr:rowOff>10584</xdr:rowOff>
    </xdr:from>
    <xdr:to>
      <xdr:col>15</xdr:col>
      <xdr:colOff>592666</xdr:colOff>
      <xdr:row>1453</xdr:row>
      <xdr:rowOff>95250</xdr:rowOff>
    </xdr:to>
    <xdr:cxnSp macro="">
      <xdr:nvCxnSpPr>
        <xdr:cNvPr id="3679" name="Straight Arrow Connector 3678">
          <a:extLst>
            <a:ext uri="{FF2B5EF4-FFF2-40B4-BE49-F238E27FC236}">
              <a16:creationId xmlns:a16="http://schemas.microsoft.com/office/drawing/2014/main" id="{00000000-0008-0000-1200-00005F0E0000}"/>
            </a:ext>
          </a:extLst>
        </xdr:cNvPr>
        <xdr:cNvCxnSpPr/>
      </xdr:nvCxnSpPr>
      <xdr:spPr>
        <a:xfrm>
          <a:off x="11313583" y="105547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1452</xdr:row>
      <xdr:rowOff>10584</xdr:rowOff>
    </xdr:from>
    <xdr:to>
      <xdr:col>15</xdr:col>
      <xdr:colOff>560916</xdr:colOff>
      <xdr:row>1456</xdr:row>
      <xdr:rowOff>52917</xdr:rowOff>
    </xdr:to>
    <xdr:cxnSp macro="">
      <xdr:nvCxnSpPr>
        <xdr:cNvPr id="3680" name="Straight Arrow Connector 3679">
          <a:extLst>
            <a:ext uri="{FF2B5EF4-FFF2-40B4-BE49-F238E27FC236}">
              <a16:creationId xmlns:a16="http://schemas.microsoft.com/office/drawing/2014/main" id="{00000000-0008-0000-1200-0000600E0000}"/>
            </a:ext>
          </a:extLst>
        </xdr:cNvPr>
        <xdr:cNvCxnSpPr/>
      </xdr:nvCxnSpPr>
      <xdr:spPr>
        <a:xfrm>
          <a:off x="11292416" y="105547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3681" name="Straight Arrow Connector 3680">
          <a:extLst>
            <a:ext uri="{FF2B5EF4-FFF2-40B4-BE49-F238E27FC236}">
              <a16:creationId xmlns:a16="http://schemas.microsoft.com/office/drawing/2014/main" id="{00000000-0008-0000-1200-0000610E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1507</xdr:row>
      <xdr:rowOff>95250</xdr:rowOff>
    </xdr:from>
    <xdr:to>
      <xdr:col>8</xdr:col>
      <xdr:colOff>21167</xdr:colOff>
      <xdr:row>1539</xdr:row>
      <xdr:rowOff>148166</xdr:rowOff>
    </xdr:to>
    <xdr:cxnSp macro="">
      <xdr:nvCxnSpPr>
        <xdr:cNvPr id="3686" name="Straight Arrow Connector 3685">
          <a:extLst>
            <a:ext uri="{FF2B5EF4-FFF2-40B4-BE49-F238E27FC236}">
              <a16:creationId xmlns:a16="http://schemas.microsoft.com/office/drawing/2014/main" id="{00000000-0008-0000-1200-0000660E0000}"/>
            </a:ext>
          </a:extLst>
        </xdr:cNvPr>
        <xdr:cNvCxnSpPr/>
      </xdr:nvCxnSpPr>
      <xdr:spPr>
        <a:xfrm>
          <a:off x="5185833" y="1163002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1478</xdr:row>
      <xdr:rowOff>137583</xdr:rowOff>
    </xdr:from>
    <xdr:to>
      <xdr:col>9</xdr:col>
      <xdr:colOff>603250</xdr:colOff>
      <xdr:row>1484</xdr:row>
      <xdr:rowOff>21166</xdr:rowOff>
    </xdr:to>
    <xdr:cxnSp macro="">
      <xdr:nvCxnSpPr>
        <xdr:cNvPr id="3687" name="Straight Arrow Connector 3686">
          <a:extLst>
            <a:ext uri="{FF2B5EF4-FFF2-40B4-BE49-F238E27FC236}">
              <a16:creationId xmlns:a16="http://schemas.microsoft.com/office/drawing/2014/main" id="{00000000-0008-0000-1200-0000670E0000}"/>
            </a:ext>
          </a:extLst>
        </xdr:cNvPr>
        <xdr:cNvCxnSpPr/>
      </xdr:nvCxnSpPr>
      <xdr:spPr>
        <a:xfrm flipV="1">
          <a:off x="6688667" y="110627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1487</xdr:row>
      <xdr:rowOff>0</xdr:rowOff>
    </xdr:from>
    <xdr:to>
      <xdr:col>9</xdr:col>
      <xdr:colOff>582083</xdr:colOff>
      <xdr:row>1495</xdr:row>
      <xdr:rowOff>10583</xdr:rowOff>
    </xdr:to>
    <xdr:cxnSp macro="">
      <xdr:nvCxnSpPr>
        <xdr:cNvPr id="3688" name="Straight Arrow Connector 3687">
          <a:extLst>
            <a:ext uri="{FF2B5EF4-FFF2-40B4-BE49-F238E27FC236}">
              <a16:creationId xmlns:a16="http://schemas.microsoft.com/office/drawing/2014/main" id="{00000000-0008-0000-1200-0000680E0000}"/>
            </a:ext>
          </a:extLst>
        </xdr:cNvPr>
        <xdr:cNvCxnSpPr/>
      </xdr:nvCxnSpPr>
      <xdr:spPr>
        <a:xfrm>
          <a:off x="6720417" y="112204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3689" name="Straight Arrow Connector 3688">
          <a:extLst>
            <a:ext uri="{FF2B5EF4-FFF2-40B4-BE49-F238E27FC236}">
              <a16:creationId xmlns:a16="http://schemas.microsoft.com/office/drawing/2014/main" id="{00000000-0008-0000-1200-0000690E0000}"/>
            </a:ext>
          </a:extLst>
        </xdr:cNvPr>
        <xdr:cNvCxnSpPr/>
      </xdr:nvCxnSpPr>
      <xdr:spPr>
        <a:xfrm flipV="1">
          <a:off x="7937500" y="113326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3690" name="Straight Arrow Connector 3689">
          <a:extLst>
            <a:ext uri="{FF2B5EF4-FFF2-40B4-BE49-F238E27FC236}">
              <a16:creationId xmlns:a16="http://schemas.microsoft.com/office/drawing/2014/main" id="{00000000-0008-0000-1200-00006A0E0000}"/>
            </a:ext>
          </a:extLst>
        </xdr:cNvPr>
        <xdr:cNvCxnSpPr/>
      </xdr:nvCxnSpPr>
      <xdr:spPr>
        <a:xfrm>
          <a:off x="7926917" y="114342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3691" name="Straight Arrow Connector 3690">
          <a:extLst>
            <a:ext uri="{FF2B5EF4-FFF2-40B4-BE49-F238E27FC236}">
              <a16:creationId xmlns:a16="http://schemas.microsoft.com/office/drawing/2014/main" id="{00000000-0008-0000-1200-00006B0E0000}"/>
            </a:ext>
          </a:extLst>
        </xdr:cNvPr>
        <xdr:cNvCxnSpPr/>
      </xdr:nvCxnSpPr>
      <xdr:spPr>
        <a:xfrm flipV="1">
          <a:off x="9133417" y="112416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3692" name="Straight Arrow Connector 3691">
          <a:extLst>
            <a:ext uri="{FF2B5EF4-FFF2-40B4-BE49-F238E27FC236}">
              <a16:creationId xmlns:a16="http://schemas.microsoft.com/office/drawing/2014/main" id="{00000000-0008-0000-1200-00006C0E0000}"/>
            </a:ext>
          </a:extLst>
        </xdr:cNvPr>
        <xdr:cNvCxnSpPr/>
      </xdr:nvCxnSpPr>
      <xdr:spPr>
        <a:xfrm>
          <a:off x="9122833" y="113368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3693" name="Straight Arrow Connector 3692">
          <a:extLst>
            <a:ext uri="{FF2B5EF4-FFF2-40B4-BE49-F238E27FC236}">
              <a16:creationId xmlns:a16="http://schemas.microsoft.com/office/drawing/2014/main" id="{00000000-0008-0000-1200-00006D0E0000}"/>
            </a:ext>
          </a:extLst>
        </xdr:cNvPr>
        <xdr:cNvCxnSpPr/>
      </xdr:nvCxnSpPr>
      <xdr:spPr>
        <a:xfrm flipV="1">
          <a:off x="9525000" y="116416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3694" name="Straight Arrow Connector 3693">
          <a:extLst>
            <a:ext uri="{FF2B5EF4-FFF2-40B4-BE49-F238E27FC236}">
              <a16:creationId xmlns:a16="http://schemas.microsoft.com/office/drawing/2014/main" id="{00000000-0008-0000-1200-00006E0E0000}"/>
            </a:ext>
          </a:extLst>
        </xdr:cNvPr>
        <xdr:cNvCxnSpPr/>
      </xdr:nvCxnSpPr>
      <xdr:spPr>
        <a:xfrm>
          <a:off x="9535583" y="117348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1480</xdr:row>
      <xdr:rowOff>0</xdr:rowOff>
    </xdr:from>
    <xdr:to>
      <xdr:col>15</xdr:col>
      <xdr:colOff>603250</xdr:colOff>
      <xdr:row>1485</xdr:row>
      <xdr:rowOff>31750</xdr:rowOff>
    </xdr:to>
    <xdr:cxnSp macro="">
      <xdr:nvCxnSpPr>
        <xdr:cNvPr id="3695" name="Straight Arrow Connector 3694">
          <a:extLst>
            <a:ext uri="{FF2B5EF4-FFF2-40B4-BE49-F238E27FC236}">
              <a16:creationId xmlns:a16="http://schemas.microsoft.com/office/drawing/2014/main" id="{00000000-0008-0000-1200-00006F0E0000}"/>
            </a:ext>
          </a:extLst>
        </xdr:cNvPr>
        <xdr:cNvCxnSpPr/>
      </xdr:nvCxnSpPr>
      <xdr:spPr>
        <a:xfrm flipV="1">
          <a:off x="11281833" y="110871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3696" name="Straight Arrow Connector 3695">
          <a:extLst>
            <a:ext uri="{FF2B5EF4-FFF2-40B4-BE49-F238E27FC236}">
              <a16:creationId xmlns:a16="http://schemas.microsoft.com/office/drawing/2014/main" id="{00000000-0008-0000-1200-0000700E0000}"/>
            </a:ext>
          </a:extLst>
        </xdr:cNvPr>
        <xdr:cNvCxnSpPr/>
      </xdr:nvCxnSpPr>
      <xdr:spPr>
        <a:xfrm flipV="1">
          <a:off x="11324166" y="111495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3697" name="Straight Arrow Connector 3696">
          <a:extLst>
            <a:ext uri="{FF2B5EF4-FFF2-40B4-BE49-F238E27FC236}">
              <a16:creationId xmlns:a16="http://schemas.microsoft.com/office/drawing/2014/main" id="{00000000-0008-0000-1200-0000710E0000}"/>
            </a:ext>
          </a:extLst>
        </xdr:cNvPr>
        <xdr:cNvCxnSpPr/>
      </xdr:nvCxnSpPr>
      <xdr:spPr>
        <a:xfrm>
          <a:off x="11345333" y="111982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3698" name="Straight Arrow Connector 3697">
          <a:extLst>
            <a:ext uri="{FF2B5EF4-FFF2-40B4-BE49-F238E27FC236}">
              <a16:creationId xmlns:a16="http://schemas.microsoft.com/office/drawing/2014/main" id="{00000000-0008-0000-1200-0000720E0000}"/>
            </a:ext>
          </a:extLst>
        </xdr:cNvPr>
        <xdr:cNvCxnSpPr/>
      </xdr:nvCxnSpPr>
      <xdr:spPr>
        <a:xfrm>
          <a:off x="11260667" y="111929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1493</xdr:row>
      <xdr:rowOff>52916</xdr:rowOff>
    </xdr:from>
    <xdr:to>
      <xdr:col>16</xdr:col>
      <xdr:colOff>0</xdr:colOff>
      <xdr:row>1495</xdr:row>
      <xdr:rowOff>0</xdr:rowOff>
    </xdr:to>
    <xdr:cxnSp macro="">
      <xdr:nvCxnSpPr>
        <xdr:cNvPr id="3699" name="Straight Arrow Connector 3698">
          <a:extLst>
            <a:ext uri="{FF2B5EF4-FFF2-40B4-BE49-F238E27FC236}">
              <a16:creationId xmlns:a16="http://schemas.microsoft.com/office/drawing/2014/main" id="{00000000-0008-0000-1200-0000730E0000}"/>
            </a:ext>
          </a:extLst>
        </xdr:cNvPr>
        <xdr:cNvCxnSpPr/>
      </xdr:nvCxnSpPr>
      <xdr:spPr>
        <a:xfrm flipV="1">
          <a:off x="11281833" y="113400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3700" name="Straight Arrow Connector 3699">
          <a:extLst>
            <a:ext uri="{FF2B5EF4-FFF2-40B4-BE49-F238E27FC236}">
              <a16:creationId xmlns:a16="http://schemas.microsoft.com/office/drawing/2014/main" id="{00000000-0008-0000-1200-0000740E0000}"/>
            </a:ext>
          </a:extLst>
        </xdr:cNvPr>
        <xdr:cNvCxnSpPr/>
      </xdr:nvCxnSpPr>
      <xdr:spPr>
        <a:xfrm>
          <a:off x="11292416" y="113749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3701" name="Straight Arrow Connector 3700">
          <a:extLst>
            <a:ext uri="{FF2B5EF4-FFF2-40B4-BE49-F238E27FC236}">
              <a16:creationId xmlns:a16="http://schemas.microsoft.com/office/drawing/2014/main" id="{00000000-0008-0000-1200-0000750E0000}"/>
            </a:ext>
          </a:extLst>
        </xdr:cNvPr>
        <xdr:cNvCxnSpPr/>
      </xdr:nvCxnSpPr>
      <xdr:spPr>
        <a:xfrm>
          <a:off x="11271250" y="113749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702" name="Straight Arrow Connector 3701">
          <a:extLst>
            <a:ext uri="{FF2B5EF4-FFF2-40B4-BE49-F238E27FC236}">
              <a16:creationId xmlns:a16="http://schemas.microsoft.com/office/drawing/2014/main" id="{00000000-0008-0000-1200-0000760E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1532</xdr:row>
      <xdr:rowOff>42333</xdr:rowOff>
    </xdr:from>
    <xdr:to>
      <xdr:col>9</xdr:col>
      <xdr:colOff>592666</xdr:colOff>
      <xdr:row>1540</xdr:row>
      <xdr:rowOff>42333</xdr:rowOff>
    </xdr:to>
    <xdr:cxnSp macro="">
      <xdr:nvCxnSpPr>
        <xdr:cNvPr id="3703" name="Straight Arrow Connector 3702">
          <a:extLst>
            <a:ext uri="{FF2B5EF4-FFF2-40B4-BE49-F238E27FC236}">
              <a16:creationId xmlns:a16="http://schemas.microsoft.com/office/drawing/2014/main" id="{00000000-0008-0000-1200-0000770E0000}"/>
            </a:ext>
          </a:extLst>
        </xdr:cNvPr>
        <xdr:cNvCxnSpPr/>
      </xdr:nvCxnSpPr>
      <xdr:spPr>
        <a:xfrm flipV="1">
          <a:off x="6699250" y="121009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1542</xdr:row>
      <xdr:rowOff>169334</xdr:rowOff>
    </xdr:from>
    <xdr:to>
      <xdr:col>9</xdr:col>
      <xdr:colOff>603250</xdr:colOff>
      <xdr:row>1551</xdr:row>
      <xdr:rowOff>31750</xdr:rowOff>
    </xdr:to>
    <xdr:cxnSp macro="">
      <xdr:nvCxnSpPr>
        <xdr:cNvPr id="3704" name="Straight Arrow Connector 3703">
          <a:extLst>
            <a:ext uri="{FF2B5EF4-FFF2-40B4-BE49-F238E27FC236}">
              <a16:creationId xmlns:a16="http://schemas.microsoft.com/office/drawing/2014/main" id="{00000000-0008-0000-1200-0000780E0000}"/>
            </a:ext>
          </a:extLst>
        </xdr:cNvPr>
        <xdr:cNvCxnSpPr/>
      </xdr:nvCxnSpPr>
      <xdr:spPr>
        <a:xfrm>
          <a:off x="6720417" y="123041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3705" name="Straight Arrow Connector 3704">
          <a:extLst>
            <a:ext uri="{FF2B5EF4-FFF2-40B4-BE49-F238E27FC236}">
              <a16:creationId xmlns:a16="http://schemas.microsoft.com/office/drawing/2014/main" id="{00000000-0008-0000-1200-0000790E0000}"/>
            </a:ext>
          </a:extLst>
        </xdr:cNvPr>
        <xdr:cNvCxnSpPr/>
      </xdr:nvCxnSpPr>
      <xdr:spPr>
        <a:xfrm flipV="1">
          <a:off x="7874000" y="124174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3706" name="Straight Arrow Connector 3705">
          <a:extLst>
            <a:ext uri="{FF2B5EF4-FFF2-40B4-BE49-F238E27FC236}">
              <a16:creationId xmlns:a16="http://schemas.microsoft.com/office/drawing/2014/main" id="{00000000-0008-0000-1200-00007A0E0000}"/>
            </a:ext>
          </a:extLst>
        </xdr:cNvPr>
        <xdr:cNvCxnSpPr/>
      </xdr:nvCxnSpPr>
      <xdr:spPr>
        <a:xfrm flipV="1">
          <a:off x="11271250" y="116014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3707" name="Straight Arrow Connector 3706">
          <a:extLst>
            <a:ext uri="{FF2B5EF4-FFF2-40B4-BE49-F238E27FC236}">
              <a16:creationId xmlns:a16="http://schemas.microsoft.com/office/drawing/2014/main" id="{00000000-0008-0000-1200-00007B0E0000}"/>
            </a:ext>
          </a:extLst>
        </xdr:cNvPr>
        <xdr:cNvCxnSpPr/>
      </xdr:nvCxnSpPr>
      <xdr:spPr>
        <a:xfrm>
          <a:off x="11313583" y="116406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3708" name="Straight Arrow Connector 3707">
          <a:extLst>
            <a:ext uri="{FF2B5EF4-FFF2-40B4-BE49-F238E27FC236}">
              <a16:creationId xmlns:a16="http://schemas.microsoft.com/office/drawing/2014/main" id="{00000000-0008-0000-1200-00007C0E0000}"/>
            </a:ext>
          </a:extLst>
        </xdr:cNvPr>
        <xdr:cNvCxnSpPr/>
      </xdr:nvCxnSpPr>
      <xdr:spPr>
        <a:xfrm>
          <a:off x="11292416" y="116406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709" name="Straight Arrow Connector 3708">
          <a:extLst>
            <a:ext uri="{FF2B5EF4-FFF2-40B4-BE49-F238E27FC236}">
              <a16:creationId xmlns:a16="http://schemas.microsoft.com/office/drawing/2014/main" id="{00000000-0008-0000-1200-00007D0E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3710" name="Straight Arrow Connector 3709">
          <a:extLst>
            <a:ext uri="{FF2B5EF4-FFF2-40B4-BE49-F238E27FC236}">
              <a16:creationId xmlns:a16="http://schemas.microsoft.com/office/drawing/2014/main" id="{00000000-0008-0000-1200-00007E0E0000}"/>
            </a:ext>
          </a:extLst>
        </xdr:cNvPr>
        <xdr:cNvCxnSpPr/>
      </xdr:nvCxnSpPr>
      <xdr:spPr>
        <a:xfrm>
          <a:off x="11302999" y="119062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3711" name="Straight Arrow Connector 3710">
          <a:extLst>
            <a:ext uri="{FF2B5EF4-FFF2-40B4-BE49-F238E27FC236}">
              <a16:creationId xmlns:a16="http://schemas.microsoft.com/office/drawing/2014/main" id="{00000000-0008-0000-1200-00007F0E0000}"/>
            </a:ext>
          </a:extLst>
        </xdr:cNvPr>
        <xdr:cNvCxnSpPr/>
      </xdr:nvCxnSpPr>
      <xdr:spPr>
        <a:xfrm>
          <a:off x="11355916" y="119083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3712" name="Straight Arrow Connector 3711">
          <a:extLst>
            <a:ext uri="{FF2B5EF4-FFF2-40B4-BE49-F238E27FC236}">
              <a16:creationId xmlns:a16="http://schemas.microsoft.com/office/drawing/2014/main" id="{00000000-0008-0000-1200-0000800E0000}"/>
            </a:ext>
          </a:extLst>
        </xdr:cNvPr>
        <xdr:cNvCxnSpPr/>
      </xdr:nvCxnSpPr>
      <xdr:spPr>
        <a:xfrm>
          <a:off x="11313583" y="119115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3713" name="Straight Arrow Connector 3712">
          <a:extLst>
            <a:ext uri="{FF2B5EF4-FFF2-40B4-BE49-F238E27FC236}">
              <a16:creationId xmlns:a16="http://schemas.microsoft.com/office/drawing/2014/main" id="{00000000-0008-0000-1200-0000810E0000}"/>
            </a:ext>
          </a:extLst>
        </xdr:cNvPr>
        <xdr:cNvCxnSpPr/>
      </xdr:nvCxnSpPr>
      <xdr:spPr>
        <a:xfrm flipV="1">
          <a:off x="11302999" y="121845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3714" name="Straight Arrow Connector 3713">
          <a:extLst>
            <a:ext uri="{FF2B5EF4-FFF2-40B4-BE49-F238E27FC236}">
              <a16:creationId xmlns:a16="http://schemas.microsoft.com/office/drawing/2014/main" id="{00000000-0008-0000-1200-0000820E0000}"/>
            </a:ext>
          </a:extLst>
        </xdr:cNvPr>
        <xdr:cNvCxnSpPr/>
      </xdr:nvCxnSpPr>
      <xdr:spPr>
        <a:xfrm flipV="1">
          <a:off x="11345333" y="122205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3715" name="Straight Arrow Connector 3714">
          <a:extLst>
            <a:ext uri="{FF2B5EF4-FFF2-40B4-BE49-F238E27FC236}">
              <a16:creationId xmlns:a16="http://schemas.microsoft.com/office/drawing/2014/main" id="{00000000-0008-0000-1200-0000830E0000}"/>
            </a:ext>
          </a:extLst>
        </xdr:cNvPr>
        <xdr:cNvCxnSpPr/>
      </xdr:nvCxnSpPr>
      <xdr:spPr>
        <a:xfrm>
          <a:off x="11334749" y="122607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3716" name="Straight Arrow Connector 3715">
          <a:extLst>
            <a:ext uri="{FF2B5EF4-FFF2-40B4-BE49-F238E27FC236}">
              <a16:creationId xmlns:a16="http://schemas.microsoft.com/office/drawing/2014/main" id="{00000000-0008-0000-1200-0000840E0000}"/>
            </a:ext>
          </a:extLst>
        </xdr:cNvPr>
        <xdr:cNvCxnSpPr/>
      </xdr:nvCxnSpPr>
      <xdr:spPr>
        <a:xfrm>
          <a:off x="11313583" y="124703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3717" name="Straight Arrow Connector 3716">
          <a:extLst>
            <a:ext uri="{FF2B5EF4-FFF2-40B4-BE49-F238E27FC236}">
              <a16:creationId xmlns:a16="http://schemas.microsoft.com/office/drawing/2014/main" id="{00000000-0008-0000-1200-0000850E0000}"/>
            </a:ext>
          </a:extLst>
        </xdr:cNvPr>
        <xdr:cNvCxnSpPr/>
      </xdr:nvCxnSpPr>
      <xdr:spPr>
        <a:xfrm flipV="1">
          <a:off x="11324166" y="118543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3718" name="Straight Arrow Connector 3717">
          <a:extLst>
            <a:ext uri="{FF2B5EF4-FFF2-40B4-BE49-F238E27FC236}">
              <a16:creationId xmlns:a16="http://schemas.microsoft.com/office/drawing/2014/main" id="{00000000-0008-0000-1200-0000860E0000}"/>
            </a:ext>
          </a:extLst>
        </xdr:cNvPr>
        <xdr:cNvCxnSpPr/>
      </xdr:nvCxnSpPr>
      <xdr:spPr>
        <a:xfrm>
          <a:off x="7926917" y="125200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3719" name="Straight Arrow Connector 3718">
          <a:extLst>
            <a:ext uri="{FF2B5EF4-FFF2-40B4-BE49-F238E27FC236}">
              <a16:creationId xmlns:a16="http://schemas.microsoft.com/office/drawing/2014/main" id="{00000000-0008-0000-1200-0000870E0000}"/>
            </a:ext>
          </a:extLst>
        </xdr:cNvPr>
        <xdr:cNvCxnSpPr/>
      </xdr:nvCxnSpPr>
      <xdr:spPr>
        <a:xfrm flipV="1">
          <a:off x="9133417" y="123274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3720" name="Straight Arrow Connector 3719">
          <a:extLst>
            <a:ext uri="{FF2B5EF4-FFF2-40B4-BE49-F238E27FC236}">
              <a16:creationId xmlns:a16="http://schemas.microsoft.com/office/drawing/2014/main" id="{00000000-0008-0000-1200-0000880E0000}"/>
            </a:ext>
          </a:extLst>
        </xdr:cNvPr>
        <xdr:cNvCxnSpPr/>
      </xdr:nvCxnSpPr>
      <xdr:spPr>
        <a:xfrm>
          <a:off x="9122833" y="124227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3721" name="Straight Arrow Connector 3720">
          <a:extLst>
            <a:ext uri="{FF2B5EF4-FFF2-40B4-BE49-F238E27FC236}">
              <a16:creationId xmlns:a16="http://schemas.microsoft.com/office/drawing/2014/main" id="{00000000-0008-0000-1200-0000890E0000}"/>
            </a:ext>
          </a:extLst>
        </xdr:cNvPr>
        <xdr:cNvCxnSpPr/>
      </xdr:nvCxnSpPr>
      <xdr:spPr>
        <a:xfrm flipV="1">
          <a:off x="9525000" y="127275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3722" name="Straight Arrow Connector 3721">
          <a:extLst>
            <a:ext uri="{FF2B5EF4-FFF2-40B4-BE49-F238E27FC236}">
              <a16:creationId xmlns:a16="http://schemas.microsoft.com/office/drawing/2014/main" id="{00000000-0008-0000-1200-00008A0E0000}"/>
            </a:ext>
          </a:extLst>
        </xdr:cNvPr>
        <xdr:cNvCxnSpPr/>
      </xdr:nvCxnSpPr>
      <xdr:spPr>
        <a:xfrm>
          <a:off x="9535583" y="128206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3723" name="Straight Arrow Connector 3722">
          <a:extLst>
            <a:ext uri="{FF2B5EF4-FFF2-40B4-BE49-F238E27FC236}">
              <a16:creationId xmlns:a16="http://schemas.microsoft.com/office/drawing/2014/main" id="{00000000-0008-0000-1200-00008B0E0000}"/>
            </a:ext>
          </a:extLst>
        </xdr:cNvPr>
        <xdr:cNvCxnSpPr/>
      </xdr:nvCxnSpPr>
      <xdr:spPr>
        <a:xfrm>
          <a:off x="11334749" y="122586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1549</xdr:row>
      <xdr:rowOff>52916</xdr:rowOff>
    </xdr:from>
    <xdr:to>
      <xdr:col>16</xdr:col>
      <xdr:colOff>0</xdr:colOff>
      <xdr:row>1551</xdr:row>
      <xdr:rowOff>0</xdr:rowOff>
    </xdr:to>
    <xdr:cxnSp macro="">
      <xdr:nvCxnSpPr>
        <xdr:cNvPr id="3724" name="Straight Arrow Connector 3723">
          <a:extLst>
            <a:ext uri="{FF2B5EF4-FFF2-40B4-BE49-F238E27FC236}">
              <a16:creationId xmlns:a16="http://schemas.microsoft.com/office/drawing/2014/main" id="{00000000-0008-0000-1200-00008C0E0000}"/>
            </a:ext>
          </a:extLst>
        </xdr:cNvPr>
        <xdr:cNvCxnSpPr/>
      </xdr:nvCxnSpPr>
      <xdr:spPr>
        <a:xfrm flipV="1">
          <a:off x="11281833" y="124258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3725" name="Straight Arrow Connector 3724">
          <a:extLst>
            <a:ext uri="{FF2B5EF4-FFF2-40B4-BE49-F238E27FC236}">
              <a16:creationId xmlns:a16="http://schemas.microsoft.com/office/drawing/2014/main" id="{00000000-0008-0000-1200-00008D0E0000}"/>
            </a:ext>
          </a:extLst>
        </xdr:cNvPr>
        <xdr:cNvCxnSpPr/>
      </xdr:nvCxnSpPr>
      <xdr:spPr>
        <a:xfrm>
          <a:off x="11271250" y="124608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3726" name="Straight Arrow Connector 3725">
          <a:extLst>
            <a:ext uri="{FF2B5EF4-FFF2-40B4-BE49-F238E27FC236}">
              <a16:creationId xmlns:a16="http://schemas.microsoft.com/office/drawing/2014/main" id="{00000000-0008-0000-1200-00008E0E0000}"/>
            </a:ext>
          </a:extLst>
        </xdr:cNvPr>
        <xdr:cNvCxnSpPr/>
      </xdr:nvCxnSpPr>
      <xdr:spPr>
        <a:xfrm>
          <a:off x="11271250" y="124587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3727" name="Straight Arrow Connector 3726">
          <a:extLst>
            <a:ext uri="{FF2B5EF4-FFF2-40B4-BE49-F238E27FC236}">
              <a16:creationId xmlns:a16="http://schemas.microsoft.com/office/drawing/2014/main" id="{00000000-0008-0000-1200-00008F0E0000}"/>
            </a:ext>
          </a:extLst>
        </xdr:cNvPr>
        <xdr:cNvCxnSpPr/>
      </xdr:nvCxnSpPr>
      <xdr:spPr>
        <a:xfrm flipV="1">
          <a:off x="11271250" y="126873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3728" name="Straight Arrow Connector 3727">
          <a:extLst>
            <a:ext uri="{FF2B5EF4-FFF2-40B4-BE49-F238E27FC236}">
              <a16:creationId xmlns:a16="http://schemas.microsoft.com/office/drawing/2014/main" id="{00000000-0008-0000-1200-0000900E0000}"/>
            </a:ext>
          </a:extLst>
        </xdr:cNvPr>
        <xdr:cNvCxnSpPr/>
      </xdr:nvCxnSpPr>
      <xdr:spPr>
        <a:xfrm>
          <a:off x="11313583" y="127264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3729" name="Straight Arrow Connector 3728">
          <a:extLst>
            <a:ext uri="{FF2B5EF4-FFF2-40B4-BE49-F238E27FC236}">
              <a16:creationId xmlns:a16="http://schemas.microsoft.com/office/drawing/2014/main" id="{00000000-0008-0000-1200-0000910E0000}"/>
            </a:ext>
          </a:extLst>
        </xdr:cNvPr>
        <xdr:cNvCxnSpPr/>
      </xdr:nvCxnSpPr>
      <xdr:spPr>
        <a:xfrm>
          <a:off x="11292416" y="127264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730" name="Straight Arrow Connector 3729">
          <a:extLst>
            <a:ext uri="{FF2B5EF4-FFF2-40B4-BE49-F238E27FC236}">
              <a16:creationId xmlns:a16="http://schemas.microsoft.com/office/drawing/2014/main" id="{00000000-0008-0000-1200-0000920E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3731" name="Straight Arrow Connector 3730">
          <a:extLst>
            <a:ext uri="{FF2B5EF4-FFF2-40B4-BE49-F238E27FC236}">
              <a16:creationId xmlns:a16="http://schemas.microsoft.com/office/drawing/2014/main" id="{00000000-0008-0000-1200-0000930E0000}"/>
            </a:ext>
          </a:extLst>
        </xdr:cNvPr>
        <xdr:cNvCxnSpPr/>
      </xdr:nvCxnSpPr>
      <xdr:spPr>
        <a:xfrm>
          <a:off x="11302999" y="129921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3732" name="Straight Arrow Connector 3731">
          <a:extLst>
            <a:ext uri="{FF2B5EF4-FFF2-40B4-BE49-F238E27FC236}">
              <a16:creationId xmlns:a16="http://schemas.microsoft.com/office/drawing/2014/main" id="{00000000-0008-0000-1200-0000940E0000}"/>
            </a:ext>
          </a:extLst>
        </xdr:cNvPr>
        <xdr:cNvCxnSpPr/>
      </xdr:nvCxnSpPr>
      <xdr:spPr>
        <a:xfrm>
          <a:off x="11355916" y="129942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3733" name="Straight Arrow Connector 3732">
          <a:extLst>
            <a:ext uri="{FF2B5EF4-FFF2-40B4-BE49-F238E27FC236}">
              <a16:creationId xmlns:a16="http://schemas.microsoft.com/office/drawing/2014/main" id="{00000000-0008-0000-1200-0000950E0000}"/>
            </a:ext>
          </a:extLst>
        </xdr:cNvPr>
        <xdr:cNvCxnSpPr/>
      </xdr:nvCxnSpPr>
      <xdr:spPr>
        <a:xfrm>
          <a:off x="11313583" y="129973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3734" name="Straight Arrow Connector 3733">
          <a:extLst>
            <a:ext uri="{FF2B5EF4-FFF2-40B4-BE49-F238E27FC236}">
              <a16:creationId xmlns:a16="http://schemas.microsoft.com/office/drawing/2014/main" id="{00000000-0008-0000-1200-0000960E0000}"/>
            </a:ext>
          </a:extLst>
        </xdr:cNvPr>
        <xdr:cNvCxnSpPr/>
      </xdr:nvCxnSpPr>
      <xdr:spPr>
        <a:xfrm flipV="1">
          <a:off x="11324166" y="129402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1486</xdr:row>
      <xdr:rowOff>127000</xdr:rowOff>
    </xdr:from>
    <xdr:to>
      <xdr:col>8</xdr:col>
      <xdr:colOff>63500</xdr:colOff>
      <xdr:row>1505</xdr:row>
      <xdr:rowOff>0</xdr:rowOff>
    </xdr:to>
    <xdr:cxnSp macro="">
      <xdr:nvCxnSpPr>
        <xdr:cNvPr id="3735" name="Straight Arrow Connector 3734">
          <a:extLst>
            <a:ext uri="{FF2B5EF4-FFF2-40B4-BE49-F238E27FC236}">
              <a16:creationId xmlns:a16="http://schemas.microsoft.com/office/drawing/2014/main" id="{00000000-0008-0000-1200-0000970E0000}"/>
            </a:ext>
          </a:extLst>
        </xdr:cNvPr>
        <xdr:cNvCxnSpPr/>
      </xdr:nvCxnSpPr>
      <xdr:spPr>
        <a:xfrm flipV="1">
          <a:off x="5492750" y="1121410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825500</xdr:colOff>
      <xdr:row>1623</xdr:row>
      <xdr:rowOff>1</xdr:rowOff>
    </xdr:from>
    <xdr:to>
      <xdr:col>6</xdr:col>
      <xdr:colOff>0</xdr:colOff>
      <xdr:row>1657</xdr:row>
      <xdr:rowOff>116417</xdr:rowOff>
    </xdr:to>
    <xdr:cxnSp macro="">
      <xdr:nvCxnSpPr>
        <xdr:cNvPr id="3736" name="Straight Arrow Connector 3735">
          <a:extLst>
            <a:ext uri="{FF2B5EF4-FFF2-40B4-BE49-F238E27FC236}">
              <a16:creationId xmlns:a16="http://schemas.microsoft.com/office/drawing/2014/main" id="{00000000-0008-0000-1200-0000980E0000}"/>
            </a:ext>
          </a:extLst>
        </xdr:cNvPr>
        <xdr:cNvCxnSpPr/>
      </xdr:nvCxnSpPr>
      <xdr:spPr>
        <a:xfrm flipV="1">
          <a:off x="3810000" y="138684001"/>
          <a:ext cx="677333" cy="6593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21167</xdr:colOff>
      <xdr:row>1660</xdr:row>
      <xdr:rowOff>169334</xdr:rowOff>
    </xdr:from>
    <xdr:to>
      <xdr:col>5</xdr:col>
      <xdr:colOff>571500</xdr:colOff>
      <xdr:row>1729</xdr:row>
      <xdr:rowOff>0</xdr:rowOff>
    </xdr:to>
    <xdr:cxnSp macro="">
      <xdr:nvCxnSpPr>
        <xdr:cNvPr id="3737" name="Straight Arrow Connector 3736">
          <a:extLst>
            <a:ext uri="{FF2B5EF4-FFF2-40B4-BE49-F238E27FC236}">
              <a16:creationId xmlns:a16="http://schemas.microsoft.com/office/drawing/2014/main" id="{00000000-0008-0000-1200-0000990E0000}"/>
            </a:ext>
          </a:extLst>
        </xdr:cNvPr>
        <xdr:cNvCxnSpPr/>
      </xdr:nvCxnSpPr>
      <xdr:spPr>
        <a:xfrm>
          <a:off x="3894667" y="145901834"/>
          <a:ext cx="550333" cy="133244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1598</xdr:row>
      <xdr:rowOff>148167</xdr:rowOff>
    </xdr:from>
    <xdr:to>
      <xdr:col>7</xdr:col>
      <xdr:colOff>603250</xdr:colOff>
      <xdr:row>1620</xdr:row>
      <xdr:rowOff>31750</xdr:rowOff>
    </xdr:to>
    <xdr:cxnSp macro="">
      <xdr:nvCxnSpPr>
        <xdr:cNvPr id="3738" name="Straight Arrow Connector 3737">
          <a:extLst>
            <a:ext uri="{FF2B5EF4-FFF2-40B4-BE49-F238E27FC236}">
              <a16:creationId xmlns:a16="http://schemas.microsoft.com/office/drawing/2014/main" id="{00000000-0008-0000-1200-00009A0E0000}"/>
            </a:ext>
          </a:extLst>
        </xdr:cNvPr>
        <xdr:cNvCxnSpPr/>
      </xdr:nvCxnSpPr>
      <xdr:spPr>
        <a:xfrm flipV="1">
          <a:off x="5461000" y="133879167"/>
          <a:ext cx="603250" cy="42650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1623</xdr:row>
      <xdr:rowOff>10584</xdr:rowOff>
    </xdr:from>
    <xdr:to>
      <xdr:col>8</xdr:col>
      <xdr:colOff>21167</xdr:colOff>
      <xdr:row>1651</xdr:row>
      <xdr:rowOff>148166</xdr:rowOff>
    </xdr:to>
    <xdr:cxnSp macro="">
      <xdr:nvCxnSpPr>
        <xdr:cNvPr id="3739" name="Straight Arrow Connector 3738">
          <a:extLst>
            <a:ext uri="{FF2B5EF4-FFF2-40B4-BE49-F238E27FC236}">
              <a16:creationId xmlns:a16="http://schemas.microsoft.com/office/drawing/2014/main" id="{00000000-0008-0000-1200-00009B0E0000}"/>
            </a:ext>
          </a:extLst>
        </xdr:cNvPr>
        <xdr:cNvCxnSpPr/>
      </xdr:nvCxnSpPr>
      <xdr:spPr>
        <a:xfrm>
          <a:off x="5461000" y="138694584"/>
          <a:ext cx="635000" cy="54715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1590</xdr:row>
      <xdr:rowOff>137583</xdr:rowOff>
    </xdr:from>
    <xdr:to>
      <xdr:col>9</xdr:col>
      <xdr:colOff>603250</xdr:colOff>
      <xdr:row>1596</xdr:row>
      <xdr:rowOff>21166</xdr:rowOff>
    </xdr:to>
    <xdr:cxnSp macro="">
      <xdr:nvCxnSpPr>
        <xdr:cNvPr id="3740" name="Straight Arrow Connector 3739">
          <a:extLst>
            <a:ext uri="{FF2B5EF4-FFF2-40B4-BE49-F238E27FC236}">
              <a16:creationId xmlns:a16="http://schemas.microsoft.com/office/drawing/2014/main" id="{00000000-0008-0000-1200-00009C0E0000}"/>
            </a:ext>
          </a:extLst>
        </xdr:cNvPr>
        <xdr:cNvCxnSpPr/>
      </xdr:nvCxnSpPr>
      <xdr:spPr>
        <a:xfrm flipV="1">
          <a:off x="6688667" y="132344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1599</xdr:row>
      <xdr:rowOff>0</xdr:rowOff>
    </xdr:from>
    <xdr:to>
      <xdr:col>9</xdr:col>
      <xdr:colOff>582083</xdr:colOff>
      <xdr:row>1607</xdr:row>
      <xdr:rowOff>10583</xdr:rowOff>
    </xdr:to>
    <xdr:cxnSp macro="">
      <xdr:nvCxnSpPr>
        <xdr:cNvPr id="3741" name="Straight Arrow Connector 3740">
          <a:extLst>
            <a:ext uri="{FF2B5EF4-FFF2-40B4-BE49-F238E27FC236}">
              <a16:creationId xmlns:a16="http://schemas.microsoft.com/office/drawing/2014/main" id="{00000000-0008-0000-1200-00009D0E0000}"/>
            </a:ext>
          </a:extLst>
        </xdr:cNvPr>
        <xdr:cNvCxnSpPr/>
      </xdr:nvCxnSpPr>
      <xdr:spPr>
        <a:xfrm>
          <a:off x="6720417" y="133921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1604</xdr:row>
      <xdr:rowOff>169333</xdr:rowOff>
    </xdr:from>
    <xdr:to>
      <xdr:col>11</xdr:col>
      <xdr:colOff>603250</xdr:colOff>
      <xdr:row>1607</xdr:row>
      <xdr:rowOff>21167</xdr:rowOff>
    </xdr:to>
    <xdr:cxnSp macro="">
      <xdr:nvCxnSpPr>
        <xdr:cNvPr id="3742" name="Straight Arrow Connector 3741">
          <a:extLst>
            <a:ext uri="{FF2B5EF4-FFF2-40B4-BE49-F238E27FC236}">
              <a16:creationId xmlns:a16="http://schemas.microsoft.com/office/drawing/2014/main" id="{00000000-0008-0000-1200-00009E0E0000}"/>
            </a:ext>
          </a:extLst>
        </xdr:cNvPr>
        <xdr:cNvCxnSpPr/>
      </xdr:nvCxnSpPr>
      <xdr:spPr>
        <a:xfrm flipV="1">
          <a:off x="7937500" y="135043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1610</xdr:row>
      <xdr:rowOff>42333</xdr:rowOff>
    </xdr:from>
    <xdr:to>
      <xdr:col>11</xdr:col>
      <xdr:colOff>603250</xdr:colOff>
      <xdr:row>1622</xdr:row>
      <xdr:rowOff>10583</xdr:rowOff>
    </xdr:to>
    <xdr:cxnSp macro="">
      <xdr:nvCxnSpPr>
        <xdr:cNvPr id="3743" name="Straight Arrow Connector 3742">
          <a:extLst>
            <a:ext uri="{FF2B5EF4-FFF2-40B4-BE49-F238E27FC236}">
              <a16:creationId xmlns:a16="http://schemas.microsoft.com/office/drawing/2014/main" id="{00000000-0008-0000-1200-00009F0E0000}"/>
            </a:ext>
          </a:extLst>
        </xdr:cNvPr>
        <xdr:cNvCxnSpPr/>
      </xdr:nvCxnSpPr>
      <xdr:spPr>
        <a:xfrm>
          <a:off x="7926917" y="136059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1600</xdr:row>
      <xdr:rowOff>21167</xdr:rowOff>
    </xdr:from>
    <xdr:to>
      <xdr:col>13</xdr:col>
      <xdr:colOff>592667</xdr:colOff>
      <xdr:row>1602</xdr:row>
      <xdr:rowOff>0</xdr:rowOff>
    </xdr:to>
    <xdr:cxnSp macro="">
      <xdr:nvCxnSpPr>
        <xdr:cNvPr id="3744" name="Straight Arrow Connector 3743">
          <a:extLst>
            <a:ext uri="{FF2B5EF4-FFF2-40B4-BE49-F238E27FC236}">
              <a16:creationId xmlns:a16="http://schemas.microsoft.com/office/drawing/2014/main" id="{00000000-0008-0000-1200-0000A00E0000}"/>
            </a:ext>
          </a:extLst>
        </xdr:cNvPr>
        <xdr:cNvCxnSpPr/>
      </xdr:nvCxnSpPr>
      <xdr:spPr>
        <a:xfrm flipV="1">
          <a:off x="9133417" y="134133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1605</xdr:row>
      <xdr:rowOff>21166</xdr:rowOff>
    </xdr:from>
    <xdr:to>
      <xdr:col>13</xdr:col>
      <xdr:colOff>592667</xdr:colOff>
      <xdr:row>1606</xdr:row>
      <xdr:rowOff>169334</xdr:rowOff>
    </xdr:to>
    <xdr:cxnSp macro="">
      <xdr:nvCxnSpPr>
        <xdr:cNvPr id="3745" name="Straight Arrow Connector 3744">
          <a:extLst>
            <a:ext uri="{FF2B5EF4-FFF2-40B4-BE49-F238E27FC236}">
              <a16:creationId xmlns:a16="http://schemas.microsoft.com/office/drawing/2014/main" id="{00000000-0008-0000-1200-0000A10E0000}"/>
            </a:ext>
          </a:extLst>
        </xdr:cNvPr>
        <xdr:cNvCxnSpPr/>
      </xdr:nvCxnSpPr>
      <xdr:spPr>
        <a:xfrm>
          <a:off x="9122833" y="135085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1620</xdr:row>
      <xdr:rowOff>21167</xdr:rowOff>
    </xdr:from>
    <xdr:to>
      <xdr:col>13</xdr:col>
      <xdr:colOff>592667</xdr:colOff>
      <xdr:row>1622</xdr:row>
      <xdr:rowOff>63500</xdr:rowOff>
    </xdr:to>
    <xdr:cxnSp macro="">
      <xdr:nvCxnSpPr>
        <xdr:cNvPr id="3746" name="Straight Arrow Connector 3745">
          <a:extLst>
            <a:ext uri="{FF2B5EF4-FFF2-40B4-BE49-F238E27FC236}">
              <a16:creationId xmlns:a16="http://schemas.microsoft.com/office/drawing/2014/main" id="{00000000-0008-0000-1200-0000A20E0000}"/>
            </a:ext>
          </a:extLst>
        </xdr:cNvPr>
        <xdr:cNvCxnSpPr/>
      </xdr:nvCxnSpPr>
      <xdr:spPr>
        <a:xfrm flipV="1">
          <a:off x="9525000" y="138133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1625</xdr:row>
      <xdr:rowOff>0</xdr:rowOff>
    </xdr:from>
    <xdr:to>
      <xdr:col>14</xdr:col>
      <xdr:colOff>10584</xdr:colOff>
      <xdr:row>1633</xdr:row>
      <xdr:rowOff>148167</xdr:rowOff>
    </xdr:to>
    <xdr:cxnSp macro="">
      <xdr:nvCxnSpPr>
        <xdr:cNvPr id="3747" name="Straight Arrow Connector 3746">
          <a:extLst>
            <a:ext uri="{FF2B5EF4-FFF2-40B4-BE49-F238E27FC236}">
              <a16:creationId xmlns:a16="http://schemas.microsoft.com/office/drawing/2014/main" id="{00000000-0008-0000-1200-0000A30E0000}"/>
            </a:ext>
          </a:extLst>
        </xdr:cNvPr>
        <xdr:cNvCxnSpPr/>
      </xdr:nvCxnSpPr>
      <xdr:spPr>
        <a:xfrm>
          <a:off x="9535583" y="139065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1592</xdr:row>
      <xdr:rowOff>0</xdr:rowOff>
    </xdr:from>
    <xdr:to>
      <xdr:col>15</xdr:col>
      <xdr:colOff>603250</xdr:colOff>
      <xdr:row>1597</xdr:row>
      <xdr:rowOff>31750</xdr:rowOff>
    </xdr:to>
    <xdr:cxnSp macro="">
      <xdr:nvCxnSpPr>
        <xdr:cNvPr id="3748" name="Straight Arrow Connector 3747">
          <a:extLst>
            <a:ext uri="{FF2B5EF4-FFF2-40B4-BE49-F238E27FC236}">
              <a16:creationId xmlns:a16="http://schemas.microsoft.com/office/drawing/2014/main" id="{00000000-0008-0000-1200-0000A40E0000}"/>
            </a:ext>
          </a:extLst>
        </xdr:cNvPr>
        <xdr:cNvCxnSpPr/>
      </xdr:nvCxnSpPr>
      <xdr:spPr>
        <a:xfrm flipV="1">
          <a:off x="11281833" y="132588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1595</xdr:row>
      <xdr:rowOff>52917</xdr:rowOff>
    </xdr:from>
    <xdr:to>
      <xdr:col>15</xdr:col>
      <xdr:colOff>603250</xdr:colOff>
      <xdr:row>1597</xdr:row>
      <xdr:rowOff>95250</xdr:rowOff>
    </xdr:to>
    <xdr:cxnSp macro="">
      <xdr:nvCxnSpPr>
        <xdr:cNvPr id="3749" name="Straight Arrow Connector 3748">
          <a:extLst>
            <a:ext uri="{FF2B5EF4-FFF2-40B4-BE49-F238E27FC236}">
              <a16:creationId xmlns:a16="http://schemas.microsoft.com/office/drawing/2014/main" id="{00000000-0008-0000-1200-0000A50E0000}"/>
            </a:ext>
          </a:extLst>
        </xdr:cNvPr>
        <xdr:cNvCxnSpPr/>
      </xdr:nvCxnSpPr>
      <xdr:spPr>
        <a:xfrm flipV="1">
          <a:off x="11324166" y="133212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1597</xdr:row>
      <xdr:rowOff>158750</xdr:rowOff>
    </xdr:from>
    <xdr:to>
      <xdr:col>15</xdr:col>
      <xdr:colOff>582083</xdr:colOff>
      <xdr:row>1598</xdr:row>
      <xdr:rowOff>137583</xdr:rowOff>
    </xdr:to>
    <xdr:cxnSp macro="">
      <xdr:nvCxnSpPr>
        <xdr:cNvPr id="3750" name="Straight Arrow Connector 3749">
          <a:extLst>
            <a:ext uri="{FF2B5EF4-FFF2-40B4-BE49-F238E27FC236}">
              <a16:creationId xmlns:a16="http://schemas.microsoft.com/office/drawing/2014/main" id="{00000000-0008-0000-1200-0000A60E0000}"/>
            </a:ext>
          </a:extLst>
        </xdr:cNvPr>
        <xdr:cNvCxnSpPr/>
      </xdr:nvCxnSpPr>
      <xdr:spPr>
        <a:xfrm>
          <a:off x="11345333" y="133699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1597</xdr:row>
      <xdr:rowOff>105834</xdr:rowOff>
    </xdr:from>
    <xdr:to>
      <xdr:col>16</xdr:col>
      <xdr:colOff>0</xdr:colOff>
      <xdr:row>1601</xdr:row>
      <xdr:rowOff>84667</xdr:rowOff>
    </xdr:to>
    <xdr:cxnSp macro="">
      <xdr:nvCxnSpPr>
        <xdr:cNvPr id="3751" name="Straight Arrow Connector 3750">
          <a:extLst>
            <a:ext uri="{FF2B5EF4-FFF2-40B4-BE49-F238E27FC236}">
              <a16:creationId xmlns:a16="http://schemas.microsoft.com/office/drawing/2014/main" id="{00000000-0008-0000-1200-0000A70E0000}"/>
            </a:ext>
          </a:extLst>
        </xdr:cNvPr>
        <xdr:cNvCxnSpPr/>
      </xdr:nvCxnSpPr>
      <xdr:spPr>
        <a:xfrm>
          <a:off x="11260667" y="133646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1605</xdr:row>
      <xdr:rowOff>52916</xdr:rowOff>
    </xdr:from>
    <xdr:to>
      <xdr:col>16</xdr:col>
      <xdr:colOff>0</xdr:colOff>
      <xdr:row>1607</xdr:row>
      <xdr:rowOff>0</xdr:rowOff>
    </xdr:to>
    <xdr:cxnSp macro="">
      <xdr:nvCxnSpPr>
        <xdr:cNvPr id="3752" name="Straight Arrow Connector 3751">
          <a:extLst>
            <a:ext uri="{FF2B5EF4-FFF2-40B4-BE49-F238E27FC236}">
              <a16:creationId xmlns:a16="http://schemas.microsoft.com/office/drawing/2014/main" id="{00000000-0008-0000-1200-0000A80E0000}"/>
            </a:ext>
          </a:extLst>
        </xdr:cNvPr>
        <xdr:cNvCxnSpPr/>
      </xdr:nvCxnSpPr>
      <xdr:spPr>
        <a:xfrm flipV="1">
          <a:off x="11281833" y="135117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1607</xdr:row>
      <xdr:rowOff>21167</xdr:rowOff>
    </xdr:from>
    <xdr:to>
      <xdr:col>15</xdr:col>
      <xdr:colOff>582083</xdr:colOff>
      <xdr:row>1608</xdr:row>
      <xdr:rowOff>42333</xdr:rowOff>
    </xdr:to>
    <xdr:cxnSp macro="">
      <xdr:nvCxnSpPr>
        <xdr:cNvPr id="3753" name="Straight Arrow Connector 3752">
          <a:extLst>
            <a:ext uri="{FF2B5EF4-FFF2-40B4-BE49-F238E27FC236}">
              <a16:creationId xmlns:a16="http://schemas.microsoft.com/office/drawing/2014/main" id="{00000000-0008-0000-1200-0000A90E0000}"/>
            </a:ext>
          </a:extLst>
        </xdr:cNvPr>
        <xdr:cNvCxnSpPr/>
      </xdr:nvCxnSpPr>
      <xdr:spPr>
        <a:xfrm>
          <a:off x="11292416" y="135466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1607</xdr:row>
      <xdr:rowOff>21167</xdr:rowOff>
    </xdr:from>
    <xdr:to>
      <xdr:col>16</xdr:col>
      <xdr:colOff>42333</xdr:colOff>
      <xdr:row>1612</xdr:row>
      <xdr:rowOff>21168</xdr:rowOff>
    </xdr:to>
    <xdr:cxnSp macro="">
      <xdr:nvCxnSpPr>
        <xdr:cNvPr id="3754" name="Straight Arrow Connector 3753">
          <a:extLst>
            <a:ext uri="{FF2B5EF4-FFF2-40B4-BE49-F238E27FC236}">
              <a16:creationId xmlns:a16="http://schemas.microsoft.com/office/drawing/2014/main" id="{00000000-0008-0000-1200-0000AA0E0000}"/>
            </a:ext>
          </a:extLst>
        </xdr:cNvPr>
        <xdr:cNvCxnSpPr/>
      </xdr:nvCxnSpPr>
      <xdr:spPr>
        <a:xfrm>
          <a:off x="11271250" y="135466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755" name="Straight Arrow Connector 3754">
          <a:extLst>
            <a:ext uri="{FF2B5EF4-FFF2-40B4-BE49-F238E27FC236}">
              <a16:creationId xmlns:a16="http://schemas.microsoft.com/office/drawing/2014/main" id="{00000000-0008-0000-1200-0000AB0E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1644</xdr:row>
      <xdr:rowOff>42333</xdr:rowOff>
    </xdr:from>
    <xdr:to>
      <xdr:col>9</xdr:col>
      <xdr:colOff>592666</xdr:colOff>
      <xdr:row>1652</xdr:row>
      <xdr:rowOff>42333</xdr:rowOff>
    </xdr:to>
    <xdr:cxnSp macro="">
      <xdr:nvCxnSpPr>
        <xdr:cNvPr id="3756" name="Straight Arrow Connector 3755">
          <a:extLst>
            <a:ext uri="{FF2B5EF4-FFF2-40B4-BE49-F238E27FC236}">
              <a16:creationId xmlns:a16="http://schemas.microsoft.com/office/drawing/2014/main" id="{00000000-0008-0000-1200-0000AC0E0000}"/>
            </a:ext>
          </a:extLst>
        </xdr:cNvPr>
        <xdr:cNvCxnSpPr/>
      </xdr:nvCxnSpPr>
      <xdr:spPr>
        <a:xfrm flipV="1">
          <a:off x="6699250" y="142726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1654</xdr:row>
      <xdr:rowOff>169334</xdr:rowOff>
    </xdr:from>
    <xdr:to>
      <xdr:col>9</xdr:col>
      <xdr:colOff>603250</xdr:colOff>
      <xdr:row>1663</xdr:row>
      <xdr:rowOff>31750</xdr:rowOff>
    </xdr:to>
    <xdr:cxnSp macro="">
      <xdr:nvCxnSpPr>
        <xdr:cNvPr id="3757" name="Straight Arrow Connector 3756">
          <a:extLst>
            <a:ext uri="{FF2B5EF4-FFF2-40B4-BE49-F238E27FC236}">
              <a16:creationId xmlns:a16="http://schemas.microsoft.com/office/drawing/2014/main" id="{00000000-0008-0000-1200-0000AD0E0000}"/>
            </a:ext>
          </a:extLst>
        </xdr:cNvPr>
        <xdr:cNvCxnSpPr/>
      </xdr:nvCxnSpPr>
      <xdr:spPr>
        <a:xfrm>
          <a:off x="6720417" y="144758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1660</xdr:row>
      <xdr:rowOff>158750</xdr:rowOff>
    </xdr:from>
    <xdr:to>
      <xdr:col>11</xdr:col>
      <xdr:colOff>571500</xdr:colOff>
      <xdr:row>1663</xdr:row>
      <xdr:rowOff>0</xdr:rowOff>
    </xdr:to>
    <xdr:cxnSp macro="">
      <xdr:nvCxnSpPr>
        <xdr:cNvPr id="3758" name="Straight Arrow Connector 3757">
          <a:extLst>
            <a:ext uri="{FF2B5EF4-FFF2-40B4-BE49-F238E27FC236}">
              <a16:creationId xmlns:a16="http://schemas.microsoft.com/office/drawing/2014/main" id="{00000000-0008-0000-1200-0000AE0E0000}"/>
            </a:ext>
          </a:extLst>
        </xdr:cNvPr>
        <xdr:cNvCxnSpPr/>
      </xdr:nvCxnSpPr>
      <xdr:spPr>
        <a:xfrm flipV="1">
          <a:off x="7874000" y="145891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1618</xdr:row>
      <xdr:rowOff>0</xdr:rowOff>
    </xdr:from>
    <xdr:to>
      <xdr:col>15</xdr:col>
      <xdr:colOff>603250</xdr:colOff>
      <xdr:row>1620</xdr:row>
      <xdr:rowOff>1</xdr:rowOff>
    </xdr:to>
    <xdr:cxnSp macro="">
      <xdr:nvCxnSpPr>
        <xdr:cNvPr id="3759" name="Straight Arrow Connector 3758">
          <a:extLst>
            <a:ext uri="{FF2B5EF4-FFF2-40B4-BE49-F238E27FC236}">
              <a16:creationId xmlns:a16="http://schemas.microsoft.com/office/drawing/2014/main" id="{00000000-0008-0000-1200-0000AF0E0000}"/>
            </a:ext>
          </a:extLst>
        </xdr:cNvPr>
        <xdr:cNvCxnSpPr/>
      </xdr:nvCxnSpPr>
      <xdr:spPr>
        <a:xfrm flipV="1">
          <a:off x="11271250" y="137731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1620</xdr:row>
      <xdr:rowOff>10584</xdr:rowOff>
    </xdr:from>
    <xdr:to>
      <xdr:col>15</xdr:col>
      <xdr:colOff>592666</xdr:colOff>
      <xdr:row>1621</xdr:row>
      <xdr:rowOff>95250</xdr:rowOff>
    </xdr:to>
    <xdr:cxnSp macro="">
      <xdr:nvCxnSpPr>
        <xdr:cNvPr id="3760" name="Straight Arrow Connector 3759">
          <a:extLst>
            <a:ext uri="{FF2B5EF4-FFF2-40B4-BE49-F238E27FC236}">
              <a16:creationId xmlns:a16="http://schemas.microsoft.com/office/drawing/2014/main" id="{00000000-0008-0000-1200-0000B00E0000}"/>
            </a:ext>
          </a:extLst>
        </xdr:cNvPr>
        <xdr:cNvCxnSpPr/>
      </xdr:nvCxnSpPr>
      <xdr:spPr>
        <a:xfrm>
          <a:off x="11313583" y="138123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1620</xdr:row>
      <xdr:rowOff>10584</xdr:rowOff>
    </xdr:from>
    <xdr:to>
      <xdr:col>15</xdr:col>
      <xdr:colOff>560916</xdr:colOff>
      <xdr:row>1624</xdr:row>
      <xdr:rowOff>52917</xdr:rowOff>
    </xdr:to>
    <xdr:cxnSp macro="">
      <xdr:nvCxnSpPr>
        <xdr:cNvPr id="3761" name="Straight Arrow Connector 3760">
          <a:extLst>
            <a:ext uri="{FF2B5EF4-FFF2-40B4-BE49-F238E27FC236}">
              <a16:creationId xmlns:a16="http://schemas.microsoft.com/office/drawing/2014/main" id="{00000000-0008-0000-1200-0000B10E0000}"/>
            </a:ext>
          </a:extLst>
        </xdr:cNvPr>
        <xdr:cNvCxnSpPr/>
      </xdr:nvCxnSpPr>
      <xdr:spPr>
        <a:xfrm>
          <a:off x="11292416" y="138123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762" name="Straight Arrow Connector 3761">
          <a:extLst>
            <a:ext uri="{FF2B5EF4-FFF2-40B4-BE49-F238E27FC236}">
              <a16:creationId xmlns:a16="http://schemas.microsoft.com/office/drawing/2014/main" id="{00000000-0008-0000-1200-0000B20E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1634</xdr:row>
      <xdr:rowOff>0</xdr:rowOff>
    </xdr:from>
    <xdr:to>
      <xdr:col>16</xdr:col>
      <xdr:colOff>0</xdr:colOff>
      <xdr:row>1634</xdr:row>
      <xdr:rowOff>42334</xdr:rowOff>
    </xdr:to>
    <xdr:cxnSp macro="">
      <xdr:nvCxnSpPr>
        <xdr:cNvPr id="3763" name="Straight Arrow Connector 3762">
          <a:extLst>
            <a:ext uri="{FF2B5EF4-FFF2-40B4-BE49-F238E27FC236}">
              <a16:creationId xmlns:a16="http://schemas.microsoft.com/office/drawing/2014/main" id="{00000000-0008-0000-1200-0000B30E0000}"/>
            </a:ext>
          </a:extLst>
        </xdr:cNvPr>
        <xdr:cNvCxnSpPr/>
      </xdr:nvCxnSpPr>
      <xdr:spPr>
        <a:xfrm>
          <a:off x="11302999" y="140779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1634</xdr:row>
      <xdr:rowOff>21166</xdr:rowOff>
    </xdr:from>
    <xdr:to>
      <xdr:col>15</xdr:col>
      <xdr:colOff>560916</xdr:colOff>
      <xdr:row>1637</xdr:row>
      <xdr:rowOff>84667</xdr:rowOff>
    </xdr:to>
    <xdr:cxnSp macro="">
      <xdr:nvCxnSpPr>
        <xdr:cNvPr id="3764" name="Straight Arrow Connector 3763">
          <a:extLst>
            <a:ext uri="{FF2B5EF4-FFF2-40B4-BE49-F238E27FC236}">
              <a16:creationId xmlns:a16="http://schemas.microsoft.com/office/drawing/2014/main" id="{00000000-0008-0000-1200-0000B40E0000}"/>
            </a:ext>
          </a:extLst>
        </xdr:cNvPr>
        <xdr:cNvCxnSpPr/>
      </xdr:nvCxnSpPr>
      <xdr:spPr>
        <a:xfrm>
          <a:off x="11355916" y="140800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1634</xdr:row>
      <xdr:rowOff>52916</xdr:rowOff>
    </xdr:from>
    <xdr:to>
      <xdr:col>15</xdr:col>
      <xdr:colOff>592666</xdr:colOff>
      <xdr:row>1640</xdr:row>
      <xdr:rowOff>63501</xdr:rowOff>
    </xdr:to>
    <xdr:cxnSp macro="">
      <xdr:nvCxnSpPr>
        <xdr:cNvPr id="3765" name="Straight Arrow Connector 3764">
          <a:extLst>
            <a:ext uri="{FF2B5EF4-FFF2-40B4-BE49-F238E27FC236}">
              <a16:creationId xmlns:a16="http://schemas.microsoft.com/office/drawing/2014/main" id="{00000000-0008-0000-1200-0000B50E0000}"/>
            </a:ext>
          </a:extLst>
        </xdr:cNvPr>
        <xdr:cNvCxnSpPr/>
      </xdr:nvCxnSpPr>
      <xdr:spPr>
        <a:xfrm>
          <a:off x="11313583" y="140832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1648</xdr:row>
      <xdr:rowOff>116416</xdr:rowOff>
    </xdr:from>
    <xdr:to>
      <xdr:col>15</xdr:col>
      <xdr:colOff>592666</xdr:colOff>
      <xdr:row>1651</xdr:row>
      <xdr:rowOff>158750</xdr:rowOff>
    </xdr:to>
    <xdr:cxnSp macro="">
      <xdr:nvCxnSpPr>
        <xdr:cNvPr id="3766" name="Straight Arrow Connector 3765">
          <a:extLst>
            <a:ext uri="{FF2B5EF4-FFF2-40B4-BE49-F238E27FC236}">
              <a16:creationId xmlns:a16="http://schemas.microsoft.com/office/drawing/2014/main" id="{00000000-0008-0000-1200-0000B60E0000}"/>
            </a:ext>
          </a:extLst>
        </xdr:cNvPr>
        <xdr:cNvCxnSpPr/>
      </xdr:nvCxnSpPr>
      <xdr:spPr>
        <a:xfrm flipV="1">
          <a:off x="11302999" y="143562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1650</xdr:row>
      <xdr:rowOff>95250</xdr:rowOff>
    </xdr:from>
    <xdr:to>
      <xdr:col>15</xdr:col>
      <xdr:colOff>582083</xdr:colOff>
      <xdr:row>1652</xdr:row>
      <xdr:rowOff>52917</xdr:rowOff>
    </xdr:to>
    <xdr:cxnSp macro="">
      <xdr:nvCxnSpPr>
        <xdr:cNvPr id="3767" name="Straight Arrow Connector 3766">
          <a:extLst>
            <a:ext uri="{FF2B5EF4-FFF2-40B4-BE49-F238E27FC236}">
              <a16:creationId xmlns:a16="http://schemas.microsoft.com/office/drawing/2014/main" id="{00000000-0008-0000-1200-0000B70E0000}"/>
            </a:ext>
          </a:extLst>
        </xdr:cNvPr>
        <xdr:cNvCxnSpPr/>
      </xdr:nvCxnSpPr>
      <xdr:spPr>
        <a:xfrm flipV="1">
          <a:off x="11345333" y="143922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116417</xdr:rowOff>
    </xdr:from>
    <xdr:to>
      <xdr:col>15</xdr:col>
      <xdr:colOff>592666</xdr:colOff>
      <xdr:row>1656</xdr:row>
      <xdr:rowOff>95250</xdr:rowOff>
    </xdr:to>
    <xdr:cxnSp macro="">
      <xdr:nvCxnSpPr>
        <xdr:cNvPr id="3768" name="Straight Arrow Connector 3767">
          <a:extLst>
            <a:ext uri="{FF2B5EF4-FFF2-40B4-BE49-F238E27FC236}">
              <a16:creationId xmlns:a16="http://schemas.microsoft.com/office/drawing/2014/main" id="{00000000-0008-0000-1200-0000B80E0000}"/>
            </a:ext>
          </a:extLst>
        </xdr:cNvPr>
        <xdr:cNvCxnSpPr/>
      </xdr:nvCxnSpPr>
      <xdr:spPr>
        <a:xfrm>
          <a:off x="11334749" y="144324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1663</xdr:row>
      <xdr:rowOff>116416</xdr:rowOff>
    </xdr:from>
    <xdr:to>
      <xdr:col>16</xdr:col>
      <xdr:colOff>0</xdr:colOff>
      <xdr:row>1670</xdr:row>
      <xdr:rowOff>74084</xdr:rowOff>
    </xdr:to>
    <xdr:cxnSp macro="">
      <xdr:nvCxnSpPr>
        <xdr:cNvPr id="3769" name="Straight Arrow Connector 3768">
          <a:extLst>
            <a:ext uri="{FF2B5EF4-FFF2-40B4-BE49-F238E27FC236}">
              <a16:creationId xmlns:a16="http://schemas.microsoft.com/office/drawing/2014/main" id="{00000000-0008-0000-1200-0000B90E0000}"/>
            </a:ext>
          </a:extLst>
        </xdr:cNvPr>
        <xdr:cNvCxnSpPr/>
      </xdr:nvCxnSpPr>
      <xdr:spPr>
        <a:xfrm>
          <a:off x="11313583" y="146420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1631</xdr:row>
      <xdr:rowOff>52917</xdr:rowOff>
    </xdr:from>
    <xdr:to>
      <xdr:col>15</xdr:col>
      <xdr:colOff>603250</xdr:colOff>
      <xdr:row>1633</xdr:row>
      <xdr:rowOff>148167</xdr:rowOff>
    </xdr:to>
    <xdr:cxnSp macro="">
      <xdr:nvCxnSpPr>
        <xdr:cNvPr id="3770" name="Straight Arrow Connector 3769">
          <a:extLst>
            <a:ext uri="{FF2B5EF4-FFF2-40B4-BE49-F238E27FC236}">
              <a16:creationId xmlns:a16="http://schemas.microsoft.com/office/drawing/2014/main" id="{00000000-0008-0000-1200-0000BA0E0000}"/>
            </a:ext>
          </a:extLst>
        </xdr:cNvPr>
        <xdr:cNvCxnSpPr/>
      </xdr:nvCxnSpPr>
      <xdr:spPr>
        <a:xfrm flipV="1">
          <a:off x="11324166" y="140260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1666</xdr:row>
      <xdr:rowOff>42333</xdr:rowOff>
    </xdr:from>
    <xdr:to>
      <xdr:col>11</xdr:col>
      <xdr:colOff>603250</xdr:colOff>
      <xdr:row>1678</xdr:row>
      <xdr:rowOff>10583</xdr:rowOff>
    </xdr:to>
    <xdr:cxnSp macro="">
      <xdr:nvCxnSpPr>
        <xdr:cNvPr id="3771" name="Straight Arrow Connector 3770">
          <a:extLst>
            <a:ext uri="{FF2B5EF4-FFF2-40B4-BE49-F238E27FC236}">
              <a16:creationId xmlns:a16="http://schemas.microsoft.com/office/drawing/2014/main" id="{00000000-0008-0000-1200-0000BB0E0000}"/>
            </a:ext>
          </a:extLst>
        </xdr:cNvPr>
        <xdr:cNvCxnSpPr/>
      </xdr:nvCxnSpPr>
      <xdr:spPr>
        <a:xfrm>
          <a:off x="7926917" y="146917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1656</xdr:row>
      <xdr:rowOff>21167</xdr:rowOff>
    </xdr:from>
    <xdr:to>
      <xdr:col>13</xdr:col>
      <xdr:colOff>592667</xdr:colOff>
      <xdr:row>1658</xdr:row>
      <xdr:rowOff>0</xdr:rowOff>
    </xdr:to>
    <xdr:cxnSp macro="">
      <xdr:nvCxnSpPr>
        <xdr:cNvPr id="3772" name="Straight Arrow Connector 3771">
          <a:extLst>
            <a:ext uri="{FF2B5EF4-FFF2-40B4-BE49-F238E27FC236}">
              <a16:creationId xmlns:a16="http://schemas.microsoft.com/office/drawing/2014/main" id="{00000000-0008-0000-1200-0000BC0E0000}"/>
            </a:ext>
          </a:extLst>
        </xdr:cNvPr>
        <xdr:cNvCxnSpPr/>
      </xdr:nvCxnSpPr>
      <xdr:spPr>
        <a:xfrm flipV="1">
          <a:off x="9133417" y="144991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1661</xdr:row>
      <xdr:rowOff>21166</xdr:rowOff>
    </xdr:from>
    <xdr:to>
      <xdr:col>13</xdr:col>
      <xdr:colOff>592667</xdr:colOff>
      <xdr:row>1662</xdr:row>
      <xdr:rowOff>169334</xdr:rowOff>
    </xdr:to>
    <xdr:cxnSp macro="">
      <xdr:nvCxnSpPr>
        <xdr:cNvPr id="3773" name="Straight Arrow Connector 3772">
          <a:extLst>
            <a:ext uri="{FF2B5EF4-FFF2-40B4-BE49-F238E27FC236}">
              <a16:creationId xmlns:a16="http://schemas.microsoft.com/office/drawing/2014/main" id="{00000000-0008-0000-1200-0000BD0E0000}"/>
            </a:ext>
          </a:extLst>
        </xdr:cNvPr>
        <xdr:cNvCxnSpPr/>
      </xdr:nvCxnSpPr>
      <xdr:spPr>
        <a:xfrm>
          <a:off x="9122833" y="145944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1676</xdr:row>
      <xdr:rowOff>21167</xdr:rowOff>
    </xdr:from>
    <xdr:to>
      <xdr:col>13</xdr:col>
      <xdr:colOff>592667</xdr:colOff>
      <xdr:row>1678</xdr:row>
      <xdr:rowOff>63500</xdr:rowOff>
    </xdr:to>
    <xdr:cxnSp macro="">
      <xdr:nvCxnSpPr>
        <xdr:cNvPr id="3774" name="Straight Arrow Connector 3773">
          <a:extLst>
            <a:ext uri="{FF2B5EF4-FFF2-40B4-BE49-F238E27FC236}">
              <a16:creationId xmlns:a16="http://schemas.microsoft.com/office/drawing/2014/main" id="{00000000-0008-0000-1200-0000BE0E0000}"/>
            </a:ext>
          </a:extLst>
        </xdr:cNvPr>
        <xdr:cNvCxnSpPr/>
      </xdr:nvCxnSpPr>
      <xdr:spPr>
        <a:xfrm flipV="1">
          <a:off x="9525000" y="148992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1681</xdr:row>
      <xdr:rowOff>0</xdr:rowOff>
    </xdr:from>
    <xdr:to>
      <xdr:col>14</xdr:col>
      <xdr:colOff>10584</xdr:colOff>
      <xdr:row>1689</xdr:row>
      <xdr:rowOff>148167</xdr:rowOff>
    </xdr:to>
    <xdr:cxnSp macro="">
      <xdr:nvCxnSpPr>
        <xdr:cNvPr id="3775" name="Straight Arrow Connector 3774">
          <a:extLst>
            <a:ext uri="{FF2B5EF4-FFF2-40B4-BE49-F238E27FC236}">
              <a16:creationId xmlns:a16="http://schemas.microsoft.com/office/drawing/2014/main" id="{00000000-0008-0000-1200-0000BF0E0000}"/>
            </a:ext>
          </a:extLst>
        </xdr:cNvPr>
        <xdr:cNvCxnSpPr/>
      </xdr:nvCxnSpPr>
      <xdr:spPr>
        <a:xfrm>
          <a:off x="9535583" y="149923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1652</xdr:row>
      <xdr:rowOff>95250</xdr:rowOff>
    </xdr:from>
    <xdr:to>
      <xdr:col>15</xdr:col>
      <xdr:colOff>582083</xdr:colOff>
      <xdr:row>1654</xdr:row>
      <xdr:rowOff>137583</xdr:rowOff>
    </xdr:to>
    <xdr:cxnSp macro="">
      <xdr:nvCxnSpPr>
        <xdr:cNvPr id="3776" name="Straight Arrow Connector 3775">
          <a:extLst>
            <a:ext uri="{FF2B5EF4-FFF2-40B4-BE49-F238E27FC236}">
              <a16:creationId xmlns:a16="http://schemas.microsoft.com/office/drawing/2014/main" id="{00000000-0008-0000-1200-0000C00E0000}"/>
            </a:ext>
          </a:extLst>
        </xdr:cNvPr>
        <xdr:cNvCxnSpPr/>
      </xdr:nvCxnSpPr>
      <xdr:spPr>
        <a:xfrm>
          <a:off x="11334749" y="144303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1661</xdr:row>
      <xdr:rowOff>52916</xdr:rowOff>
    </xdr:from>
    <xdr:to>
      <xdr:col>16</xdr:col>
      <xdr:colOff>0</xdr:colOff>
      <xdr:row>1663</xdr:row>
      <xdr:rowOff>0</xdr:rowOff>
    </xdr:to>
    <xdr:cxnSp macro="">
      <xdr:nvCxnSpPr>
        <xdr:cNvPr id="3777" name="Straight Arrow Connector 3776">
          <a:extLst>
            <a:ext uri="{FF2B5EF4-FFF2-40B4-BE49-F238E27FC236}">
              <a16:creationId xmlns:a16="http://schemas.microsoft.com/office/drawing/2014/main" id="{00000000-0008-0000-1200-0000C10E0000}"/>
            </a:ext>
          </a:extLst>
        </xdr:cNvPr>
        <xdr:cNvCxnSpPr/>
      </xdr:nvCxnSpPr>
      <xdr:spPr>
        <a:xfrm flipV="1">
          <a:off x="11281833" y="145975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21167</xdr:rowOff>
    </xdr:from>
    <xdr:to>
      <xdr:col>15</xdr:col>
      <xdr:colOff>592666</xdr:colOff>
      <xdr:row>1664</xdr:row>
      <xdr:rowOff>84667</xdr:rowOff>
    </xdr:to>
    <xdr:cxnSp macro="">
      <xdr:nvCxnSpPr>
        <xdr:cNvPr id="3778" name="Straight Arrow Connector 3777">
          <a:extLst>
            <a:ext uri="{FF2B5EF4-FFF2-40B4-BE49-F238E27FC236}">
              <a16:creationId xmlns:a16="http://schemas.microsoft.com/office/drawing/2014/main" id="{00000000-0008-0000-1200-0000C20E0000}"/>
            </a:ext>
          </a:extLst>
        </xdr:cNvPr>
        <xdr:cNvCxnSpPr/>
      </xdr:nvCxnSpPr>
      <xdr:spPr>
        <a:xfrm>
          <a:off x="11271250" y="146325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1663</xdr:row>
      <xdr:rowOff>0</xdr:rowOff>
    </xdr:from>
    <xdr:to>
      <xdr:col>16</xdr:col>
      <xdr:colOff>0</xdr:colOff>
      <xdr:row>1667</xdr:row>
      <xdr:rowOff>42334</xdr:rowOff>
    </xdr:to>
    <xdr:cxnSp macro="">
      <xdr:nvCxnSpPr>
        <xdr:cNvPr id="3779" name="Straight Arrow Connector 3778">
          <a:extLst>
            <a:ext uri="{FF2B5EF4-FFF2-40B4-BE49-F238E27FC236}">
              <a16:creationId xmlns:a16="http://schemas.microsoft.com/office/drawing/2014/main" id="{00000000-0008-0000-1200-0000C30E0000}"/>
            </a:ext>
          </a:extLst>
        </xdr:cNvPr>
        <xdr:cNvCxnSpPr/>
      </xdr:nvCxnSpPr>
      <xdr:spPr>
        <a:xfrm>
          <a:off x="11271250" y="146304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1674</xdr:row>
      <xdr:rowOff>0</xdr:rowOff>
    </xdr:from>
    <xdr:to>
      <xdr:col>15</xdr:col>
      <xdr:colOff>603250</xdr:colOff>
      <xdr:row>1676</xdr:row>
      <xdr:rowOff>1</xdr:rowOff>
    </xdr:to>
    <xdr:cxnSp macro="">
      <xdr:nvCxnSpPr>
        <xdr:cNvPr id="3780" name="Straight Arrow Connector 3779">
          <a:extLst>
            <a:ext uri="{FF2B5EF4-FFF2-40B4-BE49-F238E27FC236}">
              <a16:creationId xmlns:a16="http://schemas.microsoft.com/office/drawing/2014/main" id="{00000000-0008-0000-1200-0000C40E0000}"/>
            </a:ext>
          </a:extLst>
        </xdr:cNvPr>
        <xdr:cNvCxnSpPr/>
      </xdr:nvCxnSpPr>
      <xdr:spPr>
        <a:xfrm flipV="1">
          <a:off x="11271250" y="148590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1676</xdr:row>
      <xdr:rowOff>10584</xdr:rowOff>
    </xdr:from>
    <xdr:to>
      <xdr:col>15</xdr:col>
      <xdr:colOff>592666</xdr:colOff>
      <xdr:row>1677</xdr:row>
      <xdr:rowOff>95250</xdr:rowOff>
    </xdr:to>
    <xdr:cxnSp macro="">
      <xdr:nvCxnSpPr>
        <xdr:cNvPr id="3781" name="Straight Arrow Connector 3780">
          <a:extLst>
            <a:ext uri="{FF2B5EF4-FFF2-40B4-BE49-F238E27FC236}">
              <a16:creationId xmlns:a16="http://schemas.microsoft.com/office/drawing/2014/main" id="{00000000-0008-0000-1200-0000C50E0000}"/>
            </a:ext>
          </a:extLst>
        </xdr:cNvPr>
        <xdr:cNvCxnSpPr/>
      </xdr:nvCxnSpPr>
      <xdr:spPr>
        <a:xfrm>
          <a:off x="11313583" y="148981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1676</xdr:row>
      <xdr:rowOff>10584</xdr:rowOff>
    </xdr:from>
    <xdr:to>
      <xdr:col>15</xdr:col>
      <xdr:colOff>560916</xdr:colOff>
      <xdr:row>1680</xdr:row>
      <xdr:rowOff>52917</xdr:rowOff>
    </xdr:to>
    <xdr:cxnSp macro="">
      <xdr:nvCxnSpPr>
        <xdr:cNvPr id="3782" name="Straight Arrow Connector 3781">
          <a:extLst>
            <a:ext uri="{FF2B5EF4-FFF2-40B4-BE49-F238E27FC236}">
              <a16:creationId xmlns:a16="http://schemas.microsoft.com/office/drawing/2014/main" id="{00000000-0008-0000-1200-0000C60E0000}"/>
            </a:ext>
          </a:extLst>
        </xdr:cNvPr>
        <xdr:cNvCxnSpPr/>
      </xdr:nvCxnSpPr>
      <xdr:spPr>
        <a:xfrm>
          <a:off x="11292416" y="148981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783" name="Straight Arrow Connector 3782">
          <a:extLst>
            <a:ext uri="{FF2B5EF4-FFF2-40B4-BE49-F238E27FC236}">
              <a16:creationId xmlns:a16="http://schemas.microsoft.com/office/drawing/2014/main" id="{00000000-0008-0000-1200-0000C70E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1690</xdr:row>
      <xdr:rowOff>0</xdr:rowOff>
    </xdr:from>
    <xdr:to>
      <xdr:col>16</xdr:col>
      <xdr:colOff>0</xdr:colOff>
      <xdr:row>1690</xdr:row>
      <xdr:rowOff>42334</xdr:rowOff>
    </xdr:to>
    <xdr:cxnSp macro="">
      <xdr:nvCxnSpPr>
        <xdr:cNvPr id="3784" name="Straight Arrow Connector 3783">
          <a:extLst>
            <a:ext uri="{FF2B5EF4-FFF2-40B4-BE49-F238E27FC236}">
              <a16:creationId xmlns:a16="http://schemas.microsoft.com/office/drawing/2014/main" id="{00000000-0008-0000-1200-0000C80E0000}"/>
            </a:ext>
          </a:extLst>
        </xdr:cNvPr>
        <xdr:cNvCxnSpPr/>
      </xdr:nvCxnSpPr>
      <xdr:spPr>
        <a:xfrm>
          <a:off x="11302999" y="151638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1690</xdr:row>
      <xdr:rowOff>21166</xdr:rowOff>
    </xdr:from>
    <xdr:to>
      <xdr:col>15</xdr:col>
      <xdr:colOff>560916</xdr:colOff>
      <xdr:row>1693</xdr:row>
      <xdr:rowOff>84667</xdr:rowOff>
    </xdr:to>
    <xdr:cxnSp macro="">
      <xdr:nvCxnSpPr>
        <xdr:cNvPr id="3785" name="Straight Arrow Connector 3784">
          <a:extLst>
            <a:ext uri="{FF2B5EF4-FFF2-40B4-BE49-F238E27FC236}">
              <a16:creationId xmlns:a16="http://schemas.microsoft.com/office/drawing/2014/main" id="{00000000-0008-0000-1200-0000C90E0000}"/>
            </a:ext>
          </a:extLst>
        </xdr:cNvPr>
        <xdr:cNvCxnSpPr/>
      </xdr:nvCxnSpPr>
      <xdr:spPr>
        <a:xfrm>
          <a:off x="11355916" y="151659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1690</xdr:row>
      <xdr:rowOff>52916</xdr:rowOff>
    </xdr:from>
    <xdr:to>
      <xdr:col>15</xdr:col>
      <xdr:colOff>592666</xdr:colOff>
      <xdr:row>1696</xdr:row>
      <xdr:rowOff>63501</xdr:rowOff>
    </xdr:to>
    <xdr:cxnSp macro="">
      <xdr:nvCxnSpPr>
        <xdr:cNvPr id="3786" name="Straight Arrow Connector 3785">
          <a:extLst>
            <a:ext uri="{FF2B5EF4-FFF2-40B4-BE49-F238E27FC236}">
              <a16:creationId xmlns:a16="http://schemas.microsoft.com/office/drawing/2014/main" id="{00000000-0008-0000-1200-0000CA0E0000}"/>
            </a:ext>
          </a:extLst>
        </xdr:cNvPr>
        <xdr:cNvCxnSpPr/>
      </xdr:nvCxnSpPr>
      <xdr:spPr>
        <a:xfrm>
          <a:off x="11313583" y="151690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1687</xdr:row>
      <xdr:rowOff>52917</xdr:rowOff>
    </xdr:from>
    <xdr:to>
      <xdr:col>15</xdr:col>
      <xdr:colOff>603250</xdr:colOff>
      <xdr:row>1689</xdr:row>
      <xdr:rowOff>148167</xdr:rowOff>
    </xdr:to>
    <xdr:cxnSp macro="">
      <xdr:nvCxnSpPr>
        <xdr:cNvPr id="3787" name="Straight Arrow Connector 3786">
          <a:extLst>
            <a:ext uri="{FF2B5EF4-FFF2-40B4-BE49-F238E27FC236}">
              <a16:creationId xmlns:a16="http://schemas.microsoft.com/office/drawing/2014/main" id="{00000000-0008-0000-1200-0000CB0E0000}"/>
            </a:ext>
          </a:extLst>
        </xdr:cNvPr>
        <xdr:cNvCxnSpPr/>
      </xdr:nvCxnSpPr>
      <xdr:spPr>
        <a:xfrm flipV="1">
          <a:off x="11324166" y="151119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698500</xdr:colOff>
      <xdr:row>1731</xdr:row>
      <xdr:rowOff>95250</xdr:rowOff>
    </xdr:from>
    <xdr:to>
      <xdr:col>8</xdr:col>
      <xdr:colOff>21167</xdr:colOff>
      <xdr:row>1763</xdr:row>
      <xdr:rowOff>148166</xdr:rowOff>
    </xdr:to>
    <xdr:cxnSp macro="">
      <xdr:nvCxnSpPr>
        <xdr:cNvPr id="3788" name="Straight Arrow Connector 3787">
          <a:extLst>
            <a:ext uri="{FF2B5EF4-FFF2-40B4-BE49-F238E27FC236}">
              <a16:creationId xmlns:a16="http://schemas.microsoft.com/office/drawing/2014/main" id="{00000000-0008-0000-1200-0000CC0E0000}"/>
            </a:ext>
          </a:extLst>
        </xdr:cNvPr>
        <xdr:cNvCxnSpPr/>
      </xdr:nvCxnSpPr>
      <xdr:spPr>
        <a:xfrm>
          <a:off x="5185833" y="159734250"/>
          <a:ext cx="910167" cy="6148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1702</xdr:row>
      <xdr:rowOff>137583</xdr:rowOff>
    </xdr:from>
    <xdr:to>
      <xdr:col>9</xdr:col>
      <xdr:colOff>603250</xdr:colOff>
      <xdr:row>1708</xdr:row>
      <xdr:rowOff>21166</xdr:rowOff>
    </xdr:to>
    <xdr:cxnSp macro="">
      <xdr:nvCxnSpPr>
        <xdr:cNvPr id="3789" name="Straight Arrow Connector 3788">
          <a:extLst>
            <a:ext uri="{FF2B5EF4-FFF2-40B4-BE49-F238E27FC236}">
              <a16:creationId xmlns:a16="http://schemas.microsoft.com/office/drawing/2014/main" id="{00000000-0008-0000-1200-0000CD0E0000}"/>
            </a:ext>
          </a:extLst>
        </xdr:cNvPr>
        <xdr:cNvCxnSpPr/>
      </xdr:nvCxnSpPr>
      <xdr:spPr>
        <a:xfrm flipV="1">
          <a:off x="6688667" y="154061583"/>
          <a:ext cx="603250" cy="1026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1711</xdr:row>
      <xdr:rowOff>0</xdr:rowOff>
    </xdr:from>
    <xdr:to>
      <xdr:col>9</xdr:col>
      <xdr:colOff>582083</xdr:colOff>
      <xdr:row>1719</xdr:row>
      <xdr:rowOff>10583</xdr:rowOff>
    </xdr:to>
    <xdr:cxnSp macro="">
      <xdr:nvCxnSpPr>
        <xdr:cNvPr id="3790" name="Straight Arrow Connector 3789">
          <a:extLst>
            <a:ext uri="{FF2B5EF4-FFF2-40B4-BE49-F238E27FC236}">
              <a16:creationId xmlns:a16="http://schemas.microsoft.com/office/drawing/2014/main" id="{00000000-0008-0000-1200-0000CE0E0000}"/>
            </a:ext>
          </a:extLst>
        </xdr:cNvPr>
        <xdr:cNvCxnSpPr/>
      </xdr:nvCxnSpPr>
      <xdr:spPr>
        <a:xfrm>
          <a:off x="6720417" y="155638500"/>
          <a:ext cx="550333" cy="153458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3791" name="Straight Arrow Connector 3790">
          <a:extLst>
            <a:ext uri="{FF2B5EF4-FFF2-40B4-BE49-F238E27FC236}">
              <a16:creationId xmlns:a16="http://schemas.microsoft.com/office/drawing/2014/main" id="{00000000-0008-0000-1200-0000CF0E0000}"/>
            </a:ext>
          </a:extLst>
        </xdr:cNvPr>
        <xdr:cNvCxnSpPr/>
      </xdr:nvCxnSpPr>
      <xdr:spPr>
        <a:xfrm flipV="1">
          <a:off x="7937500" y="156760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3792" name="Straight Arrow Connector 3791">
          <a:extLst>
            <a:ext uri="{FF2B5EF4-FFF2-40B4-BE49-F238E27FC236}">
              <a16:creationId xmlns:a16="http://schemas.microsoft.com/office/drawing/2014/main" id="{00000000-0008-0000-1200-0000D00E0000}"/>
            </a:ext>
          </a:extLst>
        </xdr:cNvPr>
        <xdr:cNvCxnSpPr/>
      </xdr:nvCxnSpPr>
      <xdr:spPr>
        <a:xfrm>
          <a:off x="7926917" y="157776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3793" name="Straight Arrow Connector 3792">
          <a:extLst>
            <a:ext uri="{FF2B5EF4-FFF2-40B4-BE49-F238E27FC236}">
              <a16:creationId xmlns:a16="http://schemas.microsoft.com/office/drawing/2014/main" id="{00000000-0008-0000-1200-0000D10E0000}"/>
            </a:ext>
          </a:extLst>
        </xdr:cNvPr>
        <xdr:cNvCxnSpPr/>
      </xdr:nvCxnSpPr>
      <xdr:spPr>
        <a:xfrm flipV="1">
          <a:off x="9133417" y="155850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3794" name="Straight Arrow Connector 3793">
          <a:extLst>
            <a:ext uri="{FF2B5EF4-FFF2-40B4-BE49-F238E27FC236}">
              <a16:creationId xmlns:a16="http://schemas.microsoft.com/office/drawing/2014/main" id="{00000000-0008-0000-1200-0000D20E0000}"/>
            </a:ext>
          </a:extLst>
        </xdr:cNvPr>
        <xdr:cNvCxnSpPr/>
      </xdr:nvCxnSpPr>
      <xdr:spPr>
        <a:xfrm>
          <a:off x="9122833" y="156802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3795" name="Straight Arrow Connector 3794">
          <a:extLst>
            <a:ext uri="{FF2B5EF4-FFF2-40B4-BE49-F238E27FC236}">
              <a16:creationId xmlns:a16="http://schemas.microsoft.com/office/drawing/2014/main" id="{00000000-0008-0000-1200-0000D30E0000}"/>
            </a:ext>
          </a:extLst>
        </xdr:cNvPr>
        <xdr:cNvCxnSpPr/>
      </xdr:nvCxnSpPr>
      <xdr:spPr>
        <a:xfrm flipV="1">
          <a:off x="9525000" y="159850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3796" name="Straight Arrow Connector 3795">
          <a:extLst>
            <a:ext uri="{FF2B5EF4-FFF2-40B4-BE49-F238E27FC236}">
              <a16:creationId xmlns:a16="http://schemas.microsoft.com/office/drawing/2014/main" id="{00000000-0008-0000-1200-0000D40E0000}"/>
            </a:ext>
          </a:extLst>
        </xdr:cNvPr>
        <xdr:cNvCxnSpPr/>
      </xdr:nvCxnSpPr>
      <xdr:spPr>
        <a:xfrm>
          <a:off x="9535583" y="160782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1704</xdr:row>
      <xdr:rowOff>0</xdr:rowOff>
    </xdr:from>
    <xdr:to>
      <xdr:col>15</xdr:col>
      <xdr:colOff>603250</xdr:colOff>
      <xdr:row>1709</xdr:row>
      <xdr:rowOff>31750</xdr:rowOff>
    </xdr:to>
    <xdr:cxnSp macro="">
      <xdr:nvCxnSpPr>
        <xdr:cNvPr id="3797" name="Straight Arrow Connector 3796">
          <a:extLst>
            <a:ext uri="{FF2B5EF4-FFF2-40B4-BE49-F238E27FC236}">
              <a16:creationId xmlns:a16="http://schemas.microsoft.com/office/drawing/2014/main" id="{00000000-0008-0000-1200-0000D50E0000}"/>
            </a:ext>
          </a:extLst>
        </xdr:cNvPr>
        <xdr:cNvCxnSpPr/>
      </xdr:nvCxnSpPr>
      <xdr:spPr>
        <a:xfrm flipV="1">
          <a:off x="11281833" y="154305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3798" name="Straight Arrow Connector 3797">
          <a:extLst>
            <a:ext uri="{FF2B5EF4-FFF2-40B4-BE49-F238E27FC236}">
              <a16:creationId xmlns:a16="http://schemas.microsoft.com/office/drawing/2014/main" id="{00000000-0008-0000-1200-0000D60E0000}"/>
            </a:ext>
          </a:extLst>
        </xdr:cNvPr>
        <xdr:cNvCxnSpPr/>
      </xdr:nvCxnSpPr>
      <xdr:spPr>
        <a:xfrm flipV="1">
          <a:off x="11324166" y="154929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3799" name="Straight Arrow Connector 3798">
          <a:extLst>
            <a:ext uri="{FF2B5EF4-FFF2-40B4-BE49-F238E27FC236}">
              <a16:creationId xmlns:a16="http://schemas.microsoft.com/office/drawing/2014/main" id="{00000000-0008-0000-1200-0000D70E0000}"/>
            </a:ext>
          </a:extLst>
        </xdr:cNvPr>
        <xdr:cNvCxnSpPr/>
      </xdr:nvCxnSpPr>
      <xdr:spPr>
        <a:xfrm>
          <a:off x="11345333" y="155416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3800" name="Straight Arrow Connector 3799">
          <a:extLst>
            <a:ext uri="{FF2B5EF4-FFF2-40B4-BE49-F238E27FC236}">
              <a16:creationId xmlns:a16="http://schemas.microsoft.com/office/drawing/2014/main" id="{00000000-0008-0000-1200-0000D80E0000}"/>
            </a:ext>
          </a:extLst>
        </xdr:cNvPr>
        <xdr:cNvCxnSpPr/>
      </xdr:nvCxnSpPr>
      <xdr:spPr>
        <a:xfrm>
          <a:off x="11260667" y="155363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1717</xdr:row>
      <xdr:rowOff>52916</xdr:rowOff>
    </xdr:from>
    <xdr:to>
      <xdr:col>16</xdr:col>
      <xdr:colOff>0</xdr:colOff>
      <xdr:row>1719</xdr:row>
      <xdr:rowOff>0</xdr:rowOff>
    </xdr:to>
    <xdr:cxnSp macro="">
      <xdr:nvCxnSpPr>
        <xdr:cNvPr id="3801" name="Straight Arrow Connector 3800">
          <a:extLst>
            <a:ext uri="{FF2B5EF4-FFF2-40B4-BE49-F238E27FC236}">
              <a16:creationId xmlns:a16="http://schemas.microsoft.com/office/drawing/2014/main" id="{00000000-0008-0000-1200-0000D90E0000}"/>
            </a:ext>
          </a:extLst>
        </xdr:cNvPr>
        <xdr:cNvCxnSpPr/>
      </xdr:nvCxnSpPr>
      <xdr:spPr>
        <a:xfrm flipV="1">
          <a:off x="11281833" y="156834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3802" name="Straight Arrow Connector 3801">
          <a:extLst>
            <a:ext uri="{FF2B5EF4-FFF2-40B4-BE49-F238E27FC236}">
              <a16:creationId xmlns:a16="http://schemas.microsoft.com/office/drawing/2014/main" id="{00000000-0008-0000-1200-0000DA0E0000}"/>
            </a:ext>
          </a:extLst>
        </xdr:cNvPr>
        <xdr:cNvCxnSpPr/>
      </xdr:nvCxnSpPr>
      <xdr:spPr>
        <a:xfrm>
          <a:off x="11292416" y="157183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3803" name="Straight Arrow Connector 3802">
          <a:extLst>
            <a:ext uri="{FF2B5EF4-FFF2-40B4-BE49-F238E27FC236}">
              <a16:creationId xmlns:a16="http://schemas.microsoft.com/office/drawing/2014/main" id="{00000000-0008-0000-1200-0000DB0E0000}"/>
            </a:ext>
          </a:extLst>
        </xdr:cNvPr>
        <xdr:cNvCxnSpPr/>
      </xdr:nvCxnSpPr>
      <xdr:spPr>
        <a:xfrm>
          <a:off x="11271250" y="157183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3804" name="Straight Arrow Connector 3803">
          <a:extLst>
            <a:ext uri="{FF2B5EF4-FFF2-40B4-BE49-F238E27FC236}">
              <a16:creationId xmlns:a16="http://schemas.microsoft.com/office/drawing/2014/main" id="{00000000-0008-0000-1200-0000DC0E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10583</xdr:colOff>
      <xdr:row>1756</xdr:row>
      <xdr:rowOff>42333</xdr:rowOff>
    </xdr:from>
    <xdr:to>
      <xdr:col>9</xdr:col>
      <xdr:colOff>592666</xdr:colOff>
      <xdr:row>1764</xdr:row>
      <xdr:rowOff>42333</xdr:rowOff>
    </xdr:to>
    <xdr:cxnSp macro="">
      <xdr:nvCxnSpPr>
        <xdr:cNvPr id="3805" name="Straight Arrow Connector 3804">
          <a:extLst>
            <a:ext uri="{FF2B5EF4-FFF2-40B4-BE49-F238E27FC236}">
              <a16:creationId xmlns:a16="http://schemas.microsoft.com/office/drawing/2014/main" id="{00000000-0008-0000-1200-0000DD0E0000}"/>
            </a:ext>
          </a:extLst>
        </xdr:cNvPr>
        <xdr:cNvCxnSpPr/>
      </xdr:nvCxnSpPr>
      <xdr:spPr>
        <a:xfrm flipV="1">
          <a:off x="6699250" y="164443833"/>
          <a:ext cx="582083" cy="152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31750</xdr:colOff>
      <xdr:row>1766</xdr:row>
      <xdr:rowOff>169334</xdr:rowOff>
    </xdr:from>
    <xdr:to>
      <xdr:col>9</xdr:col>
      <xdr:colOff>603250</xdr:colOff>
      <xdr:row>1775</xdr:row>
      <xdr:rowOff>31750</xdr:rowOff>
    </xdr:to>
    <xdr:cxnSp macro="">
      <xdr:nvCxnSpPr>
        <xdr:cNvPr id="3806" name="Straight Arrow Connector 3805">
          <a:extLst>
            <a:ext uri="{FF2B5EF4-FFF2-40B4-BE49-F238E27FC236}">
              <a16:creationId xmlns:a16="http://schemas.microsoft.com/office/drawing/2014/main" id="{00000000-0008-0000-1200-0000DE0E0000}"/>
            </a:ext>
          </a:extLst>
        </xdr:cNvPr>
        <xdr:cNvCxnSpPr/>
      </xdr:nvCxnSpPr>
      <xdr:spPr>
        <a:xfrm>
          <a:off x="6720417" y="166475834"/>
          <a:ext cx="571500" cy="15769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3807" name="Straight Arrow Connector 3806">
          <a:extLst>
            <a:ext uri="{FF2B5EF4-FFF2-40B4-BE49-F238E27FC236}">
              <a16:creationId xmlns:a16="http://schemas.microsoft.com/office/drawing/2014/main" id="{00000000-0008-0000-1200-0000DF0E0000}"/>
            </a:ext>
          </a:extLst>
        </xdr:cNvPr>
        <xdr:cNvCxnSpPr/>
      </xdr:nvCxnSpPr>
      <xdr:spPr>
        <a:xfrm flipV="1">
          <a:off x="7874000" y="167608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3808" name="Straight Arrow Connector 3807">
          <a:extLst>
            <a:ext uri="{FF2B5EF4-FFF2-40B4-BE49-F238E27FC236}">
              <a16:creationId xmlns:a16="http://schemas.microsoft.com/office/drawing/2014/main" id="{00000000-0008-0000-1200-0000E00E0000}"/>
            </a:ext>
          </a:extLst>
        </xdr:cNvPr>
        <xdr:cNvCxnSpPr/>
      </xdr:nvCxnSpPr>
      <xdr:spPr>
        <a:xfrm flipV="1">
          <a:off x="11271250" y="159448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3809" name="Straight Arrow Connector 3808">
          <a:extLst>
            <a:ext uri="{FF2B5EF4-FFF2-40B4-BE49-F238E27FC236}">
              <a16:creationId xmlns:a16="http://schemas.microsoft.com/office/drawing/2014/main" id="{00000000-0008-0000-1200-0000E10E0000}"/>
            </a:ext>
          </a:extLst>
        </xdr:cNvPr>
        <xdr:cNvCxnSpPr/>
      </xdr:nvCxnSpPr>
      <xdr:spPr>
        <a:xfrm>
          <a:off x="11313583" y="159840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3810" name="Straight Arrow Connector 3809">
          <a:extLst>
            <a:ext uri="{FF2B5EF4-FFF2-40B4-BE49-F238E27FC236}">
              <a16:creationId xmlns:a16="http://schemas.microsoft.com/office/drawing/2014/main" id="{00000000-0008-0000-1200-0000E20E0000}"/>
            </a:ext>
          </a:extLst>
        </xdr:cNvPr>
        <xdr:cNvCxnSpPr/>
      </xdr:nvCxnSpPr>
      <xdr:spPr>
        <a:xfrm>
          <a:off x="11292416" y="159840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811" name="Straight Arrow Connector 3810">
          <a:extLst>
            <a:ext uri="{FF2B5EF4-FFF2-40B4-BE49-F238E27FC236}">
              <a16:creationId xmlns:a16="http://schemas.microsoft.com/office/drawing/2014/main" id="{00000000-0008-0000-1200-0000E30E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3812" name="Straight Arrow Connector 3811">
          <a:extLst>
            <a:ext uri="{FF2B5EF4-FFF2-40B4-BE49-F238E27FC236}">
              <a16:creationId xmlns:a16="http://schemas.microsoft.com/office/drawing/2014/main" id="{00000000-0008-0000-1200-0000E40E0000}"/>
            </a:ext>
          </a:extLst>
        </xdr:cNvPr>
        <xdr:cNvCxnSpPr/>
      </xdr:nvCxnSpPr>
      <xdr:spPr>
        <a:xfrm>
          <a:off x="11302999" y="162496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3813" name="Straight Arrow Connector 3812">
          <a:extLst>
            <a:ext uri="{FF2B5EF4-FFF2-40B4-BE49-F238E27FC236}">
              <a16:creationId xmlns:a16="http://schemas.microsoft.com/office/drawing/2014/main" id="{00000000-0008-0000-1200-0000E50E0000}"/>
            </a:ext>
          </a:extLst>
        </xdr:cNvPr>
        <xdr:cNvCxnSpPr/>
      </xdr:nvCxnSpPr>
      <xdr:spPr>
        <a:xfrm>
          <a:off x="11355916" y="162517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3814" name="Straight Arrow Connector 3813">
          <a:extLst>
            <a:ext uri="{FF2B5EF4-FFF2-40B4-BE49-F238E27FC236}">
              <a16:creationId xmlns:a16="http://schemas.microsoft.com/office/drawing/2014/main" id="{00000000-0008-0000-1200-0000E60E0000}"/>
            </a:ext>
          </a:extLst>
        </xdr:cNvPr>
        <xdr:cNvCxnSpPr/>
      </xdr:nvCxnSpPr>
      <xdr:spPr>
        <a:xfrm>
          <a:off x="11313583" y="162549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3815" name="Straight Arrow Connector 3814">
          <a:extLst>
            <a:ext uri="{FF2B5EF4-FFF2-40B4-BE49-F238E27FC236}">
              <a16:creationId xmlns:a16="http://schemas.microsoft.com/office/drawing/2014/main" id="{00000000-0008-0000-1200-0000E70E0000}"/>
            </a:ext>
          </a:extLst>
        </xdr:cNvPr>
        <xdr:cNvCxnSpPr/>
      </xdr:nvCxnSpPr>
      <xdr:spPr>
        <a:xfrm flipV="1">
          <a:off x="11302999" y="165279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3816" name="Straight Arrow Connector 3815">
          <a:extLst>
            <a:ext uri="{FF2B5EF4-FFF2-40B4-BE49-F238E27FC236}">
              <a16:creationId xmlns:a16="http://schemas.microsoft.com/office/drawing/2014/main" id="{00000000-0008-0000-1200-0000E80E0000}"/>
            </a:ext>
          </a:extLst>
        </xdr:cNvPr>
        <xdr:cNvCxnSpPr/>
      </xdr:nvCxnSpPr>
      <xdr:spPr>
        <a:xfrm flipV="1">
          <a:off x="11345333" y="165639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3817" name="Straight Arrow Connector 3816">
          <a:extLst>
            <a:ext uri="{FF2B5EF4-FFF2-40B4-BE49-F238E27FC236}">
              <a16:creationId xmlns:a16="http://schemas.microsoft.com/office/drawing/2014/main" id="{00000000-0008-0000-1200-0000E90E0000}"/>
            </a:ext>
          </a:extLst>
        </xdr:cNvPr>
        <xdr:cNvCxnSpPr/>
      </xdr:nvCxnSpPr>
      <xdr:spPr>
        <a:xfrm>
          <a:off x="11334749" y="166041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3818" name="Straight Arrow Connector 3817">
          <a:extLst>
            <a:ext uri="{FF2B5EF4-FFF2-40B4-BE49-F238E27FC236}">
              <a16:creationId xmlns:a16="http://schemas.microsoft.com/office/drawing/2014/main" id="{00000000-0008-0000-1200-0000EA0E0000}"/>
            </a:ext>
          </a:extLst>
        </xdr:cNvPr>
        <xdr:cNvCxnSpPr/>
      </xdr:nvCxnSpPr>
      <xdr:spPr>
        <a:xfrm>
          <a:off x="11313583" y="168137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3819" name="Straight Arrow Connector 3818">
          <a:extLst>
            <a:ext uri="{FF2B5EF4-FFF2-40B4-BE49-F238E27FC236}">
              <a16:creationId xmlns:a16="http://schemas.microsoft.com/office/drawing/2014/main" id="{00000000-0008-0000-1200-0000EB0E0000}"/>
            </a:ext>
          </a:extLst>
        </xdr:cNvPr>
        <xdr:cNvCxnSpPr/>
      </xdr:nvCxnSpPr>
      <xdr:spPr>
        <a:xfrm flipV="1">
          <a:off x="11324166" y="161977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3820" name="Straight Arrow Connector 3819">
          <a:extLst>
            <a:ext uri="{FF2B5EF4-FFF2-40B4-BE49-F238E27FC236}">
              <a16:creationId xmlns:a16="http://schemas.microsoft.com/office/drawing/2014/main" id="{00000000-0008-0000-1200-0000EC0E0000}"/>
            </a:ext>
          </a:extLst>
        </xdr:cNvPr>
        <xdr:cNvCxnSpPr/>
      </xdr:nvCxnSpPr>
      <xdr:spPr>
        <a:xfrm>
          <a:off x="7926917" y="16863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3821" name="Straight Arrow Connector 3820">
          <a:extLst>
            <a:ext uri="{FF2B5EF4-FFF2-40B4-BE49-F238E27FC236}">
              <a16:creationId xmlns:a16="http://schemas.microsoft.com/office/drawing/2014/main" id="{00000000-0008-0000-1200-0000ED0E0000}"/>
            </a:ext>
          </a:extLst>
        </xdr:cNvPr>
        <xdr:cNvCxnSpPr/>
      </xdr:nvCxnSpPr>
      <xdr:spPr>
        <a:xfrm flipV="1">
          <a:off x="9133417" y="166708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3822" name="Straight Arrow Connector 3821">
          <a:extLst>
            <a:ext uri="{FF2B5EF4-FFF2-40B4-BE49-F238E27FC236}">
              <a16:creationId xmlns:a16="http://schemas.microsoft.com/office/drawing/2014/main" id="{00000000-0008-0000-1200-0000EE0E0000}"/>
            </a:ext>
          </a:extLst>
        </xdr:cNvPr>
        <xdr:cNvCxnSpPr/>
      </xdr:nvCxnSpPr>
      <xdr:spPr>
        <a:xfrm>
          <a:off x="9122833" y="167661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3823" name="Straight Arrow Connector 3822">
          <a:extLst>
            <a:ext uri="{FF2B5EF4-FFF2-40B4-BE49-F238E27FC236}">
              <a16:creationId xmlns:a16="http://schemas.microsoft.com/office/drawing/2014/main" id="{00000000-0008-0000-1200-0000EF0E0000}"/>
            </a:ext>
          </a:extLst>
        </xdr:cNvPr>
        <xdr:cNvCxnSpPr/>
      </xdr:nvCxnSpPr>
      <xdr:spPr>
        <a:xfrm flipV="1">
          <a:off x="9525000" y="17070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3824" name="Straight Arrow Connector 3823">
          <a:extLst>
            <a:ext uri="{FF2B5EF4-FFF2-40B4-BE49-F238E27FC236}">
              <a16:creationId xmlns:a16="http://schemas.microsoft.com/office/drawing/2014/main" id="{00000000-0008-0000-1200-0000F00E0000}"/>
            </a:ext>
          </a:extLst>
        </xdr:cNvPr>
        <xdr:cNvCxnSpPr/>
      </xdr:nvCxnSpPr>
      <xdr:spPr>
        <a:xfrm>
          <a:off x="9535583" y="171640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3825" name="Straight Arrow Connector 3824">
          <a:extLst>
            <a:ext uri="{FF2B5EF4-FFF2-40B4-BE49-F238E27FC236}">
              <a16:creationId xmlns:a16="http://schemas.microsoft.com/office/drawing/2014/main" id="{00000000-0008-0000-1200-0000F10E0000}"/>
            </a:ext>
          </a:extLst>
        </xdr:cNvPr>
        <xdr:cNvCxnSpPr/>
      </xdr:nvCxnSpPr>
      <xdr:spPr>
        <a:xfrm>
          <a:off x="11334749" y="166020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1773</xdr:row>
      <xdr:rowOff>52916</xdr:rowOff>
    </xdr:from>
    <xdr:to>
      <xdr:col>16</xdr:col>
      <xdr:colOff>0</xdr:colOff>
      <xdr:row>1775</xdr:row>
      <xdr:rowOff>0</xdr:rowOff>
    </xdr:to>
    <xdr:cxnSp macro="">
      <xdr:nvCxnSpPr>
        <xdr:cNvPr id="3826" name="Straight Arrow Connector 3825">
          <a:extLst>
            <a:ext uri="{FF2B5EF4-FFF2-40B4-BE49-F238E27FC236}">
              <a16:creationId xmlns:a16="http://schemas.microsoft.com/office/drawing/2014/main" id="{00000000-0008-0000-1200-0000F20E0000}"/>
            </a:ext>
          </a:extLst>
        </xdr:cNvPr>
        <xdr:cNvCxnSpPr/>
      </xdr:nvCxnSpPr>
      <xdr:spPr>
        <a:xfrm flipV="1">
          <a:off x="11281833" y="167692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3827" name="Straight Arrow Connector 3826">
          <a:extLst>
            <a:ext uri="{FF2B5EF4-FFF2-40B4-BE49-F238E27FC236}">
              <a16:creationId xmlns:a16="http://schemas.microsoft.com/office/drawing/2014/main" id="{00000000-0008-0000-1200-0000F30E0000}"/>
            </a:ext>
          </a:extLst>
        </xdr:cNvPr>
        <xdr:cNvCxnSpPr/>
      </xdr:nvCxnSpPr>
      <xdr:spPr>
        <a:xfrm>
          <a:off x="11271250" y="168042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3828" name="Straight Arrow Connector 3827">
          <a:extLst>
            <a:ext uri="{FF2B5EF4-FFF2-40B4-BE49-F238E27FC236}">
              <a16:creationId xmlns:a16="http://schemas.microsoft.com/office/drawing/2014/main" id="{00000000-0008-0000-1200-0000F40E0000}"/>
            </a:ext>
          </a:extLst>
        </xdr:cNvPr>
        <xdr:cNvCxnSpPr/>
      </xdr:nvCxnSpPr>
      <xdr:spPr>
        <a:xfrm>
          <a:off x="11271250" y="168021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3829" name="Straight Arrow Connector 3828">
          <a:extLst>
            <a:ext uri="{FF2B5EF4-FFF2-40B4-BE49-F238E27FC236}">
              <a16:creationId xmlns:a16="http://schemas.microsoft.com/office/drawing/2014/main" id="{00000000-0008-0000-1200-0000F50E0000}"/>
            </a:ext>
          </a:extLst>
        </xdr:cNvPr>
        <xdr:cNvCxnSpPr/>
      </xdr:nvCxnSpPr>
      <xdr:spPr>
        <a:xfrm flipV="1">
          <a:off x="11271250" y="17030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3830" name="Straight Arrow Connector 3829">
          <a:extLst>
            <a:ext uri="{FF2B5EF4-FFF2-40B4-BE49-F238E27FC236}">
              <a16:creationId xmlns:a16="http://schemas.microsoft.com/office/drawing/2014/main" id="{00000000-0008-0000-1200-0000F60E0000}"/>
            </a:ext>
          </a:extLst>
        </xdr:cNvPr>
        <xdr:cNvCxnSpPr/>
      </xdr:nvCxnSpPr>
      <xdr:spPr>
        <a:xfrm>
          <a:off x="11313583" y="17069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3831" name="Straight Arrow Connector 3830">
          <a:extLst>
            <a:ext uri="{FF2B5EF4-FFF2-40B4-BE49-F238E27FC236}">
              <a16:creationId xmlns:a16="http://schemas.microsoft.com/office/drawing/2014/main" id="{00000000-0008-0000-1200-0000F70E0000}"/>
            </a:ext>
          </a:extLst>
        </xdr:cNvPr>
        <xdr:cNvCxnSpPr/>
      </xdr:nvCxnSpPr>
      <xdr:spPr>
        <a:xfrm>
          <a:off x="11292416" y="17069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832" name="Straight Arrow Connector 3831">
          <a:extLst>
            <a:ext uri="{FF2B5EF4-FFF2-40B4-BE49-F238E27FC236}">
              <a16:creationId xmlns:a16="http://schemas.microsoft.com/office/drawing/2014/main" id="{00000000-0008-0000-1200-0000F80E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3833" name="Straight Arrow Connector 3832">
          <a:extLst>
            <a:ext uri="{FF2B5EF4-FFF2-40B4-BE49-F238E27FC236}">
              <a16:creationId xmlns:a16="http://schemas.microsoft.com/office/drawing/2014/main" id="{00000000-0008-0000-1200-0000F90E0000}"/>
            </a:ext>
          </a:extLst>
        </xdr:cNvPr>
        <xdr:cNvCxnSpPr/>
      </xdr:nvCxnSpPr>
      <xdr:spPr>
        <a:xfrm>
          <a:off x="11302999" y="173355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3834" name="Straight Arrow Connector 3833">
          <a:extLst>
            <a:ext uri="{FF2B5EF4-FFF2-40B4-BE49-F238E27FC236}">
              <a16:creationId xmlns:a16="http://schemas.microsoft.com/office/drawing/2014/main" id="{00000000-0008-0000-1200-0000FA0E0000}"/>
            </a:ext>
          </a:extLst>
        </xdr:cNvPr>
        <xdr:cNvCxnSpPr/>
      </xdr:nvCxnSpPr>
      <xdr:spPr>
        <a:xfrm>
          <a:off x="11355916" y="17337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3835" name="Straight Arrow Connector 3834">
          <a:extLst>
            <a:ext uri="{FF2B5EF4-FFF2-40B4-BE49-F238E27FC236}">
              <a16:creationId xmlns:a16="http://schemas.microsoft.com/office/drawing/2014/main" id="{00000000-0008-0000-1200-0000FB0E0000}"/>
            </a:ext>
          </a:extLst>
        </xdr:cNvPr>
        <xdr:cNvCxnSpPr/>
      </xdr:nvCxnSpPr>
      <xdr:spPr>
        <a:xfrm>
          <a:off x="11313583" y="17340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3836" name="Straight Arrow Connector 3835">
          <a:extLst>
            <a:ext uri="{FF2B5EF4-FFF2-40B4-BE49-F238E27FC236}">
              <a16:creationId xmlns:a16="http://schemas.microsoft.com/office/drawing/2014/main" id="{00000000-0008-0000-1200-0000FC0E0000}"/>
            </a:ext>
          </a:extLst>
        </xdr:cNvPr>
        <xdr:cNvCxnSpPr/>
      </xdr:nvCxnSpPr>
      <xdr:spPr>
        <a:xfrm flipV="1">
          <a:off x="11324166" y="17283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31750</xdr:colOff>
      <xdr:row>1710</xdr:row>
      <xdr:rowOff>127000</xdr:rowOff>
    </xdr:from>
    <xdr:to>
      <xdr:col>8</xdr:col>
      <xdr:colOff>63500</xdr:colOff>
      <xdr:row>1729</xdr:row>
      <xdr:rowOff>0</xdr:rowOff>
    </xdr:to>
    <xdr:cxnSp macro="">
      <xdr:nvCxnSpPr>
        <xdr:cNvPr id="3837" name="Straight Arrow Connector 3836">
          <a:extLst>
            <a:ext uri="{FF2B5EF4-FFF2-40B4-BE49-F238E27FC236}">
              <a16:creationId xmlns:a16="http://schemas.microsoft.com/office/drawing/2014/main" id="{00000000-0008-0000-1200-0000FD0E0000}"/>
            </a:ext>
          </a:extLst>
        </xdr:cNvPr>
        <xdr:cNvCxnSpPr/>
      </xdr:nvCxnSpPr>
      <xdr:spPr>
        <a:xfrm flipV="1">
          <a:off x="5492750" y="155575000"/>
          <a:ext cx="645583" cy="3587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1439</xdr:row>
      <xdr:rowOff>31750</xdr:rowOff>
    </xdr:from>
    <xdr:to>
      <xdr:col>16</xdr:col>
      <xdr:colOff>42334</xdr:colOff>
      <xdr:row>1446</xdr:row>
      <xdr:rowOff>63501</xdr:rowOff>
    </xdr:to>
    <xdr:cxnSp macro="">
      <xdr:nvCxnSpPr>
        <xdr:cNvPr id="3838" name="Straight Arrow Connector 3837">
          <a:extLst>
            <a:ext uri="{FF2B5EF4-FFF2-40B4-BE49-F238E27FC236}">
              <a16:creationId xmlns:a16="http://schemas.microsoft.com/office/drawing/2014/main" id="{00000000-0008-0000-1200-0000FE0E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3839" name="Straight Arrow Connector 3838">
          <a:extLst>
            <a:ext uri="{FF2B5EF4-FFF2-40B4-BE49-F238E27FC236}">
              <a16:creationId xmlns:a16="http://schemas.microsoft.com/office/drawing/2014/main" id="{00000000-0008-0000-1200-0000FF0E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1492</xdr:row>
      <xdr:rowOff>169333</xdr:rowOff>
    </xdr:from>
    <xdr:to>
      <xdr:col>11</xdr:col>
      <xdr:colOff>603250</xdr:colOff>
      <xdr:row>1495</xdr:row>
      <xdr:rowOff>21167</xdr:rowOff>
    </xdr:to>
    <xdr:cxnSp macro="">
      <xdr:nvCxnSpPr>
        <xdr:cNvPr id="3840" name="Straight Arrow Connector 3839">
          <a:extLst>
            <a:ext uri="{FF2B5EF4-FFF2-40B4-BE49-F238E27FC236}">
              <a16:creationId xmlns:a16="http://schemas.microsoft.com/office/drawing/2014/main" id="{00000000-0008-0000-1200-0000000F0000}"/>
            </a:ext>
          </a:extLst>
        </xdr:cNvPr>
        <xdr:cNvCxnSpPr/>
      </xdr:nvCxnSpPr>
      <xdr:spPr>
        <a:xfrm flipV="1">
          <a:off x="7937500" y="113326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1498</xdr:row>
      <xdr:rowOff>42333</xdr:rowOff>
    </xdr:from>
    <xdr:to>
      <xdr:col>11</xdr:col>
      <xdr:colOff>603250</xdr:colOff>
      <xdr:row>1510</xdr:row>
      <xdr:rowOff>10583</xdr:rowOff>
    </xdr:to>
    <xdr:cxnSp macro="">
      <xdr:nvCxnSpPr>
        <xdr:cNvPr id="3841" name="Straight Arrow Connector 3840">
          <a:extLst>
            <a:ext uri="{FF2B5EF4-FFF2-40B4-BE49-F238E27FC236}">
              <a16:creationId xmlns:a16="http://schemas.microsoft.com/office/drawing/2014/main" id="{00000000-0008-0000-1200-0000010F0000}"/>
            </a:ext>
          </a:extLst>
        </xdr:cNvPr>
        <xdr:cNvCxnSpPr/>
      </xdr:nvCxnSpPr>
      <xdr:spPr>
        <a:xfrm>
          <a:off x="7926917" y="114342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1488</xdr:row>
      <xdr:rowOff>21167</xdr:rowOff>
    </xdr:from>
    <xdr:to>
      <xdr:col>13</xdr:col>
      <xdr:colOff>592667</xdr:colOff>
      <xdr:row>1490</xdr:row>
      <xdr:rowOff>0</xdr:rowOff>
    </xdr:to>
    <xdr:cxnSp macro="">
      <xdr:nvCxnSpPr>
        <xdr:cNvPr id="3842" name="Straight Arrow Connector 3841">
          <a:extLst>
            <a:ext uri="{FF2B5EF4-FFF2-40B4-BE49-F238E27FC236}">
              <a16:creationId xmlns:a16="http://schemas.microsoft.com/office/drawing/2014/main" id="{00000000-0008-0000-1200-0000020F0000}"/>
            </a:ext>
          </a:extLst>
        </xdr:cNvPr>
        <xdr:cNvCxnSpPr/>
      </xdr:nvCxnSpPr>
      <xdr:spPr>
        <a:xfrm flipV="1">
          <a:off x="9133417" y="112416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1493</xdr:row>
      <xdr:rowOff>21166</xdr:rowOff>
    </xdr:from>
    <xdr:to>
      <xdr:col>13</xdr:col>
      <xdr:colOff>592667</xdr:colOff>
      <xdr:row>1494</xdr:row>
      <xdr:rowOff>169334</xdr:rowOff>
    </xdr:to>
    <xdr:cxnSp macro="">
      <xdr:nvCxnSpPr>
        <xdr:cNvPr id="3843" name="Straight Arrow Connector 3842">
          <a:extLst>
            <a:ext uri="{FF2B5EF4-FFF2-40B4-BE49-F238E27FC236}">
              <a16:creationId xmlns:a16="http://schemas.microsoft.com/office/drawing/2014/main" id="{00000000-0008-0000-1200-0000030F0000}"/>
            </a:ext>
          </a:extLst>
        </xdr:cNvPr>
        <xdr:cNvCxnSpPr/>
      </xdr:nvCxnSpPr>
      <xdr:spPr>
        <a:xfrm>
          <a:off x="9122833" y="113368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1508</xdr:row>
      <xdr:rowOff>21167</xdr:rowOff>
    </xdr:from>
    <xdr:to>
      <xdr:col>13</xdr:col>
      <xdr:colOff>592667</xdr:colOff>
      <xdr:row>1510</xdr:row>
      <xdr:rowOff>63500</xdr:rowOff>
    </xdr:to>
    <xdr:cxnSp macro="">
      <xdr:nvCxnSpPr>
        <xdr:cNvPr id="3844" name="Straight Arrow Connector 3843">
          <a:extLst>
            <a:ext uri="{FF2B5EF4-FFF2-40B4-BE49-F238E27FC236}">
              <a16:creationId xmlns:a16="http://schemas.microsoft.com/office/drawing/2014/main" id="{00000000-0008-0000-1200-0000040F0000}"/>
            </a:ext>
          </a:extLst>
        </xdr:cNvPr>
        <xdr:cNvCxnSpPr/>
      </xdr:nvCxnSpPr>
      <xdr:spPr>
        <a:xfrm flipV="1">
          <a:off x="9525000" y="116416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1513</xdr:row>
      <xdr:rowOff>0</xdr:rowOff>
    </xdr:from>
    <xdr:to>
      <xdr:col>14</xdr:col>
      <xdr:colOff>10584</xdr:colOff>
      <xdr:row>1521</xdr:row>
      <xdr:rowOff>148167</xdr:rowOff>
    </xdr:to>
    <xdr:cxnSp macro="">
      <xdr:nvCxnSpPr>
        <xdr:cNvPr id="3845" name="Straight Arrow Connector 3844">
          <a:extLst>
            <a:ext uri="{FF2B5EF4-FFF2-40B4-BE49-F238E27FC236}">
              <a16:creationId xmlns:a16="http://schemas.microsoft.com/office/drawing/2014/main" id="{00000000-0008-0000-1200-0000050F0000}"/>
            </a:ext>
          </a:extLst>
        </xdr:cNvPr>
        <xdr:cNvCxnSpPr/>
      </xdr:nvCxnSpPr>
      <xdr:spPr>
        <a:xfrm>
          <a:off x="9535583" y="117348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1480</xdr:row>
      <xdr:rowOff>0</xdr:rowOff>
    </xdr:from>
    <xdr:to>
      <xdr:col>15</xdr:col>
      <xdr:colOff>603250</xdr:colOff>
      <xdr:row>1485</xdr:row>
      <xdr:rowOff>31750</xdr:rowOff>
    </xdr:to>
    <xdr:cxnSp macro="">
      <xdr:nvCxnSpPr>
        <xdr:cNvPr id="3846" name="Straight Arrow Connector 3845">
          <a:extLst>
            <a:ext uri="{FF2B5EF4-FFF2-40B4-BE49-F238E27FC236}">
              <a16:creationId xmlns:a16="http://schemas.microsoft.com/office/drawing/2014/main" id="{00000000-0008-0000-1200-0000060F0000}"/>
            </a:ext>
          </a:extLst>
        </xdr:cNvPr>
        <xdr:cNvCxnSpPr/>
      </xdr:nvCxnSpPr>
      <xdr:spPr>
        <a:xfrm flipV="1">
          <a:off x="11281833" y="110871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1483</xdr:row>
      <xdr:rowOff>52917</xdr:rowOff>
    </xdr:from>
    <xdr:to>
      <xdr:col>15</xdr:col>
      <xdr:colOff>603250</xdr:colOff>
      <xdr:row>1485</xdr:row>
      <xdr:rowOff>95250</xdr:rowOff>
    </xdr:to>
    <xdr:cxnSp macro="">
      <xdr:nvCxnSpPr>
        <xdr:cNvPr id="3847" name="Straight Arrow Connector 3846">
          <a:extLst>
            <a:ext uri="{FF2B5EF4-FFF2-40B4-BE49-F238E27FC236}">
              <a16:creationId xmlns:a16="http://schemas.microsoft.com/office/drawing/2014/main" id="{00000000-0008-0000-1200-0000070F0000}"/>
            </a:ext>
          </a:extLst>
        </xdr:cNvPr>
        <xdr:cNvCxnSpPr/>
      </xdr:nvCxnSpPr>
      <xdr:spPr>
        <a:xfrm flipV="1">
          <a:off x="11324166" y="111495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1485</xdr:row>
      <xdr:rowOff>158750</xdr:rowOff>
    </xdr:from>
    <xdr:to>
      <xdr:col>15</xdr:col>
      <xdr:colOff>582083</xdr:colOff>
      <xdr:row>1486</xdr:row>
      <xdr:rowOff>137583</xdr:rowOff>
    </xdr:to>
    <xdr:cxnSp macro="">
      <xdr:nvCxnSpPr>
        <xdr:cNvPr id="3848" name="Straight Arrow Connector 3847">
          <a:extLst>
            <a:ext uri="{FF2B5EF4-FFF2-40B4-BE49-F238E27FC236}">
              <a16:creationId xmlns:a16="http://schemas.microsoft.com/office/drawing/2014/main" id="{00000000-0008-0000-1200-0000080F0000}"/>
            </a:ext>
          </a:extLst>
        </xdr:cNvPr>
        <xdr:cNvCxnSpPr/>
      </xdr:nvCxnSpPr>
      <xdr:spPr>
        <a:xfrm>
          <a:off x="11345333" y="111982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1485</xdr:row>
      <xdr:rowOff>105834</xdr:rowOff>
    </xdr:from>
    <xdr:to>
      <xdr:col>16</xdr:col>
      <xdr:colOff>0</xdr:colOff>
      <xdr:row>1489</xdr:row>
      <xdr:rowOff>84667</xdr:rowOff>
    </xdr:to>
    <xdr:cxnSp macro="">
      <xdr:nvCxnSpPr>
        <xdr:cNvPr id="3849" name="Straight Arrow Connector 3848">
          <a:extLst>
            <a:ext uri="{FF2B5EF4-FFF2-40B4-BE49-F238E27FC236}">
              <a16:creationId xmlns:a16="http://schemas.microsoft.com/office/drawing/2014/main" id="{00000000-0008-0000-1200-0000090F0000}"/>
            </a:ext>
          </a:extLst>
        </xdr:cNvPr>
        <xdr:cNvCxnSpPr/>
      </xdr:nvCxnSpPr>
      <xdr:spPr>
        <a:xfrm>
          <a:off x="11260667" y="111929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1493</xdr:row>
      <xdr:rowOff>52916</xdr:rowOff>
    </xdr:from>
    <xdr:to>
      <xdr:col>16</xdr:col>
      <xdr:colOff>0</xdr:colOff>
      <xdr:row>1495</xdr:row>
      <xdr:rowOff>0</xdr:rowOff>
    </xdr:to>
    <xdr:cxnSp macro="">
      <xdr:nvCxnSpPr>
        <xdr:cNvPr id="3850" name="Straight Arrow Connector 3849">
          <a:extLst>
            <a:ext uri="{FF2B5EF4-FFF2-40B4-BE49-F238E27FC236}">
              <a16:creationId xmlns:a16="http://schemas.microsoft.com/office/drawing/2014/main" id="{00000000-0008-0000-1200-00000A0F0000}"/>
            </a:ext>
          </a:extLst>
        </xdr:cNvPr>
        <xdr:cNvCxnSpPr/>
      </xdr:nvCxnSpPr>
      <xdr:spPr>
        <a:xfrm flipV="1">
          <a:off x="11281833" y="113400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1495</xdr:row>
      <xdr:rowOff>21167</xdr:rowOff>
    </xdr:from>
    <xdr:to>
      <xdr:col>15</xdr:col>
      <xdr:colOff>582083</xdr:colOff>
      <xdr:row>1496</xdr:row>
      <xdr:rowOff>42333</xdr:rowOff>
    </xdr:to>
    <xdr:cxnSp macro="">
      <xdr:nvCxnSpPr>
        <xdr:cNvPr id="3851" name="Straight Arrow Connector 3850">
          <a:extLst>
            <a:ext uri="{FF2B5EF4-FFF2-40B4-BE49-F238E27FC236}">
              <a16:creationId xmlns:a16="http://schemas.microsoft.com/office/drawing/2014/main" id="{00000000-0008-0000-1200-00000B0F0000}"/>
            </a:ext>
          </a:extLst>
        </xdr:cNvPr>
        <xdr:cNvCxnSpPr/>
      </xdr:nvCxnSpPr>
      <xdr:spPr>
        <a:xfrm>
          <a:off x="11292416" y="113749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1495</xdr:row>
      <xdr:rowOff>21167</xdr:rowOff>
    </xdr:from>
    <xdr:to>
      <xdr:col>16</xdr:col>
      <xdr:colOff>42333</xdr:colOff>
      <xdr:row>1500</xdr:row>
      <xdr:rowOff>21168</xdr:rowOff>
    </xdr:to>
    <xdr:cxnSp macro="">
      <xdr:nvCxnSpPr>
        <xdr:cNvPr id="3852" name="Straight Arrow Connector 3851">
          <a:extLst>
            <a:ext uri="{FF2B5EF4-FFF2-40B4-BE49-F238E27FC236}">
              <a16:creationId xmlns:a16="http://schemas.microsoft.com/office/drawing/2014/main" id="{00000000-0008-0000-1200-00000C0F0000}"/>
            </a:ext>
          </a:extLst>
        </xdr:cNvPr>
        <xdr:cNvCxnSpPr/>
      </xdr:nvCxnSpPr>
      <xdr:spPr>
        <a:xfrm>
          <a:off x="11271250" y="113749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853" name="Straight Arrow Connector 3852">
          <a:extLst>
            <a:ext uri="{FF2B5EF4-FFF2-40B4-BE49-F238E27FC236}">
              <a16:creationId xmlns:a16="http://schemas.microsoft.com/office/drawing/2014/main" id="{00000000-0008-0000-1200-00000D0F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1548</xdr:row>
      <xdr:rowOff>158750</xdr:rowOff>
    </xdr:from>
    <xdr:to>
      <xdr:col>11</xdr:col>
      <xdr:colOff>571500</xdr:colOff>
      <xdr:row>1551</xdr:row>
      <xdr:rowOff>0</xdr:rowOff>
    </xdr:to>
    <xdr:cxnSp macro="">
      <xdr:nvCxnSpPr>
        <xdr:cNvPr id="3854" name="Straight Arrow Connector 3853">
          <a:extLst>
            <a:ext uri="{FF2B5EF4-FFF2-40B4-BE49-F238E27FC236}">
              <a16:creationId xmlns:a16="http://schemas.microsoft.com/office/drawing/2014/main" id="{00000000-0008-0000-1200-00000E0F0000}"/>
            </a:ext>
          </a:extLst>
        </xdr:cNvPr>
        <xdr:cNvCxnSpPr/>
      </xdr:nvCxnSpPr>
      <xdr:spPr>
        <a:xfrm flipV="1">
          <a:off x="7874000" y="124174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1506</xdr:row>
      <xdr:rowOff>0</xdr:rowOff>
    </xdr:from>
    <xdr:to>
      <xdr:col>15</xdr:col>
      <xdr:colOff>603250</xdr:colOff>
      <xdr:row>1508</xdr:row>
      <xdr:rowOff>1</xdr:rowOff>
    </xdr:to>
    <xdr:cxnSp macro="">
      <xdr:nvCxnSpPr>
        <xdr:cNvPr id="3855" name="Straight Arrow Connector 3854">
          <a:extLst>
            <a:ext uri="{FF2B5EF4-FFF2-40B4-BE49-F238E27FC236}">
              <a16:creationId xmlns:a16="http://schemas.microsoft.com/office/drawing/2014/main" id="{00000000-0008-0000-1200-00000F0F0000}"/>
            </a:ext>
          </a:extLst>
        </xdr:cNvPr>
        <xdr:cNvCxnSpPr/>
      </xdr:nvCxnSpPr>
      <xdr:spPr>
        <a:xfrm flipV="1">
          <a:off x="11271250" y="116014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1508</xdr:row>
      <xdr:rowOff>10584</xdr:rowOff>
    </xdr:from>
    <xdr:to>
      <xdr:col>15</xdr:col>
      <xdr:colOff>592666</xdr:colOff>
      <xdr:row>1509</xdr:row>
      <xdr:rowOff>95250</xdr:rowOff>
    </xdr:to>
    <xdr:cxnSp macro="">
      <xdr:nvCxnSpPr>
        <xdr:cNvPr id="3856" name="Straight Arrow Connector 3855">
          <a:extLst>
            <a:ext uri="{FF2B5EF4-FFF2-40B4-BE49-F238E27FC236}">
              <a16:creationId xmlns:a16="http://schemas.microsoft.com/office/drawing/2014/main" id="{00000000-0008-0000-1200-0000100F0000}"/>
            </a:ext>
          </a:extLst>
        </xdr:cNvPr>
        <xdr:cNvCxnSpPr/>
      </xdr:nvCxnSpPr>
      <xdr:spPr>
        <a:xfrm>
          <a:off x="11313583" y="116406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1508</xdr:row>
      <xdr:rowOff>10584</xdr:rowOff>
    </xdr:from>
    <xdr:to>
      <xdr:col>15</xdr:col>
      <xdr:colOff>560916</xdr:colOff>
      <xdr:row>1512</xdr:row>
      <xdr:rowOff>52917</xdr:rowOff>
    </xdr:to>
    <xdr:cxnSp macro="">
      <xdr:nvCxnSpPr>
        <xdr:cNvPr id="3857" name="Straight Arrow Connector 3856">
          <a:extLst>
            <a:ext uri="{FF2B5EF4-FFF2-40B4-BE49-F238E27FC236}">
              <a16:creationId xmlns:a16="http://schemas.microsoft.com/office/drawing/2014/main" id="{00000000-0008-0000-1200-0000110F0000}"/>
            </a:ext>
          </a:extLst>
        </xdr:cNvPr>
        <xdr:cNvCxnSpPr/>
      </xdr:nvCxnSpPr>
      <xdr:spPr>
        <a:xfrm>
          <a:off x="11292416" y="116406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858" name="Straight Arrow Connector 3857">
          <a:extLst>
            <a:ext uri="{FF2B5EF4-FFF2-40B4-BE49-F238E27FC236}">
              <a16:creationId xmlns:a16="http://schemas.microsoft.com/office/drawing/2014/main" id="{00000000-0008-0000-1200-000012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1522</xdr:row>
      <xdr:rowOff>0</xdr:rowOff>
    </xdr:from>
    <xdr:to>
      <xdr:col>16</xdr:col>
      <xdr:colOff>0</xdr:colOff>
      <xdr:row>1522</xdr:row>
      <xdr:rowOff>42334</xdr:rowOff>
    </xdr:to>
    <xdr:cxnSp macro="">
      <xdr:nvCxnSpPr>
        <xdr:cNvPr id="3859" name="Straight Arrow Connector 3858">
          <a:extLst>
            <a:ext uri="{FF2B5EF4-FFF2-40B4-BE49-F238E27FC236}">
              <a16:creationId xmlns:a16="http://schemas.microsoft.com/office/drawing/2014/main" id="{00000000-0008-0000-1200-0000130F0000}"/>
            </a:ext>
          </a:extLst>
        </xdr:cNvPr>
        <xdr:cNvCxnSpPr/>
      </xdr:nvCxnSpPr>
      <xdr:spPr>
        <a:xfrm>
          <a:off x="11302999" y="119062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1522</xdr:row>
      <xdr:rowOff>21166</xdr:rowOff>
    </xdr:from>
    <xdr:to>
      <xdr:col>15</xdr:col>
      <xdr:colOff>560916</xdr:colOff>
      <xdr:row>1525</xdr:row>
      <xdr:rowOff>84667</xdr:rowOff>
    </xdr:to>
    <xdr:cxnSp macro="">
      <xdr:nvCxnSpPr>
        <xdr:cNvPr id="3860" name="Straight Arrow Connector 3859">
          <a:extLst>
            <a:ext uri="{FF2B5EF4-FFF2-40B4-BE49-F238E27FC236}">
              <a16:creationId xmlns:a16="http://schemas.microsoft.com/office/drawing/2014/main" id="{00000000-0008-0000-1200-0000140F0000}"/>
            </a:ext>
          </a:extLst>
        </xdr:cNvPr>
        <xdr:cNvCxnSpPr/>
      </xdr:nvCxnSpPr>
      <xdr:spPr>
        <a:xfrm>
          <a:off x="11355916" y="119083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1522</xdr:row>
      <xdr:rowOff>52916</xdr:rowOff>
    </xdr:from>
    <xdr:to>
      <xdr:col>15</xdr:col>
      <xdr:colOff>592666</xdr:colOff>
      <xdr:row>1528</xdr:row>
      <xdr:rowOff>63501</xdr:rowOff>
    </xdr:to>
    <xdr:cxnSp macro="">
      <xdr:nvCxnSpPr>
        <xdr:cNvPr id="3861" name="Straight Arrow Connector 3860">
          <a:extLst>
            <a:ext uri="{FF2B5EF4-FFF2-40B4-BE49-F238E27FC236}">
              <a16:creationId xmlns:a16="http://schemas.microsoft.com/office/drawing/2014/main" id="{00000000-0008-0000-1200-0000150F0000}"/>
            </a:ext>
          </a:extLst>
        </xdr:cNvPr>
        <xdr:cNvCxnSpPr/>
      </xdr:nvCxnSpPr>
      <xdr:spPr>
        <a:xfrm>
          <a:off x="11313583" y="119115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1536</xdr:row>
      <xdr:rowOff>116416</xdr:rowOff>
    </xdr:from>
    <xdr:to>
      <xdr:col>15</xdr:col>
      <xdr:colOff>592666</xdr:colOff>
      <xdr:row>1539</xdr:row>
      <xdr:rowOff>158750</xdr:rowOff>
    </xdr:to>
    <xdr:cxnSp macro="">
      <xdr:nvCxnSpPr>
        <xdr:cNvPr id="3862" name="Straight Arrow Connector 3861">
          <a:extLst>
            <a:ext uri="{FF2B5EF4-FFF2-40B4-BE49-F238E27FC236}">
              <a16:creationId xmlns:a16="http://schemas.microsoft.com/office/drawing/2014/main" id="{00000000-0008-0000-1200-0000160F0000}"/>
            </a:ext>
          </a:extLst>
        </xdr:cNvPr>
        <xdr:cNvCxnSpPr/>
      </xdr:nvCxnSpPr>
      <xdr:spPr>
        <a:xfrm flipV="1">
          <a:off x="11302999" y="121845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1538</xdr:row>
      <xdr:rowOff>95250</xdr:rowOff>
    </xdr:from>
    <xdr:to>
      <xdr:col>15</xdr:col>
      <xdr:colOff>582083</xdr:colOff>
      <xdr:row>1540</xdr:row>
      <xdr:rowOff>52917</xdr:rowOff>
    </xdr:to>
    <xdr:cxnSp macro="">
      <xdr:nvCxnSpPr>
        <xdr:cNvPr id="3863" name="Straight Arrow Connector 3862">
          <a:extLst>
            <a:ext uri="{FF2B5EF4-FFF2-40B4-BE49-F238E27FC236}">
              <a16:creationId xmlns:a16="http://schemas.microsoft.com/office/drawing/2014/main" id="{00000000-0008-0000-1200-0000170F0000}"/>
            </a:ext>
          </a:extLst>
        </xdr:cNvPr>
        <xdr:cNvCxnSpPr/>
      </xdr:nvCxnSpPr>
      <xdr:spPr>
        <a:xfrm flipV="1">
          <a:off x="11345333" y="122205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116417</xdr:rowOff>
    </xdr:from>
    <xdr:to>
      <xdr:col>15</xdr:col>
      <xdr:colOff>592666</xdr:colOff>
      <xdr:row>1544</xdr:row>
      <xdr:rowOff>95250</xdr:rowOff>
    </xdr:to>
    <xdr:cxnSp macro="">
      <xdr:nvCxnSpPr>
        <xdr:cNvPr id="3864" name="Straight Arrow Connector 3863">
          <a:extLst>
            <a:ext uri="{FF2B5EF4-FFF2-40B4-BE49-F238E27FC236}">
              <a16:creationId xmlns:a16="http://schemas.microsoft.com/office/drawing/2014/main" id="{00000000-0008-0000-1200-0000180F0000}"/>
            </a:ext>
          </a:extLst>
        </xdr:cNvPr>
        <xdr:cNvCxnSpPr/>
      </xdr:nvCxnSpPr>
      <xdr:spPr>
        <a:xfrm>
          <a:off x="11334749" y="122607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1551</xdr:row>
      <xdr:rowOff>116416</xdr:rowOff>
    </xdr:from>
    <xdr:to>
      <xdr:col>16</xdr:col>
      <xdr:colOff>0</xdr:colOff>
      <xdr:row>1558</xdr:row>
      <xdr:rowOff>74084</xdr:rowOff>
    </xdr:to>
    <xdr:cxnSp macro="">
      <xdr:nvCxnSpPr>
        <xdr:cNvPr id="3865" name="Straight Arrow Connector 3864">
          <a:extLst>
            <a:ext uri="{FF2B5EF4-FFF2-40B4-BE49-F238E27FC236}">
              <a16:creationId xmlns:a16="http://schemas.microsoft.com/office/drawing/2014/main" id="{00000000-0008-0000-1200-0000190F0000}"/>
            </a:ext>
          </a:extLst>
        </xdr:cNvPr>
        <xdr:cNvCxnSpPr/>
      </xdr:nvCxnSpPr>
      <xdr:spPr>
        <a:xfrm>
          <a:off x="11313583" y="124703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1519</xdr:row>
      <xdr:rowOff>52917</xdr:rowOff>
    </xdr:from>
    <xdr:to>
      <xdr:col>15</xdr:col>
      <xdr:colOff>603250</xdr:colOff>
      <xdr:row>1521</xdr:row>
      <xdr:rowOff>148167</xdr:rowOff>
    </xdr:to>
    <xdr:cxnSp macro="">
      <xdr:nvCxnSpPr>
        <xdr:cNvPr id="3866" name="Straight Arrow Connector 3865">
          <a:extLst>
            <a:ext uri="{FF2B5EF4-FFF2-40B4-BE49-F238E27FC236}">
              <a16:creationId xmlns:a16="http://schemas.microsoft.com/office/drawing/2014/main" id="{00000000-0008-0000-1200-00001A0F0000}"/>
            </a:ext>
          </a:extLst>
        </xdr:cNvPr>
        <xdr:cNvCxnSpPr/>
      </xdr:nvCxnSpPr>
      <xdr:spPr>
        <a:xfrm flipV="1">
          <a:off x="11324166" y="118543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1554</xdr:row>
      <xdr:rowOff>42333</xdr:rowOff>
    </xdr:from>
    <xdr:to>
      <xdr:col>11</xdr:col>
      <xdr:colOff>603250</xdr:colOff>
      <xdr:row>1566</xdr:row>
      <xdr:rowOff>10583</xdr:rowOff>
    </xdr:to>
    <xdr:cxnSp macro="">
      <xdr:nvCxnSpPr>
        <xdr:cNvPr id="3867" name="Straight Arrow Connector 3866">
          <a:extLst>
            <a:ext uri="{FF2B5EF4-FFF2-40B4-BE49-F238E27FC236}">
              <a16:creationId xmlns:a16="http://schemas.microsoft.com/office/drawing/2014/main" id="{00000000-0008-0000-1200-00001B0F0000}"/>
            </a:ext>
          </a:extLst>
        </xdr:cNvPr>
        <xdr:cNvCxnSpPr/>
      </xdr:nvCxnSpPr>
      <xdr:spPr>
        <a:xfrm>
          <a:off x="7926917" y="125200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1544</xdr:row>
      <xdr:rowOff>21167</xdr:rowOff>
    </xdr:from>
    <xdr:to>
      <xdr:col>13</xdr:col>
      <xdr:colOff>592667</xdr:colOff>
      <xdr:row>1546</xdr:row>
      <xdr:rowOff>0</xdr:rowOff>
    </xdr:to>
    <xdr:cxnSp macro="">
      <xdr:nvCxnSpPr>
        <xdr:cNvPr id="3868" name="Straight Arrow Connector 3867">
          <a:extLst>
            <a:ext uri="{FF2B5EF4-FFF2-40B4-BE49-F238E27FC236}">
              <a16:creationId xmlns:a16="http://schemas.microsoft.com/office/drawing/2014/main" id="{00000000-0008-0000-1200-00001C0F0000}"/>
            </a:ext>
          </a:extLst>
        </xdr:cNvPr>
        <xdr:cNvCxnSpPr/>
      </xdr:nvCxnSpPr>
      <xdr:spPr>
        <a:xfrm flipV="1">
          <a:off x="9133417" y="123274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1549</xdr:row>
      <xdr:rowOff>21166</xdr:rowOff>
    </xdr:from>
    <xdr:to>
      <xdr:col>13</xdr:col>
      <xdr:colOff>592667</xdr:colOff>
      <xdr:row>1550</xdr:row>
      <xdr:rowOff>169334</xdr:rowOff>
    </xdr:to>
    <xdr:cxnSp macro="">
      <xdr:nvCxnSpPr>
        <xdr:cNvPr id="3869" name="Straight Arrow Connector 3868">
          <a:extLst>
            <a:ext uri="{FF2B5EF4-FFF2-40B4-BE49-F238E27FC236}">
              <a16:creationId xmlns:a16="http://schemas.microsoft.com/office/drawing/2014/main" id="{00000000-0008-0000-1200-00001D0F0000}"/>
            </a:ext>
          </a:extLst>
        </xdr:cNvPr>
        <xdr:cNvCxnSpPr/>
      </xdr:nvCxnSpPr>
      <xdr:spPr>
        <a:xfrm>
          <a:off x="9122833" y="124227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1564</xdr:row>
      <xdr:rowOff>21167</xdr:rowOff>
    </xdr:from>
    <xdr:to>
      <xdr:col>13</xdr:col>
      <xdr:colOff>592667</xdr:colOff>
      <xdr:row>1566</xdr:row>
      <xdr:rowOff>63500</xdr:rowOff>
    </xdr:to>
    <xdr:cxnSp macro="">
      <xdr:nvCxnSpPr>
        <xdr:cNvPr id="3870" name="Straight Arrow Connector 3869">
          <a:extLst>
            <a:ext uri="{FF2B5EF4-FFF2-40B4-BE49-F238E27FC236}">
              <a16:creationId xmlns:a16="http://schemas.microsoft.com/office/drawing/2014/main" id="{00000000-0008-0000-1200-00001E0F0000}"/>
            </a:ext>
          </a:extLst>
        </xdr:cNvPr>
        <xdr:cNvCxnSpPr/>
      </xdr:nvCxnSpPr>
      <xdr:spPr>
        <a:xfrm flipV="1">
          <a:off x="9525000" y="127275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1569</xdr:row>
      <xdr:rowOff>0</xdr:rowOff>
    </xdr:from>
    <xdr:to>
      <xdr:col>14</xdr:col>
      <xdr:colOff>10584</xdr:colOff>
      <xdr:row>1577</xdr:row>
      <xdr:rowOff>148167</xdr:rowOff>
    </xdr:to>
    <xdr:cxnSp macro="">
      <xdr:nvCxnSpPr>
        <xdr:cNvPr id="3871" name="Straight Arrow Connector 3870">
          <a:extLst>
            <a:ext uri="{FF2B5EF4-FFF2-40B4-BE49-F238E27FC236}">
              <a16:creationId xmlns:a16="http://schemas.microsoft.com/office/drawing/2014/main" id="{00000000-0008-0000-1200-00001F0F0000}"/>
            </a:ext>
          </a:extLst>
        </xdr:cNvPr>
        <xdr:cNvCxnSpPr/>
      </xdr:nvCxnSpPr>
      <xdr:spPr>
        <a:xfrm>
          <a:off x="9535583" y="128206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1540</xdr:row>
      <xdr:rowOff>95250</xdr:rowOff>
    </xdr:from>
    <xdr:to>
      <xdr:col>15</xdr:col>
      <xdr:colOff>582083</xdr:colOff>
      <xdr:row>1542</xdr:row>
      <xdr:rowOff>137583</xdr:rowOff>
    </xdr:to>
    <xdr:cxnSp macro="">
      <xdr:nvCxnSpPr>
        <xdr:cNvPr id="3872" name="Straight Arrow Connector 3871">
          <a:extLst>
            <a:ext uri="{FF2B5EF4-FFF2-40B4-BE49-F238E27FC236}">
              <a16:creationId xmlns:a16="http://schemas.microsoft.com/office/drawing/2014/main" id="{00000000-0008-0000-1200-0000200F0000}"/>
            </a:ext>
          </a:extLst>
        </xdr:cNvPr>
        <xdr:cNvCxnSpPr/>
      </xdr:nvCxnSpPr>
      <xdr:spPr>
        <a:xfrm>
          <a:off x="11334749" y="122586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1549</xdr:row>
      <xdr:rowOff>52916</xdr:rowOff>
    </xdr:from>
    <xdr:to>
      <xdr:col>16</xdr:col>
      <xdr:colOff>0</xdr:colOff>
      <xdr:row>1551</xdr:row>
      <xdr:rowOff>0</xdr:rowOff>
    </xdr:to>
    <xdr:cxnSp macro="">
      <xdr:nvCxnSpPr>
        <xdr:cNvPr id="3873" name="Straight Arrow Connector 3872">
          <a:extLst>
            <a:ext uri="{FF2B5EF4-FFF2-40B4-BE49-F238E27FC236}">
              <a16:creationId xmlns:a16="http://schemas.microsoft.com/office/drawing/2014/main" id="{00000000-0008-0000-1200-0000210F0000}"/>
            </a:ext>
          </a:extLst>
        </xdr:cNvPr>
        <xdr:cNvCxnSpPr/>
      </xdr:nvCxnSpPr>
      <xdr:spPr>
        <a:xfrm flipV="1">
          <a:off x="11281833" y="124258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21167</xdr:rowOff>
    </xdr:from>
    <xdr:to>
      <xdr:col>15</xdr:col>
      <xdr:colOff>592666</xdr:colOff>
      <xdr:row>1552</xdr:row>
      <xdr:rowOff>84667</xdr:rowOff>
    </xdr:to>
    <xdr:cxnSp macro="">
      <xdr:nvCxnSpPr>
        <xdr:cNvPr id="3874" name="Straight Arrow Connector 3873">
          <a:extLst>
            <a:ext uri="{FF2B5EF4-FFF2-40B4-BE49-F238E27FC236}">
              <a16:creationId xmlns:a16="http://schemas.microsoft.com/office/drawing/2014/main" id="{00000000-0008-0000-1200-0000220F0000}"/>
            </a:ext>
          </a:extLst>
        </xdr:cNvPr>
        <xdr:cNvCxnSpPr/>
      </xdr:nvCxnSpPr>
      <xdr:spPr>
        <a:xfrm>
          <a:off x="11271250" y="124608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1551</xdr:row>
      <xdr:rowOff>0</xdr:rowOff>
    </xdr:from>
    <xdr:to>
      <xdr:col>16</xdr:col>
      <xdr:colOff>0</xdr:colOff>
      <xdr:row>1555</xdr:row>
      <xdr:rowOff>42334</xdr:rowOff>
    </xdr:to>
    <xdr:cxnSp macro="">
      <xdr:nvCxnSpPr>
        <xdr:cNvPr id="3875" name="Straight Arrow Connector 3874">
          <a:extLst>
            <a:ext uri="{FF2B5EF4-FFF2-40B4-BE49-F238E27FC236}">
              <a16:creationId xmlns:a16="http://schemas.microsoft.com/office/drawing/2014/main" id="{00000000-0008-0000-1200-0000230F0000}"/>
            </a:ext>
          </a:extLst>
        </xdr:cNvPr>
        <xdr:cNvCxnSpPr/>
      </xdr:nvCxnSpPr>
      <xdr:spPr>
        <a:xfrm>
          <a:off x="11271250" y="124587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1562</xdr:row>
      <xdr:rowOff>0</xdr:rowOff>
    </xdr:from>
    <xdr:to>
      <xdr:col>15</xdr:col>
      <xdr:colOff>603250</xdr:colOff>
      <xdr:row>1564</xdr:row>
      <xdr:rowOff>1</xdr:rowOff>
    </xdr:to>
    <xdr:cxnSp macro="">
      <xdr:nvCxnSpPr>
        <xdr:cNvPr id="3876" name="Straight Arrow Connector 3875">
          <a:extLst>
            <a:ext uri="{FF2B5EF4-FFF2-40B4-BE49-F238E27FC236}">
              <a16:creationId xmlns:a16="http://schemas.microsoft.com/office/drawing/2014/main" id="{00000000-0008-0000-1200-0000240F0000}"/>
            </a:ext>
          </a:extLst>
        </xdr:cNvPr>
        <xdr:cNvCxnSpPr/>
      </xdr:nvCxnSpPr>
      <xdr:spPr>
        <a:xfrm flipV="1">
          <a:off x="11271250" y="126873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1564</xdr:row>
      <xdr:rowOff>10584</xdr:rowOff>
    </xdr:from>
    <xdr:to>
      <xdr:col>15</xdr:col>
      <xdr:colOff>592666</xdr:colOff>
      <xdr:row>1565</xdr:row>
      <xdr:rowOff>95250</xdr:rowOff>
    </xdr:to>
    <xdr:cxnSp macro="">
      <xdr:nvCxnSpPr>
        <xdr:cNvPr id="3877" name="Straight Arrow Connector 3876">
          <a:extLst>
            <a:ext uri="{FF2B5EF4-FFF2-40B4-BE49-F238E27FC236}">
              <a16:creationId xmlns:a16="http://schemas.microsoft.com/office/drawing/2014/main" id="{00000000-0008-0000-1200-0000250F0000}"/>
            </a:ext>
          </a:extLst>
        </xdr:cNvPr>
        <xdr:cNvCxnSpPr/>
      </xdr:nvCxnSpPr>
      <xdr:spPr>
        <a:xfrm>
          <a:off x="11313583" y="127264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1564</xdr:row>
      <xdr:rowOff>10584</xdr:rowOff>
    </xdr:from>
    <xdr:to>
      <xdr:col>15</xdr:col>
      <xdr:colOff>560916</xdr:colOff>
      <xdr:row>1568</xdr:row>
      <xdr:rowOff>52917</xdr:rowOff>
    </xdr:to>
    <xdr:cxnSp macro="">
      <xdr:nvCxnSpPr>
        <xdr:cNvPr id="3878" name="Straight Arrow Connector 3877">
          <a:extLst>
            <a:ext uri="{FF2B5EF4-FFF2-40B4-BE49-F238E27FC236}">
              <a16:creationId xmlns:a16="http://schemas.microsoft.com/office/drawing/2014/main" id="{00000000-0008-0000-1200-0000260F0000}"/>
            </a:ext>
          </a:extLst>
        </xdr:cNvPr>
        <xdr:cNvCxnSpPr/>
      </xdr:nvCxnSpPr>
      <xdr:spPr>
        <a:xfrm>
          <a:off x="11292416" y="127264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879" name="Straight Arrow Connector 3878">
          <a:extLst>
            <a:ext uri="{FF2B5EF4-FFF2-40B4-BE49-F238E27FC236}">
              <a16:creationId xmlns:a16="http://schemas.microsoft.com/office/drawing/2014/main" id="{00000000-0008-0000-1200-000027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1578</xdr:row>
      <xdr:rowOff>0</xdr:rowOff>
    </xdr:from>
    <xdr:to>
      <xdr:col>16</xdr:col>
      <xdr:colOff>0</xdr:colOff>
      <xdr:row>1578</xdr:row>
      <xdr:rowOff>42334</xdr:rowOff>
    </xdr:to>
    <xdr:cxnSp macro="">
      <xdr:nvCxnSpPr>
        <xdr:cNvPr id="3880" name="Straight Arrow Connector 3879">
          <a:extLst>
            <a:ext uri="{FF2B5EF4-FFF2-40B4-BE49-F238E27FC236}">
              <a16:creationId xmlns:a16="http://schemas.microsoft.com/office/drawing/2014/main" id="{00000000-0008-0000-1200-0000280F0000}"/>
            </a:ext>
          </a:extLst>
        </xdr:cNvPr>
        <xdr:cNvCxnSpPr/>
      </xdr:nvCxnSpPr>
      <xdr:spPr>
        <a:xfrm>
          <a:off x="11302999" y="129921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1578</xdr:row>
      <xdr:rowOff>21166</xdr:rowOff>
    </xdr:from>
    <xdr:to>
      <xdr:col>15</xdr:col>
      <xdr:colOff>560916</xdr:colOff>
      <xdr:row>1581</xdr:row>
      <xdr:rowOff>84667</xdr:rowOff>
    </xdr:to>
    <xdr:cxnSp macro="">
      <xdr:nvCxnSpPr>
        <xdr:cNvPr id="3881" name="Straight Arrow Connector 3880">
          <a:extLst>
            <a:ext uri="{FF2B5EF4-FFF2-40B4-BE49-F238E27FC236}">
              <a16:creationId xmlns:a16="http://schemas.microsoft.com/office/drawing/2014/main" id="{00000000-0008-0000-1200-0000290F0000}"/>
            </a:ext>
          </a:extLst>
        </xdr:cNvPr>
        <xdr:cNvCxnSpPr/>
      </xdr:nvCxnSpPr>
      <xdr:spPr>
        <a:xfrm>
          <a:off x="11355916" y="129942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1578</xdr:row>
      <xdr:rowOff>52916</xdr:rowOff>
    </xdr:from>
    <xdr:to>
      <xdr:col>15</xdr:col>
      <xdr:colOff>592666</xdr:colOff>
      <xdr:row>1584</xdr:row>
      <xdr:rowOff>63501</xdr:rowOff>
    </xdr:to>
    <xdr:cxnSp macro="">
      <xdr:nvCxnSpPr>
        <xdr:cNvPr id="3882" name="Straight Arrow Connector 3881">
          <a:extLst>
            <a:ext uri="{FF2B5EF4-FFF2-40B4-BE49-F238E27FC236}">
              <a16:creationId xmlns:a16="http://schemas.microsoft.com/office/drawing/2014/main" id="{00000000-0008-0000-1200-00002A0F0000}"/>
            </a:ext>
          </a:extLst>
        </xdr:cNvPr>
        <xdr:cNvCxnSpPr/>
      </xdr:nvCxnSpPr>
      <xdr:spPr>
        <a:xfrm>
          <a:off x="11313583" y="129973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1575</xdr:row>
      <xdr:rowOff>52917</xdr:rowOff>
    </xdr:from>
    <xdr:to>
      <xdr:col>15</xdr:col>
      <xdr:colOff>603250</xdr:colOff>
      <xdr:row>1577</xdr:row>
      <xdr:rowOff>148167</xdr:rowOff>
    </xdr:to>
    <xdr:cxnSp macro="">
      <xdr:nvCxnSpPr>
        <xdr:cNvPr id="3883" name="Straight Arrow Connector 3882">
          <a:extLst>
            <a:ext uri="{FF2B5EF4-FFF2-40B4-BE49-F238E27FC236}">
              <a16:creationId xmlns:a16="http://schemas.microsoft.com/office/drawing/2014/main" id="{00000000-0008-0000-1200-00002B0F0000}"/>
            </a:ext>
          </a:extLst>
        </xdr:cNvPr>
        <xdr:cNvCxnSpPr/>
      </xdr:nvCxnSpPr>
      <xdr:spPr>
        <a:xfrm flipV="1">
          <a:off x="11324166" y="129402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884" name="Straight Arrow Connector 3883">
          <a:extLst>
            <a:ext uri="{FF2B5EF4-FFF2-40B4-BE49-F238E27FC236}">
              <a16:creationId xmlns:a16="http://schemas.microsoft.com/office/drawing/2014/main" id="{00000000-0008-0000-1200-00002C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885" name="Straight Arrow Connector 3884">
          <a:extLst>
            <a:ext uri="{FF2B5EF4-FFF2-40B4-BE49-F238E27FC236}">
              <a16:creationId xmlns:a16="http://schemas.microsoft.com/office/drawing/2014/main" id="{00000000-0008-0000-1200-00002D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886" name="Straight Arrow Connector 3885">
          <a:extLst>
            <a:ext uri="{FF2B5EF4-FFF2-40B4-BE49-F238E27FC236}">
              <a16:creationId xmlns:a16="http://schemas.microsoft.com/office/drawing/2014/main" id="{00000000-0008-0000-1200-00002E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887" name="Straight Arrow Connector 3886">
          <a:extLst>
            <a:ext uri="{FF2B5EF4-FFF2-40B4-BE49-F238E27FC236}">
              <a16:creationId xmlns:a16="http://schemas.microsoft.com/office/drawing/2014/main" id="{00000000-0008-0000-1200-00002F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888" name="Straight Arrow Connector 3887">
          <a:extLst>
            <a:ext uri="{FF2B5EF4-FFF2-40B4-BE49-F238E27FC236}">
              <a16:creationId xmlns:a16="http://schemas.microsoft.com/office/drawing/2014/main" id="{00000000-0008-0000-1200-000030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889" name="Straight Arrow Connector 3888">
          <a:extLst>
            <a:ext uri="{FF2B5EF4-FFF2-40B4-BE49-F238E27FC236}">
              <a16:creationId xmlns:a16="http://schemas.microsoft.com/office/drawing/2014/main" id="{00000000-0008-0000-1200-000031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1690</xdr:row>
      <xdr:rowOff>21167</xdr:rowOff>
    </xdr:from>
    <xdr:to>
      <xdr:col>15</xdr:col>
      <xdr:colOff>592666</xdr:colOff>
      <xdr:row>1691</xdr:row>
      <xdr:rowOff>84667</xdr:rowOff>
    </xdr:to>
    <xdr:cxnSp macro="">
      <xdr:nvCxnSpPr>
        <xdr:cNvPr id="3890" name="Straight Arrow Connector 3889">
          <a:extLst>
            <a:ext uri="{FF2B5EF4-FFF2-40B4-BE49-F238E27FC236}">
              <a16:creationId xmlns:a16="http://schemas.microsoft.com/office/drawing/2014/main" id="{00000000-0008-0000-1200-0000320F0000}"/>
            </a:ext>
          </a:extLst>
        </xdr:cNvPr>
        <xdr:cNvCxnSpPr/>
      </xdr:nvCxnSpPr>
      <xdr:spPr>
        <a:xfrm>
          <a:off x="11271250" y="151659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3891" name="Straight Arrow Connector 3890">
          <a:extLst>
            <a:ext uri="{FF2B5EF4-FFF2-40B4-BE49-F238E27FC236}">
              <a16:creationId xmlns:a16="http://schemas.microsoft.com/office/drawing/2014/main" id="{00000000-0008-0000-1200-000033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892" name="Straight Arrow Connector 3891">
          <a:extLst>
            <a:ext uri="{FF2B5EF4-FFF2-40B4-BE49-F238E27FC236}">
              <a16:creationId xmlns:a16="http://schemas.microsoft.com/office/drawing/2014/main" id="{00000000-0008-0000-1200-000034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893" name="Straight Arrow Connector 3892">
          <a:extLst>
            <a:ext uri="{FF2B5EF4-FFF2-40B4-BE49-F238E27FC236}">
              <a16:creationId xmlns:a16="http://schemas.microsoft.com/office/drawing/2014/main" id="{00000000-0008-0000-1200-000035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894" name="Straight Arrow Connector 3893">
          <a:extLst>
            <a:ext uri="{FF2B5EF4-FFF2-40B4-BE49-F238E27FC236}">
              <a16:creationId xmlns:a16="http://schemas.microsoft.com/office/drawing/2014/main" id="{00000000-0008-0000-1200-000036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3895" name="Straight Arrow Connector 3894">
          <a:extLst>
            <a:ext uri="{FF2B5EF4-FFF2-40B4-BE49-F238E27FC236}">
              <a16:creationId xmlns:a16="http://schemas.microsoft.com/office/drawing/2014/main" id="{00000000-0008-0000-1200-000037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3896" name="Straight Arrow Connector 3895">
          <a:extLst>
            <a:ext uri="{FF2B5EF4-FFF2-40B4-BE49-F238E27FC236}">
              <a16:creationId xmlns:a16="http://schemas.microsoft.com/office/drawing/2014/main" id="{00000000-0008-0000-1200-000038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21167</xdr:colOff>
      <xdr:row>1716</xdr:row>
      <xdr:rowOff>169333</xdr:rowOff>
    </xdr:from>
    <xdr:to>
      <xdr:col>11</xdr:col>
      <xdr:colOff>603250</xdr:colOff>
      <xdr:row>1719</xdr:row>
      <xdr:rowOff>21167</xdr:rowOff>
    </xdr:to>
    <xdr:cxnSp macro="">
      <xdr:nvCxnSpPr>
        <xdr:cNvPr id="3897" name="Straight Arrow Connector 3896">
          <a:extLst>
            <a:ext uri="{FF2B5EF4-FFF2-40B4-BE49-F238E27FC236}">
              <a16:creationId xmlns:a16="http://schemas.microsoft.com/office/drawing/2014/main" id="{00000000-0008-0000-1200-0000390F0000}"/>
            </a:ext>
          </a:extLst>
        </xdr:cNvPr>
        <xdr:cNvCxnSpPr/>
      </xdr:nvCxnSpPr>
      <xdr:spPr>
        <a:xfrm flipV="1">
          <a:off x="7937500" y="156760333"/>
          <a:ext cx="582083" cy="423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1722</xdr:row>
      <xdr:rowOff>42333</xdr:rowOff>
    </xdr:from>
    <xdr:to>
      <xdr:col>11</xdr:col>
      <xdr:colOff>603250</xdr:colOff>
      <xdr:row>1734</xdr:row>
      <xdr:rowOff>10583</xdr:rowOff>
    </xdr:to>
    <xdr:cxnSp macro="">
      <xdr:nvCxnSpPr>
        <xdr:cNvPr id="3898" name="Straight Arrow Connector 3897">
          <a:extLst>
            <a:ext uri="{FF2B5EF4-FFF2-40B4-BE49-F238E27FC236}">
              <a16:creationId xmlns:a16="http://schemas.microsoft.com/office/drawing/2014/main" id="{00000000-0008-0000-1200-00003A0F0000}"/>
            </a:ext>
          </a:extLst>
        </xdr:cNvPr>
        <xdr:cNvCxnSpPr/>
      </xdr:nvCxnSpPr>
      <xdr:spPr>
        <a:xfrm>
          <a:off x="7926917" y="1577763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1712</xdr:row>
      <xdr:rowOff>21167</xdr:rowOff>
    </xdr:from>
    <xdr:to>
      <xdr:col>13</xdr:col>
      <xdr:colOff>592667</xdr:colOff>
      <xdr:row>1714</xdr:row>
      <xdr:rowOff>0</xdr:rowOff>
    </xdr:to>
    <xdr:cxnSp macro="">
      <xdr:nvCxnSpPr>
        <xdr:cNvPr id="3899" name="Straight Arrow Connector 3898">
          <a:extLst>
            <a:ext uri="{FF2B5EF4-FFF2-40B4-BE49-F238E27FC236}">
              <a16:creationId xmlns:a16="http://schemas.microsoft.com/office/drawing/2014/main" id="{00000000-0008-0000-1200-00003B0F0000}"/>
            </a:ext>
          </a:extLst>
        </xdr:cNvPr>
        <xdr:cNvCxnSpPr/>
      </xdr:nvCxnSpPr>
      <xdr:spPr>
        <a:xfrm flipV="1">
          <a:off x="9133417" y="1558501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1717</xdr:row>
      <xdr:rowOff>21166</xdr:rowOff>
    </xdr:from>
    <xdr:to>
      <xdr:col>13</xdr:col>
      <xdr:colOff>592667</xdr:colOff>
      <xdr:row>1718</xdr:row>
      <xdr:rowOff>169334</xdr:rowOff>
    </xdr:to>
    <xdr:cxnSp macro="">
      <xdr:nvCxnSpPr>
        <xdr:cNvPr id="3900" name="Straight Arrow Connector 3899">
          <a:extLst>
            <a:ext uri="{FF2B5EF4-FFF2-40B4-BE49-F238E27FC236}">
              <a16:creationId xmlns:a16="http://schemas.microsoft.com/office/drawing/2014/main" id="{00000000-0008-0000-1200-00003C0F0000}"/>
            </a:ext>
          </a:extLst>
        </xdr:cNvPr>
        <xdr:cNvCxnSpPr/>
      </xdr:nvCxnSpPr>
      <xdr:spPr>
        <a:xfrm>
          <a:off x="9122833" y="1568026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1732</xdr:row>
      <xdr:rowOff>21167</xdr:rowOff>
    </xdr:from>
    <xdr:to>
      <xdr:col>13</xdr:col>
      <xdr:colOff>592667</xdr:colOff>
      <xdr:row>1734</xdr:row>
      <xdr:rowOff>63500</xdr:rowOff>
    </xdr:to>
    <xdr:cxnSp macro="">
      <xdr:nvCxnSpPr>
        <xdr:cNvPr id="3901" name="Straight Arrow Connector 3900">
          <a:extLst>
            <a:ext uri="{FF2B5EF4-FFF2-40B4-BE49-F238E27FC236}">
              <a16:creationId xmlns:a16="http://schemas.microsoft.com/office/drawing/2014/main" id="{00000000-0008-0000-1200-00003D0F0000}"/>
            </a:ext>
          </a:extLst>
        </xdr:cNvPr>
        <xdr:cNvCxnSpPr/>
      </xdr:nvCxnSpPr>
      <xdr:spPr>
        <a:xfrm flipV="1">
          <a:off x="9525000" y="1598506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1737</xdr:row>
      <xdr:rowOff>0</xdr:rowOff>
    </xdr:from>
    <xdr:to>
      <xdr:col>14</xdr:col>
      <xdr:colOff>10584</xdr:colOff>
      <xdr:row>1745</xdr:row>
      <xdr:rowOff>148167</xdr:rowOff>
    </xdr:to>
    <xdr:cxnSp macro="">
      <xdr:nvCxnSpPr>
        <xdr:cNvPr id="3902" name="Straight Arrow Connector 3901">
          <a:extLst>
            <a:ext uri="{FF2B5EF4-FFF2-40B4-BE49-F238E27FC236}">
              <a16:creationId xmlns:a16="http://schemas.microsoft.com/office/drawing/2014/main" id="{00000000-0008-0000-1200-00003E0F0000}"/>
            </a:ext>
          </a:extLst>
        </xdr:cNvPr>
        <xdr:cNvCxnSpPr/>
      </xdr:nvCxnSpPr>
      <xdr:spPr>
        <a:xfrm>
          <a:off x="9535583" y="1607820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1704</xdr:row>
      <xdr:rowOff>0</xdr:rowOff>
    </xdr:from>
    <xdr:to>
      <xdr:col>15</xdr:col>
      <xdr:colOff>603250</xdr:colOff>
      <xdr:row>1709</xdr:row>
      <xdr:rowOff>31750</xdr:rowOff>
    </xdr:to>
    <xdr:cxnSp macro="">
      <xdr:nvCxnSpPr>
        <xdr:cNvPr id="3903" name="Straight Arrow Connector 3902">
          <a:extLst>
            <a:ext uri="{FF2B5EF4-FFF2-40B4-BE49-F238E27FC236}">
              <a16:creationId xmlns:a16="http://schemas.microsoft.com/office/drawing/2014/main" id="{00000000-0008-0000-1200-00003F0F0000}"/>
            </a:ext>
          </a:extLst>
        </xdr:cNvPr>
        <xdr:cNvCxnSpPr/>
      </xdr:nvCxnSpPr>
      <xdr:spPr>
        <a:xfrm flipV="1">
          <a:off x="11281833" y="154305000"/>
          <a:ext cx="603250" cy="984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1707</xdr:row>
      <xdr:rowOff>52917</xdr:rowOff>
    </xdr:from>
    <xdr:to>
      <xdr:col>15</xdr:col>
      <xdr:colOff>603250</xdr:colOff>
      <xdr:row>1709</xdr:row>
      <xdr:rowOff>95250</xdr:rowOff>
    </xdr:to>
    <xdr:cxnSp macro="">
      <xdr:nvCxnSpPr>
        <xdr:cNvPr id="3904" name="Straight Arrow Connector 3903">
          <a:extLst>
            <a:ext uri="{FF2B5EF4-FFF2-40B4-BE49-F238E27FC236}">
              <a16:creationId xmlns:a16="http://schemas.microsoft.com/office/drawing/2014/main" id="{00000000-0008-0000-1200-0000400F0000}"/>
            </a:ext>
          </a:extLst>
        </xdr:cNvPr>
        <xdr:cNvCxnSpPr/>
      </xdr:nvCxnSpPr>
      <xdr:spPr>
        <a:xfrm flipV="1">
          <a:off x="11324166" y="154929417"/>
          <a:ext cx="56091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1709</xdr:row>
      <xdr:rowOff>158750</xdr:rowOff>
    </xdr:from>
    <xdr:to>
      <xdr:col>15</xdr:col>
      <xdr:colOff>582083</xdr:colOff>
      <xdr:row>1710</xdr:row>
      <xdr:rowOff>137583</xdr:rowOff>
    </xdr:to>
    <xdr:cxnSp macro="">
      <xdr:nvCxnSpPr>
        <xdr:cNvPr id="3905" name="Straight Arrow Connector 3904">
          <a:extLst>
            <a:ext uri="{FF2B5EF4-FFF2-40B4-BE49-F238E27FC236}">
              <a16:creationId xmlns:a16="http://schemas.microsoft.com/office/drawing/2014/main" id="{00000000-0008-0000-1200-0000410F0000}"/>
            </a:ext>
          </a:extLst>
        </xdr:cNvPr>
        <xdr:cNvCxnSpPr/>
      </xdr:nvCxnSpPr>
      <xdr:spPr>
        <a:xfrm>
          <a:off x="11345333" y="155416250"/>
          <a:ext cx="518583" cy="169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1121834</xdr:colOff>
      <xdr:row>1709</xdr:row>
      <xdr:rowOff>105834</xdr:rowOff>
    </xdr:from>
    <xdr:to>
      <xdr:col>16</xdr:col>
      <xdr:colOff>0</xdr:colOff>
      <xdr:row>1713</xdr:row>
      <xdr:rowOff>84667</xdr:rowOff>
    </xdr:to>
    <xdr:cxnSp macro="">
      <xdr:nvCxnSpPr>
        <xdr:cNvPr id="3906" name="Straight Arrow Connector 3905">
          <a:extLst>
            <a:ext uri="{FF2B5EF4-FFF2-40B4-BE49-F238E27FC236}">
              <a16:creationId xmlns:a16="http://schemas.microsoft.com/office/drawing/2014/main" id="{00000000-0008-0000-1200-0000420F0000}"/>
            </a:ext>
          </a:extLst>
        </xdr:cNvPr>
        <xdr:cNvCxnSpPr/>
      </xdr:nvCxnSpPr>
      <xdr:spPr>
        <a:xfrm>
          <a:off x="11260667" y="155363334"/>
          <a:ext cx="63500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1717</xdr:row>
      <xdr:rowOff>52916</xdr:rowOff>
    </xdr:from>
    <xdr:to>
      <xdr:col>16</xdr:col>
      <xdr:colOff>0</xdr:colOff>
      <xdr:row>1719</xdr:row>
      <xdr:rowOff>0</xdr:rowOff>
    </xdr:to>
    <xdr:cxnSp macro="">
      <xdr:nvCxnSpPr>
        <xdr:cNvPr id="3907" name="Straight Arrow Connector 3906">
          <a:extLst>
            <a:ext uri="{FF2B5EF4-FFF2-40B4-BE49-F238E27FC236}">
              <a16:creationId xmlns:a16="http://schemas.microsoft.com/office/drawing/2014/main" id="{00000000-0008-0000-1200-0000430F0000}"/>
            </a:ext>
          </a:extLst>
        </xdr:cNvPr>
        <xdr:cNvCxnSpPr/>
      </xdr:nvCxnSpPr>
      <xdr:spPr>
        <a:xfrm flipV="1">
          <a:off x="11281833" y="1568344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1719</xdr:row>
      <xdr:rowOff>21167</xdr:rowOff>
    </xdr:from>
    <xdr:to>
      <xdr:col>15</xdr:col>
      <xdr:colOff>582083</xdr:colOff>
      <xdr:row>1720</xdr:row>
      <xdr:rowOff>42333</xdr:rowOff>
    </xdr:to>
    <xdr:cxnSp macro="">
      <xdr:nvCxnSpPr>
        <xdr:cNvPr id="3908" name="Straight Arrow Connector 3907">
          <a:extLst>
            <a:ext uri="{FF2B5EF4-FFF2-40B4-BE49-F238E27FC236}">
              <a16:creationId xmlns:a16="http://schemas.microsoft.com/office/drawing/2014/main" id="{00000000-0008-0000-1200-0000440F0000}"/>
            </a:ext>
          </a:extLst>
        </xdr:cNvPr>
        <xdr:cNvCxnSpPr/>
      </xdr:nvCxnSpPr>
      <xdr:spPr>
        <a:xfrm>
          <a:off x="11292416" y="157183667"/>
          <a:ext cx="571500" cy="2116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1719</xdr:row>
      <xdr:rowOff>21167</xdr:rowOff>
    </xdr:from>
    <xdr:to>
      <xdr:col>16</xdr:col>
      <xdr:colOff>42333</xdr:colOff>
      <xdr:row>1724</xdr:row>
      <xdr:rowOff>21168</xdr:rowOff>
    </xdr:to>
    <xdr:cxnSp macro="">
      <xdr:nvCxnSpPr>
        <xdr:cNvPr id="3909" name="Straight Arrow Connector 3908">
          <a:extLst>
            <a:ext uri="{FF2B5EF4-FFF2-40B4-BE49-F238E27FC236}">
              <a16:creationId xmlns:a16="http://schemas.microsoft.com/office/drawing/2014/main" id="{00000000-0008-0000-1200-0000450F0000}"/>
            </a:ext>
          </a:extLst>
        </xdr:cNvPr>
        <xdr:cNvCxnSpPr/>
      </xdr:nvCxnSpPr>
      <xdr:spPr>
        <a:xfrm>
          <a:off x="11271250" y="157183667"/>
          <a:ext cx="666750" cy="9525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3910" name="Straight Arrow Connector 3909">
          <a:extLst>
            <a:ext uri="{FF2B5EF4-FFF2-40B4-BE49-F238E27FC236}">
              <a16:creationId xmlns:a16="http://schemas.microsoft.com/office/drawing/2014/main" id="{00000000-0008-0000-1200-000046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571500</xdr:colOff>
      <xdr:row>1772</xdr:row>
      <xdr:rowOff>158750</xdr:rowOff>
    </xdr:from>
    <xdr:to>
      <xdr:col>11</xdr:col>
      <xdr:colOff>571500</xdr:colOff>
      <xdr:row>1775</xdr:row>
      <xdr:rowOff>0</xdr:rowOff>
    </xdr:to>
    <xdr:cxnSp macro="">
      <xdr:nvCxnSpPr>
        <xdr:cNvPr id="3911" name="Straight Arrow Connector 3910">
          <a:extLst>
            <a:ext uri="{FF2B5EF4-FFF2-40B4-BE49-F238E27FC236}">
              <a16:creationId xmlns:a16="http://schemas.microsoft.com/office/drawing/2014/main" id="{00000000-0008-0000-1200-0000470F0000}"/>
            </a:ext>
          </a:extLst>
        </xdr:cNvPr>
        <xdr:cNvCxnSpPr/>
      </xdr:nvCxnSpPr>
      <xdr:spPr>
        <a:xfrm flipV="1">
          <a:off x="7874000" y="167608250"/>
          <a:ext cx="613833" cy="412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1730</xdr:row>
      <xdr:rowOff>0</xdr:rowOff>
    </xdr:from>
    <xdr:to>
      <xdr:col>15</xdr:col>
      <xdr:colOff>603250</xdr:colOff>
      <xdr:row>1732</xdr:row>
      <xdr:rowOff>1</xdr:rowOff>
    </xdr:to>
    <xdr:cxnSp macro="">
      <xdr:nvCxnSpPr>
        <xdr:cNvPr id="3912" name="Straight Arrow Connector 3911">
          <a:extLst>
            <a:ext uri="{FF2B5EF4-FFF2-40B4-BE49-F238E27FC236}">
              <a16:creationId xmlns:a16="http://schemas.microsoft.com/office/drawing/2014/main" id="{00000000-0008-0000-1200-0000480F0000}"/>
            </a:ext>
          </a:extLst>
        </xdr:cNvPr>
        <xdr:cNvCxnSpPr/>
      </xdr:nvCxnSpPr>
      <xdr:spPr>
        <a:xfrm flipV="1">
          <a:off x="11271250" y="1594485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1732</xdr:row>
      <xdr:rowOff>10584</xdr:rowOff>
    </xdr:from>
    <xdr:to>
      <xdr:col>15</xdr:col>
      <xdr:colOff>592666</xdr:colOff>
      <xdr:row>1733</xdr:row>
      <xdr:rowOff>95250</xdr:rowOff>
    </xdr:to>
    <xdr:cxnSp macro="">
      <xdr:nvCxnSpPr>
        <xdr:cNvPr id="3913" name="Straight Arrow Connector 3912">
          <a:extLst>
            <a:ext uri="{FF2B5EF4-FFF2-40B4-BE49-F238E27FC236}">
              <a16:creationId xmlns:a16="http://schemas.microsoft.com/office/drawing/2014/main" id="{00000000-0008-0000-1200-0000490F0000}"/>
            </a:ext>
          </a:extLst>
        </xdr:cNvPr>
        <xdr:cNvCxnSpPr/>
      </xdr:nvCxnSpPr>
      <xdr:spPr>
        <a:xfrm>
          <a:off x="11313583" y="1598400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1732</xdr:row>
      <xdr:rowOff>10584</xdr:rowOff>
    </xdr:from>
    <xdr:to>
      <xdr:col>15</xdr:col>
      <xdr:colOff>560916</xdr:colOff>
      <xdr:row>1736</xdr:row>
      <xdr:rowOff>52917</xdr:rowOff>
    </xdr:to>
    <xdr:cxnSp macro="">
      <xdr:nvCxnSpPr>
        <xdr:cNvPr id="3914" name="Straight Arrow Connector 3913">
          <a:extLst>
            <a:ext uri="{FF2B5EF4-FFF2-40B4-BE49-F238E27FC236}">
              <a16:creationId xmlns:a16="http://schemas.microsoft.com/office/drawing/2014/main" id="{00000000-0008-0000-1200-00004A0F0000}"/>
            </a:ext>
          </a:extLst>
        </xdr:cNvPr>
        <xdr:cNvCxnSpPr/>
      </xdr:nvCxnSpPr>
      <xdr:spPr>
        <a:xfrm>
          <a:off x="11292416" y="1598400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915" name="Straight Arrow Connector 3914">
          <a:extLst>
            <a:ext uri="{FF2B5EF4-FFF2-40B4-BE49-F238E27FC236}">
              <a16:creationId xmlns:a16="http://schemas.microsoft.com/office/drawing/2014/main" id="{00000000-0008-0000-1200-00004B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1746</xdr:row>
      <xdr:rowOff>0</xdr:rowOff>
    </xdr:from>
    <xdr:to>
      <xdr:col>16</xdr:col>
      <xdr:colOff>0</xdr:colOff>
      <xdr:row>1746</xdr:row>
      <xdr:rowOff>42334</xdr:rowOff>
    </xdr:to>
    <xdr:cxnSp macro="">
      <xdr:nvCxnSpPr>
        <xdr:cNvPr id="3916" name="Straight Arrow Connector 3915">
          <a:extLst>
            <a:ext uri="{FF2B5EF4-FFF2-40B4-BE49-F238E27FC236}">
              <a16:creationId xmlns:a16="http://schemas.microsoft.com/office/drawing/2014/main" id="{00000000-0008-0000-1200-00004C0F0000}"/>
            </a:ext>
          </a:extLst>
        </xdr:cNvPr>
        <xdr:cNvCxnSpPr/>
      </xdr:nvCxnSpPr>
      <xdr:spPr>
        <a:xfrm>
          <a:off x="11302999" y="1624965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1746</xdr:row>
      <xdr:rowOff>21166</xdr:rowOff>
    </xdr:from>
    <xdr:to>
      <xdr:col>15</xdr:col>
      <xdr:colOff>560916</xdr:colOff>
      <xdr:row>1749</xdr:row>
      <xdr:rowOff>84667</xdr:rowOff>
    </xdr:to>
    <xdr:cxnSp macro="">
      <xdr:nvCxnSpPr>
        <xdr:cNvPr id="3917" name="Straight Arrow Connector 3916">
          <a:extLst>
            <a:ext uri="{FF2B5EF4-FFF2-40B4-BE49-F238E27FC236}">
              <a16:creationId xmlns:a16="http://schemas.microsoft.com/office/drawing/2014/main" id="{00000000-0008-0000-1200-00004D0F0000}"/>
            </a:ext>
          </a:extLst>
        </xdr:cNvPr>
        <xdr:cNvCxnSpPr/>
      </xdr:nvCxnSpPr>
      <xdr:spPr>
        <a:xfrm>
          <a:off x="11355916" y="1625176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1746</xdr:row>
      <xdr:rowOff>52916</xdr:rowOff>
    </xdr:from>
    <xdr:to>
      <xdr:col>15</xdr:col>
      <xdr:colOff>592666</xdr:colOff>
      <xdr:row>1752</xdr:row>
      <xdr:rowOff>63501</xdr:rowOff>
    </xdr:to>
    <xdr:cxnSp macro="">
      <xdr:nvCxnSpPr>
        <xdr:cNvPr id="3918" name="Straight Arrow Connector 3917">
          <a:extLst>
            <a:ext uri="{FF2B5EF4-FFF2-40B4-BE49-F238E27FC236}">
              <a16:creationId xmlns:a16="http://schemas.microsoft.com/office/drawing/2014/main" id="{00000000-0008-0000-1200-00004E0F0000}"/>
            </a:ext>
          </a:extLst>
        </xdr:cNvPr>
        <xdr:cNvCxnSpPr/>
      </xdr:nvCxnSpPr>
      <xdr:spPr>
        <a:xfrm>
          <a:off x="11313583" y="1625494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1760</xdr:row>
      <xdr:rowOff>116416</xdr:rowOff>
    </xdr:from>
    <xdr:to>
      <xdr:col>15</xdr:col>
      <xdr:colOff>592666</xdr:colOff>
      <xdr:row>1763</xdr:row>
      <xdr:rowOff>158750</xdr:rowOff>
    </xdr:to>
    <xdr:cxnSp macro="">
      <xdr:nvCxnSpPr>
        <xdr:cNvPr id="3919" name="Straight Arrow Connector 3918">
          <a:extLst>
            <a:ext uri="{FF2B5EF4-FFF2-40B4-BE49-F238E27FC236}">
              <a16:creationId xmlns:a16="http://schemas.microsoft.com/office/drawing/2014/main" id="{00000000-0008-0000-1200-00004F0F0000}"/>
            </a:ext>
          </a:extLst>
        </xdr:cNvPr>
        <xdr:cNvCxnSpPr/>
      </xdr:nvCxnSpPr>
      <xdr:spPr>
        <a:xfrm flipV="1">
          <a:off x="11302999" y="165279916"/>
          <a:ext cx="571500" cy="6138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63500</xdr:colOff>
      <xdr:row>1762</xdr:row>
      <xdr:rowOff>95250</xdr:rowOff>
    </xdr:from>
    <xdr:to>
      <xdr:col>15</xdr:col>
      <xdr:colOff>582083</xdr:colOff>
      <xdr:row>1764</xdr:row>
      <xdr:rowOff>52917</xdr:rowOff>
    </xdr:to>
    <xdr:cxnSp macro="">
      <xdr:nvCxnSpPr>
        <xdr:cNvPr id="3920" name="Straight Arrow Connector 3919">
          <a:extLst>
            <a:ext uri="{FF2B5EF4-FFF2-40B4-BE49-F238E27FC236}">
              <a16:creationId xmlns:a16="http://schemas.microsoft.com/office/drawing/2014/main" id="{00000000-0008-0000-1200-0000500F0000}"/>
            </a:ext>
          </a:extLst>
        </xdr:cNvPr>
        <xdr:cNvCxnSpPr/>
      </xdr:nvCxnSpPr>
      <xdr:spPr>
        <a:xfrm flipV="1">
          <a:off x="11345333" y="165639750"/>
          <a:ext cx="518583" cy="3386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116417</xdr:rowOff>
    </xdr:from>
    <xdr:to>
      <xdr:col>15</xdr:col>
      <xdr:colOff>592666</xdr:colOff>
      <xdr:row>1768</xdr:row>
      <xdr:rowOff>95250</xdr:rowOff>
    </xdr:to>
    <xdr:cxnSp macro="">
      <xdr:nvCxnSpPr>
        <xdr:cNvPr id="3921" name="Straight Arrow Connector 3920">
          <a:extLst>
            <a:ext uri="{FF2B5EF4-FFF2-40B4-BE49-F238E27FC236}">
              <a16:creationId xmlns:a16="http://schemas.microsoft.com/office/drawing/2014/main" id="{00000000-0008-0000-1200-0000510F0000}"/>
            </a:ext>
          </a:extLst>
        </xdr:cNvPr>
        <xdr:cNvCxnSpPr/>
      </xdr:nvCxnSpPr>
      <xdr:spPr>
        <a:xfrm>
          <a:off x="11334749" y="166041917"/>
          <a:ext cx="539750" cy="740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1775</xdr:row>
      <xdr:rowOff>116416</xdr:rowOff>
    </xdr:from>
    <xdr:to>
      <xdr:col>16</xdr:col>
      <xdr:colOff>0</xdr:colOff>
      <xdr:row>1782</xdr:row>
      <xdr:rowOff>74084</xdr:rowOff>
    </xdr:to>
    <xdr:cxnSp macro="">
      <xdr:nvCxnSpPr>
        <xdr:cNvPr id="3922" name="Straight Arrow Connector 3921">
          <a:extLst>
            <a:ext uri="{FF2B5EF4-FFF2-40B4-BE49-F238E27FC236}">
              <a16:creationId xmlns:a16="http://schemas.microsoft.com/office/drawing/2014/main" id="{00000000-0008-0000-1200-0000520F0000}"/>
            </a:ext>
          </a:extLst>
        </xdr:cNvPr>
        <xdr:cNvCxnSpPr/>
      </xdr:nvCxnSpPr>
      <xdr:spPr>
        <a:xfrm>
          <a:off x="11313583" y="168137416"/>
          <a:ext cx="582084" cy="12911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1743</xdr:row>
      <xdr:rowOff>52917</xdr:rowOff>
    </xdr:from>
    <xdr:to>
      <xdr:col>15</xdr:col>
      <xdr:colOff>603250</xdr:colOff>
      <xdr:row>1745</xdr:row>
      <xdr:rowOff>148167</xdr:rowOff>
    </xdr:to>
    <xdr:cxnSp macro="">
      <xdr:nvCxnSpPr>
        <xdr:cNvPr id="3923" name="Straight Arrow Connector 3922">
          <a:extLst>
            <a:ext uri="{FF2B5EF4-FFF2-40B4-BE49-F238E27FC236}">
              <a16:creationId xmlns:a16="http://schemas.microsoft.com/office/drawing/2014/main" id="{00000000-0008-0000-1200-0000530F0000}"/>
            </a:ext>
          </a:extLst>
        </xdr:cNvPr>
        <xdr:cNvCxnSpPr/>
      </xdr:nvCxnSpPr>
      <xdr:spPr>
        <a:xfrm flipV="1">
          <a:off x="11324166" y="1619779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10584</xdr:colOff>
      <xdr:row>1778</xdr:row>
      <xdr:rowOff>42333</xdr:rowOff>
    </xdr:from>
    <xdr:to>
      <xdr:col>11</xdr:col>
      <xdr:colOff>603250</xdr:colOff>
      <xdr:row>1790</xdr:row>
      <xdr:rowOff>10583</xdr:rowOff>
    </xdr:to>
    <xdr:cxnSp macro="">
      <xdr:nvCxnSpPr>
        <xdr:cNvPr id="3924" name="Straight Arrow Connector 3923">
          <a:extLst>
            <a:ext uri="{FF2B5EF4-FFF2-40B4-BE49-F238E27FC236}">
              <a16:creationId xmlns:a16="http://schemas.microsoft.com/office/drawing/2014/main" id="{00000000-0008-0000-1200-0000540F0000}"/>
            </a:ext>
          </a:extLst>
        </xdr:cNvPr>
        <xdr:cNvCxnSpPr/>
      </xdr:nvCxnSpPr>
      <xdr:spPr>
        <a:xfrm>
          <a:off x="7926917" y="168634833"/>
          <a:ext cx="592666" cy="2444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603250</xdr:colOff>
      <xdr:row>1768</xdr:row>
      <xdr:rowOff>21167</xdr:rowOff>
    </xdr:from>
    <xdr:to>
      <xdr:col>13</xdr:col>
      <xdr:colOff>592667</xdr:colOff>
      <xdr:row>1770</xdr:row>
      <xdr:rowOff>0</xdr:rowOff>
    </xdr:to>
    <xdr:cxnSp macro="">
      <xdr:nvCxnSpPr>
        <xdr:cNvPr id="3925" name="Straight Arrow Connector 3924">
          <a:extLst>
            <a:ext uri="{FF2B5EF4-FFF2-40B4-BE49-F238E27FC236}">
              <a16:creationId xmlns:a16="http://schemas.microsoft.com/office/drawing/2014/main" id="{00000000-0008-0000-1200-0000550F0000}"/>
            </a:ext>
          </a:extLst>
        </xdr:cNvPr>
        <xdr:cNvCxnSpPr/>
      </xdr:nvCxnSpPr>
      <xdr:spPr>
        <a:xfrm flipV="1">
          <a:off x="9133417" y="166708667"/>
          <a:ext cx="984250" cy="3598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592666</xdr:colOff>
      <xdr:row>1773</xdr:row>
      <xdr:rowOff>21166</xdr:rowOff>
    </xdr:from>
    <xdr:to>
      <xdr:col>13</xdr:col>
      <xdr:colOff>592667</xdr:colOff>
      <xdr:row>1774</xdr:row>
      <xdr:rowOff>169334</xdr:rowOff>
    </xdr:to>
    <xdr:cxnSp macro="">
      <xdr:nvCxnSpPr>
        <xdr:cNvPr id="3926" name="Straight Arrow Connector 3925">
          <a:extLst>
            <a:ext uri="{FF2B5EF4-FFF2-40B4-BE49-F238E27FC236}">
              <a16:creationId xmlns:a16="http://schemas.microsoft.com/office/drawing/2014/main" id="{00000000-0008-0000-1200-0000560F0000}"/>
            </a:ext>
          </a:extLst>
        </xdr:cNvPr>
        <xdr:cNvCxnSpPr/>
      </xdr:nvCxnSpPr>
      <xdr:spPr>
        <a:xfrm>
          <a:off x="9122833" y="167661166"/>
          <a:ext cx="994834" cy="3386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1788</xdr:row>
      <xdr:rowOff>21167</xdr:rowOff>
    </xdr:from>
    <xdr:to>
      <xdr:col>13</xdr:col>
      <xdr:colOff>592667</xdr:colOff>
      <xdr:row>1790</xdr:row>
      <xdr:rowOff>63500</xdr:rowOff>
    </xdr:to>
    <xdr:cxnSp macro="">
      <xdr:nvCxnSpPr>
        <xdr:cNvPr id="3927" name="Straight Arrow Connector 3926">
          <a:extLst>
            <a:ext uri="{FF2B5EF4-FFF2-40B4-BE49-F238E27FC236}">
              <a16:creationId xmlns:a16="http://schemas.microsoft.com/office/drawing/2014/main" id="{00000000-0008-0000-1200-0000570F0000}"/>
            </a:ext>
          </a:extLst>
        </xdr:cNvPr>
        <xdr:cNvCxnSpPr/>
      </xdr:nvCxnSpPr>
      <xdr:spPr>
        <a:xfrm flipV="1">
          <a:off x="9525000" y="170709167"/>
          <a:ext cx="5926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10583</xdr:colOff>
      <xdr:row>1793</xdr:row>
      <xdr:rowOff>0</xdr:rowOff>
    </xdr:from>
    <xdr:to>
      <xdr:col>14</xdr:col>
      <xdr:colOff>10584</xdr:colOff>
      <xdr:row>1801</xdr:row>
      <xdr:rowOff>148167</xdr:rowOff>
    </xdr:to>
    <xdr:cxnSp macro="">
      <xdr:nvCxnSpPr>
        <xdr:cNvPr id="3928" name="Straight Arrow Connector 3927">
          <a:extLst>
            <a:ext uri="{FF2B5EF4-FFF2-40B4-BE49-F238E27FC236}">
              <a16:creationId xmlns:a16="http://schemas.microsoft.com/office/drawing/2014/main" id="{00000000-0008-0000-1200-0000580F0000}"/>
            </a:ext>
          </a:extLst>
        </xdr:cNvPr>
        <xdr:cNvCxnSpPr/>
      </xdr:nvCxnSpPr>
      <xdr:spPr>
        <a:xfrm>
          <a:off x="9535583" y="171640500"/>
          <a:ext cx="613834" cy="16721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52916</xdr:colOff>
      <xdr:row>1764</xdr:row>
      <xdr:rowOff>95250</xdr:rowOff>
    </xdr:from>
    <xdr:to>
      <xdr:col>15</xdr:col>
      <xdr:colOff>582083</xdr:colOff>
      <xdr:row>1766</xdr:row>
      <xdr:rowOff>137583</xdr:rowOff>
    </xdr:to>
    <xdr:cxnSp macro="">
      <xdr:nvCxnSpPr>
        <xdr:cNvPr id="3929" name="Straight Arrow Connector 3928">
          <a:extLst>
            <a:ext uri="{FF2B5EF4-FFF2-40B4-BE49-F238E27FC236}">
              <a16:creationId xmlns:a16="http://schemas.microsoft.com/office/drawing/2014/main" id="{00000000-0008-0000-1200-0000590F0000}"/>
            </a:ext>
          </a:extLst>
        </xdr:cNvPr>
        <xdr:cNvCxnSpPr/>
      </xdr:nvCxnSpPr>
      <xdr:spPr>
        <a:xfrm>
          <a:off x="11334749" y="166020750"/>
          <a:ext cx="529167" cy="423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1773</xdr:row>
      <xdr:rowOff>52916</xdr:rowOff>
    </xdr:from>
    <xdr:to>
      <xdr:col>16</xdr:col>
      <xdr:colOff>0</xdr:colOff>
      <xdr:row>1775</xdr:row>
      <xdr:rowOff>0</xdr:rowOff>
    </xdr:to>
    <xdr:cxnSp macro="">
      <xdr:nvCxnSpPr>
        <xdr:cNvPr id="3930" name="Straight Arrow Connector 3929">
          <a:extLst>
            <a:ext uri="{FF2B5EF4-FFF2-40B4-BE49-F238E27FC236}">
              <a16:creationId xmlns:a16="http://schemas.microsoft.com/office/drawing/2014/main" id="{00000000-0008-0000-1200-00005A0F0000}"/>
            </a:ext>
          </a:extLst>
        </xdr:cNvPr>
        <xdr:cNvCxnSpPr/>
      </xdr:nvCxnSpPr>
      <xdr:spPr>
        <a:xfrm flipV="1">
          <a:off x="11281833" y="167692916"/>
          <a:ext cx="613834" cy="3280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21167</xdr:rowOff>
    </xdr:from>
    <xdr:to>
      <xdr:col>15</xdr:col>
      <xdr:colOff>592666</xdr:colOff>
      <xdr:row>1776</xdr:row>
      <xdr:rowOff>84667</xdr:rowOff>
    </xdr:to>
    <xdr:cxnSp macro="">
      <xdr:nvCxnSpPr>
        <xdr:cNvPr id="3931" name="Straight Arrow Connector 3930">
          <a:extLst>
            <a:ext uri="{FF2B5EF4-FFF2-40B4-BE49-F238E27FC236}">
              <a16:creationId xmlns:a16="http://schemas.microsoft.com/office/drawing/2014/main" id="{00000000-0008-0000-1200-00005B0F0000}"/>
            </a:ext>
          </a:extLst>
        </xdr:cNvPr>
        <xdr:cNvCxnSpPr/>
      </xdr:nvCxnSpPr>
      <xdr:spPr>
        <a:xfrm>
          <a:off x="11271250" y="168042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1775</xdr:row>
      <xdr:rowOff>0</xdr:rowOff>
    </xdr:from>
    <xdr:to>
      <xdr:col>16</xdr:col>
      <xdr:colOff>0</xdr:colOff>
      <xdr:row>1779</xdr:row>
      <xdr:rowOff>42334</xdr:rowOff>
    </xdr:to>
    <xdr:cxnSp macro="">
      <xdr:nvCxnSpPr>
        <xdr:cNvPr id="3932" name="Straight Arrow Connector 3931">
          <a:extLst>
            <a:ext uri="{FF2B5EF4-FFF2-40B4-BE49-F238E27FC236}">
              <a16:creationId xmlns:a16="http://schemas.microsoft.com/office/drawing/2014/main" id="{00000000-0008-0000-1200-00005C0F0000}"/>
            </a:ext>
          </a:extLst>
        </xdr:cNvPr>
        <xdr:cNvCxnSpPr/>
      </xdr:nvCxnSpPr>
      <xdr:spPr>
        <a:xfrm>
          <a:off x="11271250" y="168021000"/>
          <a:ext cx="624417" cy="804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1786</xdr:row>
      <xdr:rowOff>0</xdr:rowOff>
    </xdr:from>
    <xdr:to>
      <xdr:col>15</xdr:col>
      <xdr:colOff>603250</xdr:colOff>
      <xdr:row>1788</xdr:row>
      <xdr:rowOff>1</xdr:rowOff>
    </xdr:to>
    <xdr:cxnSp macro="">
      <xdr:nvCxnSpPr>
        <xdr:cNvPr id="3933" name="Straight Arrow Connector 3932">
          <a:extLst>
            <a:ext uri="{FF2B5EF4-FFF2-40B4-BE49-F238E27FC236}">
              <a16:creationId xmlns:a16="http://schemas.microsoft.com/office/drawing/2014/main" id="{00000000-0008-0000-1200-00005D0F0000}"/>
            </a:ext>
          </a:extLst>
        </xdr:cNvPr>
        <xdr:cNvCxnSpPr/>
      </xdr:nvCxnSpPr>
      <xdr:spPr>
        <a:xfrm flipV="1">
          <a:off x="11271250" y="170307000"/>
          <a:ext cx="613833" cy="381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1788</xdr:row>
      <xdr:rowOff>10584</xdr:rowOff>
    </xdr:from>
    <xdr:to>
      <xdr:col>15</xdr:col>
      <xdr:colOff>592666</xdr:colOff>
      <xdr:row>1789</xdr:row>
      <xdr:rowOff>95250</xdr:rowOff>
    </xdr:to>
    <xdr:cxnSp macro="">
      <xdr:nvCxnSpPr>
        <xdr:cNvPr id="3934" name="Straight Arrow Connector 3933">
          <a:extLst>
            <a:ext uri="{FF2B5EF4-FFF2-40B4-BE49-F238E27FC236}">
              <a16:creationId xmlns:a16="http://schemas.microsoft.com/office/drawing/2014/main" id="{00000000-0008-0000-1200-00005E0F0000}"/>
            </a:ext>
          </a:extLst>
        </xdr:cNvPr>
        <xdr:cNvCxnSpPr/>
      </xdr:nvCxnSpPr>
      <xdr:spPr>
        <a:xfrm>
          <a:off x="11313583" y="170698584"/>
          <a:ext cx="560916" cy="2751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10583</xdr:colOff>
      <xdr:row>1788</xdr:row>
      <xdr:rowOff>10584</xdr:rowOff>
    </xdr:from>
    <xdr:to>
      <xdr:col>15</xdr:col>
      <xdr:colOff>560916</xdr:colOff>
      <xdr:row>1792</xdr:row>
      <xdr:rowOff>52917</xdr:rowOff>
    </xdr:to>
    <xdr:cxnSp macro="">
      <xdr:nvCxnSpPr>
        <xdr:cNvPr id="3935" name="Straight Arrow Connector 3934">
          <a:extLst>
            <a:ext uri="{FF2B5EF4-FFF2-40B4-BE49-F238E27FC236}">
              <a16:creationId xmlns:a16="http://schemas.microsoft.com/office/drawing/2014/main" id="{00000000-0008-0000-1200-00005F0F0000}"/>
            </a:ext>
          </a:extLst>
        </xdr:cNvPr>
        <xdr:cNvCxnSpPr/>
      </xdr:nvCxnSpPr>
      <xdr:spPr>
        <a:xfrm>
          <a:off x="11292416" y="170698584"/>
          <a:ext cx="550333" cy="8043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936" name="Straight Arrow Connector 3935">
          <a:extLst>
            <a:ext uri="{FF2B5EF4-FFF2-40B4-BE49-F238E27FC236}">
              <a16:creationId xmlns:a16="http://schemas.microsoft.com/office/drawing/2014/main" id="{00000000-0008-0000-1200-000060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21166</xdr:colOff>
      <xdr:row>1802</xdr:row>
      <xdr:rowOff>0</xdr:rowOff>
    </xdr:from>
    <xdr:to>
      <xdr:col>16</xdr:col>
      <xdr:colOff>0</xdr:colOff>
      <xdr:row>1802</xdr:row>
      <xdr:rowOff>42334</xdr:rowOff>
    </xdr:to>
    <xdr:cxnSp macro="">
      <xdr:nvCxnSpPr>
        <xdr:cNvPr id="3937" name="Straight Arrow Connector 3936">
          <a:extLst>
            <a:ext uri="{FF2B5EF4-FFF2-40B4-BE49-F238E27FC236}">
              <a16:creationId xmlns:a16="http://schemas.microsoft.com/office/drawing/2014/main" id="{00000000-0008-0000-1200-0000610F0000}"/>
            </a:ext>
          </a:extLst>
        </xdr:cNvPr>
        <xdr:cNvCxnSpPr/>
      </xdr:nvCxnSpPr>
      <xdr:spPr>
        <a:xfrm>
          <a:off x="11302999" y="173355000"/>
          <a:ext cx="592668" cy="4233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74083</xdr:colOff>
      <xdr:row>1802</xdr:row>
      <xdr:rowOff>21166</xdr:rowOff>
    </xdr:from>
    <xdr:to>
      <xdr:col>15</xdr:col>
      <xdr:colOff>560916</xdr:colOff>
      <xdr:row>1805</xdr:row>
      <xdr:rowOff>84667</xdr:rowOff>
    </xdr:to>
    <xdr:cxnSp macro="">
      <xdr:nvCxnSpPr>
        <xdr:cNvPr id="3938" name="Straight Arrow Connector 3937">
          <a:extLst>
            <a:ext uri="{FF2B5EF4-FFF2-40B4-BE49-F238E27FC236}">
              <a16:creationId xmlns:a16="http://schemas.microsoft.com/office/drawing/2014/main" id="{00000000-0008-0000-1200-0000620F0000}"/>
            </a:ext>
          </a:extLst>
        </xdr:cNvPr>
        <xdr:cNvCxnSpPr/>
      </xdr:nvCxnSpPr>
      <xdr:spPr>
        <a:xfrm>
          <a:off x="11355916" y="173376166"/>
          <a:ext cx="486833" cy="6350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xdr:colOff>
      <xdr:row>1802</xdr:row>
      <xdr:rowOff>52916</xdr:rowOff>
    </xdr:from>
    <xdr:to>
      <xdr:col>15</xdr:col>
      <xdr:colOff>592666</xdr:colOff>
      <xdr:row>1808</xdr:row>
      <xdr:rowOff>63501</xdr:rowOff>
    </xdr:to>
    <xdr:cxnSp macro="">
      <xdr:nvCxnSpPr>
        <xdr:cNvPr id="3939" name="Straight Arrow Connector 3938">
          <a:extLst>
            <a:ext uri="{FF2B5EF4-FFF2-40B4-BE49-F238E27FC236}">
              <a16:creationId xmlns:a16="http://schemas.microsoft.com/office/drawing/2014/main" id="{00000000-0008-0000-1200-0000630F0000}"/>
            </a:ext>
          </a:extLst>
        </xdr:cNvPr>
        <xdr:cNvCxnSpPr/>
      </xdr:nvCxnSpPr>
      <xdr:spPr>
        <a:xfrm>
          <a:off x="11313583" y="173407916"/>
          <a:ext cx="560916" cy="11535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1799</xdr:row>
      <xdr:rowOff>52917</xdr:rowOff>
    </xdr:from>
    <xdr:to>
      <xdr:col>15</xdr:col>
      <xdr:colOff>603250</xdr:colOff>
      <xdr:row>1801</xdr:row>
      <xdr:rowOff>148167</xdr:rowOff>
    </xdr:to>
    <xdr:cxnSp macro="">
      <xdr:nvCxnSpPr>
        <xdr:cNvPr id="3940" name="Straight Arrow Connector 3939">
          <a:extLst>
            <a:ext uri="{FF2B5EF4-FFF2-40B4-BE49-F238E27FC236}">
              <a16:creationId xmlns:a16="http://schemas.microsoft.com/office/drawing/2014/main" id="{00000000-0008-0000-1200-0000640F0000}"/>
            </a:ext>
          </a:extLst>
        </xdr:cNvPr>
        <xdr:cNvCxnSpPr/>
      </xdr:nvCxnSpPr>
      <xdr:spPr>
        <a:xfrm flipV="1">
          <a:off x="11324166" y="172836417"/>
          <a:ext cx="56091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941" name="Straight Arrow Connector 3940">
          <a:extLst>
            <a:ext uri="{FF2B5EF4-FFF2-40B4-BE49-F238E27FC236}">
              <a16:creationId xmlns:a16="http://schemas.microsoft.com/office/drawing/2014/main" id="{00000000-0008-0000-1200-000065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942" name="Straight Arrow Connector 3941">
          <a:extLst>
            <a:ext uri="{FF2B5EF4-FFF2-40B4-BE49-F238E27FC236}">
              <a16:creationId xmlns:a16="http://schemas.microsoft.com/office/drawing/2014/main" id="{00000000-0008-0000-1200-000066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3943" name="Straight Arrow Connector 3942">
          <a:extLst>
            <a:ext uri="{FF2B5EF4-FFF2-40B4-BE49-F238E27FC236}">
              <a16:creationId xmlns:a16="http://schemas.microsoft.com/office/drawing/2014/main" id="{00000000-0008-0000-1200-000067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3944" name="Straight Arrow Connector 3943">
          <a:extLst>
            <a:ext uri="{FF2B5EF4-FFF2-40B4-BE49-F238E27FC236}">
              <a16:creationId xmlns:a16="http://schemas.microsoft.com/office/drawing/2014/main" id="{00000000-0008-0000-1200-000068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1132417</xdr:colOff>
      <xdr:row>1802</xdr:row>
      <xdr:rowOff>21167</xdr:rowOff>
    </xdr:from>
    <xdr:to>
      <xdr:col>15</xdr:col>
      <xdr:colOff>592666</xdr:colOff>
      <xdr:row>1803</xdr:row>
      <xdr:rowOff>84667</xdr:rowOff>
    </xdr:to>
    <xdr:cxnSp macro="">
      <xdr:nvCxnSpPr>
        <xdr:cNvPr id="3945" name="Straight Arrow Connector 3944">
          <a:extLst>
            <a:ext uri="{FF2B5EF4-FFF2-40B4-BE49-F238E27FC236}">
              <a16:creationId xmlns:a16="http://schemas.microsoft.com/office/drawing/2014/main" id="{00000000-0008-0000-1200-0000690F0000}"/>
            </a:ext>
          </a:extLst>
        </xdr:cNvPr>
        <xdr:cNvCxnSpPr/>
      </xdr:nvCxnSpPr>
      <xdr:spPr>
        <a:xfrm>
          <a:off x="11271250" y="173376167"/>
          <a:ext cx="603249"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3946" name="Straight Arrow Connector 3945">
          <a:extLst>
            <a:ext uri="{FF2B5EF4-FFF2-40B4-BE49-F238E27FC236}">
              <a16:creationId xmlns:a16="http://schemas.microsoft.com/office/drawing/2014/main" id="{00000000-0008-0000-1200-00006A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947" name="Straight Arrow Connector 3946">
          <a:extLst>
            <a:ext uri="{FF2B5EF4-FFF2-40B4-BE49-F238E27FC236}">
              <a16:creationId xmlns:a16="http://schemas.microsoft.com/office/drawing/2014/main" id="{00000000-0008-0000-1200-00006B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948" name="Straight Arrow Connector 3947">
          <a:extLst>
            <a:ext uri="{FF2B5EF4-FFF2-40B4-BE49-F238E27FC236}">
              <a16:creationId xmlns:a16="http://schemas.microsoft.com/office/drawing/2014/main" id="{00000000-0008-0000-1200-00006C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949" name="Straight Arrow Connector 3948">
          <a:extLst>
            <a:ext uri="{FF2B5EF4-FFF2-40B4-BE49-F238E27FC236}">
              <a16:creationId xmlns:a16="http://schemas.microsoft.com/office/drawing/2014/main" id="{00000000-0008-0000-1200-00006D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3950" name="Straight Arrow Connector 3949">
          <a:extLst>
            <a:ext uri="{FF2B5EF4-FFF2-40B4-BE49-F238E27FC236}">
              <a16:creationId xmlns:a16="http://schemas.microsoft.com/office/drawing/2014/main" id="{00000000-0008-0000-1200-00006E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3951" name="Straight Arrow Connector 3950">
          <a:extLst>
            <a:ext uri="{FF2B5EF4-FFF2-40B4-BE49-F238E27FC236}">
              <a16:creationId xmlns:a16="http://schemas.microsoft.com/office/drawing/2014/main" id="{00000000-0008-0000-1200-00006F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1409</xdr:row>
      <xdr:rowOff>31750</xdr:rowOff>
    </xdr:from>
    <xdr:to>
      <xdr:col>16</xdr:col>
      <xdr:colOff>42334</xdr:colOff>
      <xdr:row>1416</xdr:row>
      <xdr:rowOff>63501</xdr:rowOff>
    </xdr:to>
    <xdr:cxnSp macro="">
      <xdr:nvCxnSpPr>
        <xdr:cNvPr id="3952" name="Straight Arrow Connector 3951">
          <a:extLst>
            <a:ext uri="{FF2B5EF4-FFF2-40B4-BE49-F238E27FC236}">
              <a16:creationId xmlns:a16="http://schemas.microsoft.com/office/drawing/2014/main" id="{00000000-0008-0000-1200-0000700F0000}"/>
            </a:ext>
          </a:extLst>
        </xdr:cNvPr>
        <xdr:cNvCxnSpPr/>
      </xdr:nvCxnSpPr>
      <xdr:spPr>
        <a:xfrm>
          <a:off x="11281833" y="9718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1409</xdr:row>
      <xdr:rowOff>31750</xdr:rowOff>
    </xdr:from>
    <xdr:to>
      <xdr:col>16</xdr:col>
      <xdr:colOff>42334</xdr:colOff>
      <xdr:row>1416</xdr:row>
      <xdr:rowOff>63501</xdr:rowOff>
    </xdr:to>
    <xdr:cxnSp macro="">
      <xdr:nvCxnSpPr>
        <xdr:cNvPr id="3953" name="Straight Arrow Connector 3952">
          <a:extLst>
            <a:ext uri="{FF2B5EF4-FFF2-40B4-BE49-F238E27FC236}">
              <a16:creationId xmlns:a16="http://schemas.microsoft.com/office/drawing/2014/main" id="{00000000-0008-0000-1200-0000710F0000}"/>
            </a:ext>
          </a:extLst>
        </xdr:cNvPr>
        <xdr:cNvCxnSpPr/>
      </xdr:nvCxnSpPr>
      <xdr:spPr>
        <a:xfrm>
          <a:off x="11281833" y="9718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1439</xdr:row>
      <xdr:rowOff>31750</xdr:rowOff>
    </xdr:from>
    <xdr:to>
      <xdr:col>16</xdr:col>
      <xdr:colOff>42334</xdr:colOff>
      <xdr:row>1446</xdr:row>
      <xdr:rowOff>63501</xdr:rowOff>
    </xdr:to>
    <xdr:cxnSp macro="">
      <xdr:nvCxnSpPr>
        <xdr:cNvPr id="3954" name="Straight Arrow Connector 3953">
          <a:extLst>
            <a:ext uri="{FF2B5EF4-FFF2-40B4-BE49-F238E27FC236}">
              <a16:creationId xmlns:a16="http://schemas.microsoft.com/office/drawing/2014/main" id="{00000000-0008-0000-1200-0000720F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3955" name="Straight Arrow Connector 3954">
          <a:extLst>
            <a:ext uri="{FF2B5EF4-FFF2-40B4-BE49-F238E27FC236}">
              <a16:creationId xmlns:a16="http://schemas.microsoft.com/office/drawing/2014/main" id="{00000000-0008-0000-1200-0000730F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1439</xdr:row>
      <xdr:rowOff>31750</xdr:rowOff>
    </xdr:from>
    <xdr:to>
      <xdr:col>16</xdr:col>
      <xdr:colOff>42334</xdr:colOff>
      <xdr:row>1446</xdr:row>
      <xdr:rowOff>63501</xdr:rowOff>
    </xdr:to>
    <xdr:cxnSp macro="">
      <xdr:nvCxnSpPr>
        <xdr:cNvPr id="3956" name="Straight Arrow Connector 3955">
          <a:extLst>
            <a:ext uri="{FF2B5EF4-FFF2-40B4-BE49-F238E27FC236}">
              <a16:creationId xmlns:a16="http://schemas.microsoft.com/office/drawing/2014/main" id="{00000000-0008-0000-1200-0000740F0000}"/>
            </a:ext>
          </a:extLst>
        </xdr:cNvPr>
        <xdr:cNvCxnSpPr/>
      </xdr:nvCxnSpPr>
      <xdr:spPr>
        <a:xfrm>
          <a:off x="11281833" y="10290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3957" name="Straight Arrow Connector 3956">
          <a:extLst>
            <a:ext uri="{FF2B5EF4-FFF2-40B4-BE49-F238E27FC236}">
              <a16:creationId xmlns:a16="http://schemas.microsoft.com/office/drawing/2014/main" id="{00000000-0008-0000-1200-0000750F0000}"/>
            </a:ext>
          </a:extLst>
        </xdr:cNvPr>
        <xdr:cNvCxnSpPr/>
      </xdr:nvCxnSpPr>
      <xdr:spPr>
        <a:xfrm>
          <a:off x="11324166" y="10556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960" name="Straight Arrow Connector 3959">
          <a:extLst>
            <a:ext uri="{FF2B5EF4-FFF2-40B4-BE49-F238E27FC236}">
              <a16:creationId xmlns:a16="http://schemas.microsoft.com/office/drawing/2014/main" id="{00000000-0008-0000-1200-000078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961" name="Straight Arrow Connector 3960">
          <a:extLst>
            <a:ext uri="{FF2B5EF4-FFF2-40B4-BE49-F238E27FC236}">
              <a16:creationId xmlns:a16="http://schemas.microsoft.com/office/drawing/2014/main" id="{00000000-0008-0000-1200-000079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962" name="Straight Arrow Connector 3961">
          <a:extLst>
            <a:ext uri="{FF2B5EF4-FFF2-40B4-BE49-F238E27FC236}">
              <a16:creationId xmlns:a16="http://schemas.microsoft.com/office/drawing/2014/main" id="{00000000-0008-0000-1200-00007A0F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963" name="Straight Arrow Connector 3962">
          <a:extLst>
            <a:ext uri="{FF2B5EF4-FFF2-40B4-BE49-F238E27FC236}">
              <a16:creationId xmlns:a16="http://schemas.microsoft.com/office/drawing/2014/main" id="{00000000-0008-0000-1200-00007B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964" name="Straight Arrow Connector 3963">
          <a:extLst>
            <a:ext uri="{FF2B5EF4-FFF2-40B4-BE49-F238E27FC236}">
              <a16:creationId xmlns:a16="http://schemas.microsoft.com/office/drawing/2014/main" id="{00000000-0008-0000-1200-00007C0F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965" name="Straight Arrow Connector 3964">
          <a:extLst>
            <a:ext uri="{FF2B5EF4-FFF2-40B4-BE49-F238E27FC236}">
              <a16:creationId xmlns:a16="http://schemas.microsoft.com/office/drawing/2014/main" id="{00000000-0008-0000-1200-00007D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3966" name="Straight Arrow Connector 3965">
          <a:extLst>
            <a:ext uri="{FF2B5EF4-FFF2-40B4-BE49-F238E27FC236}">
              <a16:creationId xmlns:a16="http://schemas.microsoft.com/office/drawing/2014/main" id="{00000000-0008-0000-1200-00007E0F0000}"/>
            </a:ext>
          </a:extLst>
        </xdr:cNvPr>
        <xdr:cNvCxnSpPr/>
      </xdr:nvCxnSpPr>
      <xdr:spPr>
        <a:xfrm>
          <a:off x="11281833" y="11376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3967" name="Straight Arrow Connector 3966">
          <a:extLst>
            <a:ext uri="{FF2B5EF4-FFF2-40B4-BE49-F238E27FC236}">
              <a16:creationId xmlns:a16="http://schemas.microsoft.com/office/drawing/2014/main" id="{00000000-0008-0000-1200-00007F0F0000}"/>
            </a:ext>
          </a:extLst>
        </xdr:cNvPr>
        <xdr:cNvCxnSpPr/>
      </xdr:nvCxnSpPr>
      <xdr:spPr>
        <a:xfrm>
          <a:off x="11324166" y="11642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3968" name="Straight Arrow Connector 3967">
          <a:extLst>
            <a:ext uri="{FF2B5EF4-FFF2-40B4-BE49-F238E27FC236}">
              <a16:creationId xmlns:a16="http://schemas.microsoft.com/office/drawing/2014/main" id="{00000000-0008-0000-1200-0000800F0000}"/>
            </a:ext>
          </a:extLst>
        </xdr:cNvPr>
        <xdr:cNvCxnSpPr/>
      </xdr:nvCxnSpPr>
      <xdr:spPr>
        <a:xfrm>
          <a:off x="11281833" y="11890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3969" name="Straight Arrow Connector 3968">
          <a:extLst>
            <a:ext uri="{FF2B5EF4-FFF2-40B4-BE49-F238E27FC236}">
              <a16:creationId xmlns:a16="http://schemas.microsoft.com/office/drawing/2014/main" id="{00000000-0008-0000-1200-0000810F0000}"/>
            </a:ext>
          </a:extLst>
        </xdr:cNvPr>
        <xdr:cNvCxnSpPr/>
      </xdr:nvCxnSpPr>
      <xdr:spPr>
        <a:xfrm>
          <a:off x="11281833" y="11890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70" name="Straight Arrow Connector 3969">
          <a:extLst>
            <a:ext uri="{FF2B5EF4-FFF2-40B4-BE49-F238E27FC236}">
              <a16:creationId xmlns:a16="http://schemas.microsoft.com/office/drawing/2014/main" id="{00000000-0008-0000-1200-000082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1" name="Straight Arrow Connector 3970">
          <a:extLst>
            <a:ext uri="{FF2B5EF4-FFF2-40B4-BE49-F238E27FC236}">
              <a16:creationId xmlns:a16="http://schemas.microsoft.com/office/drawing/2014/main" id="{00000000-0008-0000-1200-000083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72" name="Straight Arrow Connector 3971">
          <a:extLst>
            <a:ext uri="{FF2B5EF4-FFF2-40B4-BE49-F238E27FC236}">
              <a16:creationId xmlns:a16="http://schemas.microsoft.com/office/drawing/2014/main" id="{00000000-0008-0000-1200-000084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3" name="Straight Arrow Connector 3972">
          <a:extLst>
            <a:ext uri="{FF2B5EF4-FFF2-40B4-BE49-F238E27FC236}">
              <a16:creationId xmlns:a16="http://schemas.microsoft.com/office/drawing/2014/main" id="{00000000-0008-0000-1200-000085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74" name="Straight Arrow Connector 3973">
          <a:extLst>
            <a:ext uri="{FF2B5EF4-FFF2-40B4-BE49-F238E27FC236}">
              <a16:creationId xmlns:a16="http://schemas.microsoft.com/office/drawing/2014/main" id="{00000000-0008-0000-1200-000086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5" name="Straight Arrow Connector 3974">
          <a:extLst>
            <a:ext uri="{FF2B5EF4-FFF2-40B4-BE49-F238E27FC236}">
              <a16:creationId xmlns:a16="http://schemas.microsoft.com/office/drawing/2014/main" id="{00000000-0008-0000-1200-000087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6" name="Straight Arrow Connector 3975">
          <a:extLst>
            <a:ext uri="{FF2B5EF4-FFF2-40B4-BE49-F238E27FC236}">
              <a16:creationId xmlns:a16="http://schemas.microsoft.com/office/drawing/2014/main" id="{00000000-0008-0000-1200-000088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7" name="Straight Arrow Connector 3976">
          <a:extLst>
            <a:ext uri="{FF2B5EF4-FFF2-40B4-BE49-F238E27FC236}">
              <a16:creationId xmlns:a16="http://schemas.microsoft.com/office/drawing/2014/main" id="{00000000-0008-0000-1200-000089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78" name="Straight Arrow Connector 3977">
          <a:extLst>
            <a:ext uri="{FF2B5EF4-FFF2-40B4-BE49-F238E27FC236}">
              <a16:creationId xmlns:a16="http://schemas.microsoft.com/office/drawing/2014/main" id="{00000000-0008-0000-1200-00008A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79" name="Straight Arrow Connector 3978">
          <a:extLst>
            <a:ext uri="{FF2B5EF4-FFF2-40B4-BE49-F238E27FC236}">
              <a16:creationId xmlns:a16="http://schemas.microsoft.com/office/drawing/2014/main" id="{00000000-0008-0000-1200-00008B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80" name="Straight Arrow Connector 3979">
          <a:extLst>
            <a:ext uri="{FF2B5EF4-FFF2-40B4-BE49-F238E27FC236}">
              <a16:creationId xmlns:a16="http://schemas.microsoft.com/office/drawing/2014/main" id="{00000000-0008-0000-1200-00008C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81" name="Straight Arrow Connector 3980">
          <a:extLst>
            <a:ext uri="{FF2B5EF4-FFF2-40B4-BE49-F238E27FC236}">
              <a16:creationId xmlns:a16="http://schemas.microsoft.com/office/drawing/2014/main" id="{00000000-0008-0000-1200-00008D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3982" name="Straight Arrow Connector 3981">
          <a:extLst>
            <a:ext uri="{FF2B5EF4-FFF2-40B4-BE49-F238E27FC236}">
              <a16:creationId xmlns:a16="http://schemas.microsoft.com/office/drawing/2014/main" id="{00000000-0008-0000-1200-00008E0F0000}"/>
            </a:ext>
          </a:extLst>
        </xdr:cNvPr>
        <xdr:cNvCxnSpPr/>
      </xdr:nvCxnSpPr>
      <xdr:spPr>
        <a:xfrm>
          <a:off x="11281833" y="12461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3983" name="Straight Arrow Connector 3982">
          <a:extLst>
            <a:ext uri="{FF2B5EF4-FFF2-40B4-BE49-F238E27FC236}">
              <a16:creationId xmlns:a16="http://schemas.microsoft.com/office/drawing/2014/main" id="{00000000-0008-0000-1200-00008F0F0000}"/>
            </a:ext>
          </a:extLst>
        </xdr:cNvPr>
        <xdr:cNvCxnSpPr/>
      </xdr:nvCxnSpPr>
      <xdr:spPr>
        <a:xfrm>
          <a:off x="11324166" y="12728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3984" name="Straight Arrow Connector 3983">
          <a:extLst>
            <a:ext uri="{FF2B5EF4-FFF2-40B4-BE49-F238E27FC236}">
              <a16:creationId xmlns:a16="http://schemas.microsoft.com/office/drawing/2014/main" id="{00000000-0008-0000-1200-0000900F0000}"/>
            </a:ext>
          </a:extLst>
        </xdr:cNvPr>
        <xdr:cNvCxnSpPr/>
      </xdr:nvCxnSpPr>
      <xdr:spPr>
        <a:xfrm>
          <a:off x="11281833" y="129762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3985" name="Straight Arrow Connector 3984">
          <a:extLst>
            <a:ext uri="{FF2B5EF4-FFF2-40B4-BE49-F238E27FC236}">
              <a16:creationId xmlns:a16="http://schemas.microsoft.com/office/drawing/2014/main" id="{00000000-0008-0000-1200-0000910F0000}"/>
            </a:ext>
          </a:extLst>
        </xdr:cNvPr>
        <xdr:cNvCxnSpPr/>
      </xdr:nvCxnSpPr>
      <xdr:spPr>
        <a:xfrm>
          <a:off x="11281833" y="129762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86" name="Straight Arrow Connector 3985">
          <a:extLst>
            <a:ext uri="{FF2B5EF4-FFF2-40B4-BE49-F238E27FC236}">
              <a16:creationId xmlns:a16="http://schemas.microsoft.com/office/drawing/2014/main" id="{00000000-0008-0000-1200-000092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87" name="Straight Arrow Connector 3986">
          <a:extLst>
            <a:ext uri="{FF2B5EF4-FFF2-40B4-BE49-F238E27FC236}">
              <a16:creationId xmlns:a16="http://schemas.microsoft.com/office/drawing/2014/main" id="{00000000-0008-0000-1200-000093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88" name="Straight Arrow Connector 3987">
          <a:extLst>
            <a:ext uri="{FF2B5EF4-FFF2-40B4-BE49-F238E27FC236}">
              <a16:creationId xmlns:a16="http://schemas.microsoft.com/office/drawing/2014/main" id="{00000000-0008-0000-1200-000094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989" name="Straight Arrow Connector 3988">
          <a:extLst>
            <a:ext uri="{FF2B5EF4-FFF2-40B4-BE49-F238E27FC236}">
              <a16:creationId xmlns:a16="http://schemas.microsoft.com/office/drawing/2014/main" id="{00000000-0008-0000-1200-000095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0" name="Straight Arrow Connector 3989">
          <a:extLst>
            <a:ext uri="{FF2B5EF4-FFF2-40B4-BE49-F238E27FC236}">
              <a16:creationId xmlns:a16="http://schemas.microsoft.com/office/drawing/2014/main" id="{00000000-0008-0000-1200-000096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991" name="Straight Arrow Connector 3990">
          <a:extLst>
            <a:ext uri="{FF2B5EF4-FFF2-40B4-BE49-F238E27FC236}">
              <a16:creationId xmlns:a16="http://schemas.microsoft.com/office/drawing/2014/main" id="{00000000-0008-0000-1200-000097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2" name="Straight Arrow Connector 3991">
          <a:extLst>
            <a:ext uri="{FF2B5EF4-FFF2-40B4-BE49-F238E27FC236}">
              <a16:creationId xmlns:a16="http://schemas.microsoft.com/office/drawing/2014/main" id="{00000000-0008-0000-1200-000098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993" name="Straight Arrow Connector 3992">
          <a:extLst>
            <a:ext uri="{FF2B5EF4-FFF2-40B4-BE49-F238E27FC236}">
              <a16:creationId xmlns:a16="http://schemas.microsoft.com/office/drawing/2014/main" id="{00000000-0008-0000-1200-000099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4" name="Straight Arrow Connector 3993">
          <a:extLst>
            <a:ext uri="{FF2B5EF4-FFF2-40B4-BE49-F238E27FC236}">
              <a16:creationId xmlns:a16="http://schemas.microsoft.com/office/drawing/2014/main" id="{00000000-0008-0000-1200-00009A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995" name="Straight Arrow Connector 3994">
          <a:extLst>
            <a:ext uri="{FF2B5EF4-FFF2-40B4-BE49-F238E27FC236}">
              <a16:creationId xmlns:a16="http://schemas.microsoft.com/office/drawing/2014/main" id="{00000000-0008-0000-1200-00009B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6" name="Straight Arrow Connector 3995">
          <a:extLst>
            <a:ext uri="{FF2B5EF4-FFF2-40B4-BE49-F238E27FC236}">
              <a16:creationId xmlns:a16="http://schemas.microsoft.com/office/drawing/2014/main" id="{00000000-0008-0000-1200-00009C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7" name="Straight Arrow Connector 3996">
          <a:extLst>
            <a:ext uri="{FF2B5EF4-FFF2-40B4-BE49-F238E27FC236}">
              <a16:creationId xmlns:a16="http://schemas.microsoft.com/office/drawing/2014/main" id="{00000000-0008-0000-1200-00009D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3998" name="Straight Arrow Connector 3997">
          <a:extLst>
            <a:ext uri="{FF2B5EF4-FFF2-40B4-BE49-F238E27FC236}">
              <a16:creationId xmlns:a16="http://schemas.microsoft.com/office/drawing/2014/main" id="{00000000-0008-0000-1200-00009E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3999" name="Straight Arrow Connector 3998">
          <a:extLst>
            <a:ext uri="{FF2B5EF4-FFF2-40B4-BE49-F238E27FC236}">
              <a16:creationId xmlns:a16="http://schemas.microsoft.com/office/drawing/2014/main" id="{00000000-0008-0000-1200-00009F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000" name="Straight Arrow Connector 3999">
          <a:extLst>
            <a:ext uri="{FF2B5EF4-FFF2-40B4-BE49-F238E27FC236}">
              <a16:creationId xmlns:a16="http://schemas.microsoft.com/office/drawing/2014/main" id="{00000000-0008-0000-1200-0000A0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001" name="Straight Arrow Connector 4000">
          <a:extLst>
            <a:ext uri="{FF2B5EF4-FFF2-40B4-BE49-F238E27FC236}">
              <a16:creationId xmlns:a16="http://schemas.microsoft.com/office/drawing/2014/main" id="{00000000-0008-0000-1200-0000A1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002" name="Straight Arrow Connector 4001">
          <a:extLst>
            <a:ext uri="{FF2B5EF4-FFF2-40B4-BE49-F238E27FC236}">
              <a16:creationId xmlns:a16="http://schemas.microsoft.com/office/drawing/2014/main" id="{00000000-0008-0000-1200-0000A2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003" name="Straight Arrow Connector 4002">
          <a:extLst>
            <a:ext uri="{FF2B5EF4-FFF2-40B4-BE49-F238E27FC236}">
              <a16:creationId xmlns:a16="http://schemas.microsoft.com/office/drawing/2014/main" id="{00000000-0008-0000-1200-0000A30F0000}"/>
            </a:ext>
          </a:extLst>
        </xdr:cNvPr>
        <xdr:cNvCxnSpPr/>
      </xdr:nvCxnSpPr>
      <xdr:spPr>
        <a:xfrm>
          <a:off x="11281833" y="13547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004" name="Straight Arrow Connector 4003">
          <a:extLst>
            <a:ext uri="{FF2B5EF4-FFF2-40B4-BE49-F238E27FC236}">
              <a16:creationId xmlns:a16="http://schemas.microsoft.com/office/drawing/2014/main" id="{00000000-0008-0000-1200-0000A40F0000}"/>
            </a:ext>
          </a:extLst>
        </xdr:cNvPr>
        <xdr:cNvCxnSpPr/>
      </xdr:nvCxnSpPr>
      <xdr:spPr>
        <a:xfrm>
          <a:off x="11324166" y="13814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005" name="Straight Arrow Connector 4004">
          <a:extLst>
            <a:ext uri="{FF2B5EF4-FFF2-40B4-BE49-F238E27FC236}">
              <a16:creationId xmlns:a16="http://schemas.microsoft.com/office/drawing/2014/main" id="{00000000-0008-0000-1200-0000A50F0000}"/>
            </a:ext>
          </a:extLst>
        </xdr:cNvPr>
        <xdr:cNvCxnSpPr/>
      </xdr:nvCxnSpPr>
      <xdr:spPr>
        <a:xfrm>
          <a:off x="11281833" y="1406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006" name="Straight Arrow Connector 4005">
          <a:extLst>
            <a:ext uri="{FF2B5EF4-FFF2-40B4-BE49-F238E27FC236}">
              <a16:creationId xmlns:a16="http://schemas.microsoft.com/office/drawing/2014/main" id="{00000000-0008-0000-1200-0000A60F0000}"/>
            </a:ext>
          </a:extLst>
        </xdr:cNvPr>
        <xdr:cNvCxnSpPr/>
      </xdr:nvCxnSpPr>
      <xdr:spPr>
        <a:xfrm>
          <a:off x="11281833" y="140620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07" name="Straight Arrow Connector 4006">
          <a:extLst>
            <a:ext uri="{FF2B5EF4-FFF2-40B4-BE49-F238E27FC236}">
              <a16:creationId xmlns:a16="http://schemas.microsoft.com/office/drawing/2014/main" id="{00000000-0008-0000-1200-0000A7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08" name="Straight Arrow Connector 4007">
          <a:extLst>
            <a:ext uri="{FF2B5EF4-FFF2-40B4-BE49-F238E27FC236}">
              <a16:creationId xmlns:a16="http://schemas.microsoft.com/office/drawing/2014/main" id="{00000000-0008-0000-1200-0000A8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09" name="Straight Arrow Connector 4008">
          <a:extLst>
            <a:ext uri="{FF2B5EF4-FFF2-40B4-BE49-F238E27FC236}">
              <a16:creationId xmlns:a16="http://schemas.microsoft.com/office/drawing/2014/main" id="{00000000-0008-0000-1200-0000A9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0" name="Straight Arrow Connector 4009">
          <a:extLst>
            <a:ext uri="{FF2B5EF4-FFF2-40B4-BE49-F238E27FC236}">
              <a16:creationId xmlns:a16="http://schemas.microsoft.com/office/drawing/2014/main" id="{00000000-0008-0000-1200-0000AA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1" name="Straight Arrow Connector 4010">
          <a:extLst>
            <a:ext uri="{FF2B5EF4-FFF2-40B4-BE49-F238E27FC236}">
              <a16:creationId xmlns:a16="http://schemas.microsoft.com/office/drawing/2014/main" id="{00000000-0008-0000-1200-0000AB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2" name="Straight Arrow Connector 4011">
          <a:extLst>
            <a:ext uri="{FF2B5EF4-FFF2-40B4-BE49-F238E27FC236}">
              <a16:creationId xmlns:a16="http://schemas.microsoft.com/office/drawing/2014/main" id="{00000000-0008-0000-1200-0000AC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13" name="Straight Arrow Connector 4012">
          <a:extLst>
            <a:ext uri="{FF2B5EF4-FFF2-40B4-BE49-F238E27FC236}">
              <a16:creationId xmlns:a16="http://schemas.microsoft.com/office/drawing/2014/main" id="{00000000-0008-0000-1200-0000AD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4" name="Straight Arrow Connector 4013">
          <a:extLst>
            <a:ext uri="{FF2B5EF4-FFF2-40B4-BE49-F238E27FC236}">
              <a16:creationId xmlns:a16="http://schemas.microsoft.com/office/drawing/2014/main" id="{00000000-0008-0000-1200-0000AE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5" name="Straight Arrow Connector 4014">
          <a:extLst>
            <a:ext uri="{FF2B5EF4-FFF2-40B4-BE49-F238E27FC236}">
              <a16:creationId xmlns:a16="http://schemas.microsoft.com/office/drawing/2014/main" id="{00000000-0008-0000-1200-0000AF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6" name="Straight Arrow Connector 4015">
          <a:extLst>
            <a:ext uri="{FF2B5EF4-FFF2-40B4-BE49-F238E27FC236}">
              <a16:creationId xmlns:a16="http://schemas.microsoft.com/office/drawing/2014/main" id="{00000000-0008-0000-1200-0000B0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7" name="Straight Arrow Connector 4016">
          <a:extLst>
            <a:ext uri="{FF2B5EF4-FFF2-40B4-BE49-F238E27FC236}">
              <a16:creationId xmlns:a16="http://schemas.microsoft.com/office/drawing/2014/main" id="{00000000-0008-0000-1200-0000B1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18" name="Straight Arrow Connector 4017">
          <a:extLst>
            <a:ext uri="{FF2B5EF4-FFF2-40B4-BE49-F238E27FC236}">
              <a16:creationId xmlns:a16="http://schemas.microsoft.com/office/drawing/2014/main" id="{00000000-0008-0000-1200-0000B2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19" name="Straight Arrow Connector 4018">
          <a:extLst>
            <a:ext uri="{FF2B5EF4-FFF2-40B4-BE49-F238E27FC236}">
              <a16:creationId xmlns:a16="http://schemas.microsoft.com/office/drawing/2014/main" id="{00000000-0008-0000-1200-0000B3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20" name="Straight Arrow Connector 4019">
          <a:extLst>
            <a:ext uri="{FF2B5EF4-FFF2-40B4-BE49-F238E27FC236}">
              <a16:creationId xmlns:a16="http://schemas.microsoft.com/office/drawing/2014/main" id="{00000000-0008-0000-1200-0000B4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1" name="Straight Arrow Connector 4020">
          <a:extLst>
            <a:ext uri="{FF2B5EF4-FFF2-40B4-BE49-F238E27FC236}">
              <a16:creationId xmlns:a16="http://schemas.microsoft.com/office/drawing/2014/main" id="{00000000-0008-0000-1200-0000B5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22" name="Straight Arrow Connector 4021">
          <a:extLst>
            <a:ext uri="{FF2B5EF4-FFF2-40B4-BE49-F238E27FC236}">
              <a16:creationId xmlns:a16="http://schemas.microsoft.com/office/drawing/2014/main" id="{00000000-0008-0000-1200-0000B6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3" name="Straight Arrow Connector 4022">
          <a:extLst>
            <a:ext uri="{FF2B5EF4-FFF2-40B4-BE49-F238E27FC236}">
              <a16:creationId xmlns:a16="http://schemas.microsoft.com/office/drawing/2014/main" id="{00000000-0008-0000-1200-0000B7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24" name="Straight Arrow Connector 4023">
          <a:extLst>
            <a:ext uri="{FF2B5EF4-FFF2-40B4-BE49-F238E27FC236}">
              <a16:creationId xmlns:a16="http://schemas.microsoft.com/office/drawing/2014/main" id="{00000000-0008-0000-1200-0000B8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5" name="Straight Arrow Connector 4024">
          <a:extLst>
            <a:ext uri="{FF2B5EF4-FFF2-40B4-BE49-F238E27FC236}">
              <a16:creationId xmlns:a16="http://schemas.microsoft.com/office/drawing/2014/main" id="{00000000-0008-0000-1200-0000B9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6" name="Straight Arrow Connector 4025">
          <a:extLst>
            <a:ext uri="{FF2B5EF4-FFF2-40B4-BE49-F238E27FC236}">
              <a16:creationId xmlns:a16="http://schemas.microsoft.com/office/drawing/2014/main" id="{00000000-0008-0000-1200-0000BA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7" name="Straight Arrow Connector 4026">
          <a:extLst>
            <a:ext uri="{FF2B5EF4-FFF2-40B4-BE49-F238E27FC236}">
              <a16:creationId xmlns:a16="http://schemas.microsoft.com/office/drawing/2014/main" id="{00000000-0008-0000-1200-0000BB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28" name="Straight Arrow Connector 4027">
          <a:extLst>
            <a:ext uri="{FF2B5EF4-FFF2-40B4-BE49-F238E27FC236}">
              <a16:creationId xmlns:a16="http://schemas.microsoft.com/office/drawing/2014/main" id="{00000000-0008-0000-1200-0000BC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29" name="Straight Arrow Connector 4028">
          <a:extLst>
            <a:ext uri="{FF2B5EF4-FFF2-40B4-BE49-F238E27FC236}">
              <a16:creationId xmlns:a16="http://schemas.microsoft.com/office/drawing/2014/main" id="{00000000-0008-0000-1200-0000BD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30" name="Straight Arrow Connector 4029">
          <a:extLst>
            <a:ext uri="{FF2B5EF4-FFF2-40B4-BE49-F238E27FC236}">
              <a16:creationId xmlns:a16="http://schemas.microsoft.com/office/drawing/2014/main" id="{00000000-0008-0000-1200-0000BE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31" name="Straight Arrow Connector 4030">
          <a:extLst>
            <a:ext uri="{FF2B5EF4-FFF2-40B4-BE49-F238E27FC236}">
              <a16:creationId xmlns:a16="http://schemas.microsoft.com/office/drawing/2014/main" id="{00000000-0008-0000-1200-0000BF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032" name="Straight Arrow Connector 4031">
          <a:extLst>
            <a:ext uri="{FF2B5EF4-FFF2-40B4-BE49-F238E27FC236}">
              <a16:creationId xmlns:a16="http://schemas.microsoft.com/office/drawing/2014/main" id="{00000000-0008-0000-1200-0000C00F0000}"/>
            </a:ext>
          </a:extLst>
        </xdr:cNvPr>
        <xdr:cNvCxnSpPr/>
      </xdr:nvCxnSpPr>
      <xdr:spPr>
        <a:xfrm>
          <a:off x="11281833" y="14633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033" name="Straight Arrow Connector 4032">
          <a:extLst>
            <a:ext uri="{FF2B5EF4-FFF2-40B4-BE49-F238E27FC236}">
              <a16:creationId xmlns:a16="http://schemas.microsoft.com/office/drawing/2014/main" id="{00000000-0008-0000-1200-0000C10F0000}"/>
            </a:ext>
          </a:extLst>
        </xdr:cNvPr>
        <xdr:cNvCxnSpPr/>
      </xdr:nvCxnSpPr>
      <xdr:spPr>
        <a:xfrm>
          <a:off x="11324166" y="14900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034" name="Straight Arrow Connector 4033">
          <a:extLst>
            <a:ext uri="{FF2B5EF4-FFF2-40B4-BE49-F238E27FC236}">
              <a16:creationId xmlns:a16="http://schemas.microsoft.com/office/drawing/2014/main" id="{00000000-0008-0000-1200-0000C20F0000}"/>
            </a:ext>
          </a:extLst>
        </xdr:cNvPr>
        <xdr:cNvCxnSpPr/>
      </xdr:nvCxnSpPr>
      <xdr:spPr>
        <a:xfrm>
          <a:off x="11281833" y="151479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035" name="Straight Arrow Connector 4034">
          <a:extLst>
            <a:ext uri="{FF2B5EF4-FFF2-40B4-BE49-F238E27FC236}">
              <a16:creationId xmlns:a16="http://schemas.microsoft.com/office/drawing/2014/main" id="{00000000-0008-0000-1200-0000C30F0000}"/>
            </a:ext>
          </a:extLst>
        </xdr:cNvPr>
        <xdr:cNvCxnSpPr/>
      </xdr:nvCxnSpPr>
      <xdr:spPr>
        <a:xfrm>
          <a:off x="11281833" y="151479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36" name="Straight Arrow Connector 4035">
          <a:extLst>
            <a:ext uri="{FF2B5EF4-FFF2-40B4-BE49-F238E27FC236}">
              <a16:creationId xmlns:a16="http://schemas.microsoft.com/office/drawing/2014/main" id="{00000000-0008-0000-1200-0000C4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37" name="Straight Arrow Connector 4036">
          <a:extLst>
            <a:ext uri="{FF2B5EF4-FFF2-40B4-BE49-F238E27FC236}">
              <a16:creationId xmlns:a16="http://schemas.microsoft.com/office/drawing/2014/main" id="{00000000-0008-0000-1200-0000C5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38" name="Straight Arrow Connector 4037">
          <a:extLst>
            <a:ext uri="{FF2B5EF4-FFF2-40B4-BE49-F238E27FC236}">
              <a16:creationId xmlns:a16="http://schemas.microsoft.com/office/drawing/2014/main" id="{00000000-0008-0000-1200-0000C6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39" name="Straight Arrow Connector 4038">
          <a:extLst>
            <a:ext uri="{FF2B5EF4-FFF2-40B4-BE49-F238E27FC236}">
              <a16:creationId xmlns:a16="http://schemas.microsoft.com/office/drawing/2014/main" id="{00000000-0008-0000-1200-0000C7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0" name="Straight Arrow Connector 4039">
          <a:extLst>
            <a:ext uri="{FF2B5EF4-FFF2-40B4-BE49-F238E27FC236}">
              <a16:creationId xmlns:a16="http://schemas.microsoft.com/office/drawing/2014/main" id="{00000000-0008-0000-1200-0000C8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1" name="Straight Arrow Connector 4040">
          <a:extLst>
            <a:ext uri="{FF2B5EF4-FFF2-40B4-BE49-F238E27FC236}">
              <a16:creationId xmlns:a16="http://schemas.microsoft.com/office/drawing/2014/main" id="{00000000-0008-0000-1200-0000C9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42" name="Straight Arrow Connector 4041">
          <a:extLst>
            <a:ext uri="{FF2B5EF4-FFF2-40B4-BE49-F238E27FC236}">
              <a16:creationId xmlns:a16="http://schemas.microsoft.com/office/drawing/2014/main" id="{00000000-0008-0000-1200-0000CA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3" name="Straight Arrow Connector 4042">
          <a:extLst>
            <a:ext uri="{FF2B5EF4-FFF2-40B4-BE49-F238E27FC236}">
              <a16:creationId xmlns:a16="http://schemas.microsoft.com/office/drawing/2014/main" id="{00000000-0008-0000-1200-0000CB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44" name="Straight Arrow Connector 4043">
          <a:extLst>
            <a:ext uri="{FF2B5EF4-FFF2-40B4-BE49-F238E27FC236}">
              <a16:creationId xmlns:a16="http://schemas.microsoft.com/office/drawing/2014/main" id="{00000000-0008-0000-1200-0000CC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5" name="Straight Arrow Connector 4044">
          <a:extLst>
            <a:ext uri="{FF2B5EF4-FFF2-40B4-BE49-F238E27FC236}">
              <a16:creationId xmlns:a16="http://schemas.microsoft.com/office/drawing/2014/main" id="{00000000-0008-0000-1200-0000CD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46" name="Straight Arrow Connector 4045">
          <a:extLst>
            <a:ext uri="{FF2B5EF4-FFF2-40B4-BE49-F238E27FC236}">
              <a16:creationId xmlns:a16="http://schemas.microsoft.com/office/drawing/2014/main" id="{00000000-0008-0000-1200-0000CE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7" name="Straight Arrow Connector 4046">
          <a:extLst>
            <a:ext uri="{FF2B5EF4-FFF2-40B4-BE49-F238E27FC236}">
              <a16:creationId xmlns:a16="http://schemas.microsoft.com/office/drawing/2014/main" id="{00000000-0008-0000-1200-0000CF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8" name="Straight Arrow Connector 4047">
          <a:extLst>
            <a:ext uri="{FF2B5EF4-FFF2-40B4-BE49-F238E27FC236}">
              <a16:creationId xmlns:a16="http://schemas.microsoft.com/office/drawing/2014/main" id="{00000000-0008-0000-1200-0000D0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49" name="Straight Arrow Connector 4048">
          <a:extLst>
            <a:ext uri="{FF2B5EF4-FFF2-40B4-BE49-F238E27FC236}">
              <a16:creationId xmlns:a16="http://schemas.microsoft.com/office/drawing/2014/main" id="{00000000-0008-0000-1200-0000D1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50" name="Straight Arrow Connector 4049">
          <a:extLst>
            <a:ext uri="{FF2B5EF4-FFF2-40B4-BE49-F238E27FC236}">
              <a16:creationId xmlns:a16="http://schemas.microsoft.com/office/drawing/2014/main" id="{00000000-0008-0000-1200-0000D2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1" name="Straight Arrow Connector 4050">
          <a:extLst>
            <a:ext uri="{FF2B5EF4-FFF2-40B4-BE49-F238E27FC236}">
              <a16:creationId xmlns:a16="http://schemas.microsoft.com/office/drawing/2014/main" id="{00000000-0008-0000-1200-0000D3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2" name="Straight Arrow Connector 4051">
          <a:extLst>
            <a:ext uri="{FF2B5EF4-FFF2-40B4-BE49-F238E27FC236}">
              <a16:creationId xmlns:a16="http://schemas.microsoft.com/office/drawing/2014/main" id="{00000000-0008-0000-1200-0000D4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3" name="Straight Arrow Connector 4052">
          <a:extLst>
            <a:ext uri="{FF2B5EF4-FFF2-40B4-BE49-F238E27FC236}">
              <a16:creationId xmlns:a16="http://schemas.microsoft.com/office/drawing/2014/main" id="{00000000-0008-0000-1200-0000D5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4" name="Straight Arrow Connector 4053">
          <a:extLst>
            <a:ext uri="{FF2B5EF4-FFF2-40B4-BE49-F238E27FC236}">
              <a16:creationId xmlns:a16="http://schemas.microsoft.com/office/drawing/2014/main" id="{00000000-0008-0000-1200-0000D6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55" name="Straight Arrow Connector 4054">
          <a:extLst>
            <a:ext uri="{FF2B5EF4-FFF2-40B4-BE49-F238E27FC236}">
              <a16:creationId xmlns:a16="http://schemas.microsoft.com/office/drawing/2014/main" id="{00000000-0008-0000-1200-0000D7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6" name="Straight Arrow Connector 4055">
          <a:extLst>
            <a:ext uri="{FF2B5EF4-FFF2-40B4-BE49-F238E27FC236}">
              <a16:creationId xmlns:a16="http://schemas.microsoft.com/office/drawing/2014/main" id="{00000000-0008-0000-1200-0000D8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57" name="Straight Arrow Connector 4056">
          <a:extLst>
            <a:ext uri="{FF2B5EF4-FFF2-40B4-BE49-F238E27FC236}">
              <a16:creationId xmlns:a16="http://schemas.microsoft.com/office/drawing/2014/main" id="{00000000-0008-0000-1200-0000D9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58" name="Straight Arrow Connector 4057">
          <a:extLst>
            <a:ext uri="{FF2B5EF4-FFF2-40B4-BE49-F238E27FC236}">
              <a16:creationId xmlns:a16="http://schemas.microsoft.com/office/drawing/2014/main" id="{00000000-0008-0000-1200-0000DA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59" name="Straight Arrow Connector 4058">
          <a:extLst>
            <a:ext uri="{FF2B5EF4-FFF2-40B4-BE49-F238E27FC236}">
              <a16:creationId xmlns:a16="http://schemas.microsoft.com/office/drawing/2014/main" id="{00000000-0008-0000-1200-0000DB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0" name="Straight Arrow Connector 4059">
          <a:extLst>
            <a:ext uri="{FF2B5EF4-FFF2-40B4-BE49-F238E27FC236}">
              <a16:creationId xmlns:a16="http://schemas.microsoft.com/office/drawing/2014/main" id="{00000000-0008-0000-1200-0000DC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61" name="Straight Arrow Connector 4060">
          <a:extLst>
            <a:ext uri="{FF2B5EF4-FFF2-40B4-BE49-F238E27FC236}">
              <a16:creationId xmlns:a16="http://schemas.microsoft.com/office/drawing/2014/main" id="{00000000-0008-0000-1200-0000DD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2" name="Straight Arrow Connector 4061">
          <a:extLst>
            <a:ext uri="{FF2B5EF4-FFF2-40B4-BE49-F238E27FC236}">
              <a16:creationId xmlns:a16="http://schemas.microsoft.com/office/drawing/2014/main" id="{00000000-0008-0000-1200-0000DE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3" name="Straight Arrow Connector 4062">
          <a:extLst>
            <a:ext uri="{FF2B5EF4-FFF2-40B4-BE49-F238E27FC236}">
              <a16:creationId xmlns:a16="http://schemas.microsoft.com/office/drawing/2014/main" id="{00000000-0008-0000-1200-0000DF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4" name="Straight Arrow Connector 4063">
          <a:extLst>
            <a:ext uri="{FF2B5EF4-FFF2-40B4-BE49-F238E27FC236}">
              <a16:creationId xmlns:a16="http://schemas.microsoft.com/office/drawing/2014/main" id="{00000000-0008-0000-1200-0000E0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65" name="Straight Arrow Connector 4064">
          <a:extLst>
            <a:ext uri="{FF2B5EF4-FFF2-40B4-BE49-F238E27FC236}">
              <a16:creationId xmlns:a16="http://schemas.microsoft.com/office/drawing/2014/main" id="{00000000-0008-0000-1200-0000E1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6" name="Straight Arrow Connector 4065">
          <a:extLst>
            <a:ext uri="{FF2B5EF4-FFF2-40B4-BE49-F238E27FC236}">
              <a16:creationId xmlns:a16="http://schemas.microsoft.com/office/drawing/2014/main" id="{00000000-0008-0000-1200-0000E2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67" name="Straight Arrow Connector 4066">
          <a:extLst>
            <a:ext uri="{FF2B5EF4-FFF2-40B4-BE49-F238E27FC236}">
              <a16:creationId xmlns:a16="http://schemas.microsoft.com/office/drawing/2014/main" id="{00000000-0008-0000-1200-0000E3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68" name="Straight Arrow Connector 4067">
          <a:extLst>
            <a:ext uri="{FF2B5EF4-FFF2-40B4-BE49-F238E27FC236}">
              <a16:creationId xmlns:a16="http://schemas.microsoft.com/office/drawing/2014/main" id="{00000000-0008-0000-1200-0000E4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069" name="Straight Arrow Connector 4068">
          <a:extLst>
            <a:ext uri="{FF2B5EF4-FFF2-40B4-BE49-F238E27FC236}">
              <a16:creationId xmlns:a16="http://schemas.microsoft.com/office/drawing/2014/main" id="{00000000-0008-0000-1200-0000E50F0000}"/>
            </a:ext>
          </a:extLst>
        </xdr:cNvPr>
        <xdr:cNvCxnSpPr/>
      </xdr:nvCxnSpPr>
      <xdr:spPr>
        <a:xfrm>
          <a:off x="11281833" y="15719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070" name="Straight Arrow Connector 4069">
          <a:extLst>
            <a:ext uri="{FF2B5EF4-FFF2-40B4-BE49-F238E27FC236}">
              <a16:creationId xmlns:a16="http://schemas.microsoft.com/office/drawing/2014/main" id="{00000000-0008-0000-1200-0000E60F0000}"/>
            </a:ext>
          </a:extLst>
        </xdr:cNvPr>
        <xdr:cNvCxnSpPr/>
      </xdr:nvCxnSpPr>
      <xdr:spPr>
        <a:xfrm>
          <a:off x="11324166" y="15986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071" name="Straight Arrow Connector 4070">
          <a:extLst>
            <a:ext uri="{FF2B5EF4-FFF2-40B4-BE49-F238E27FC236}">
              <a16:creationId xmlns:a16="http://schemas.microsoft.com/office/drawing/2014/main" id="{00000000-0008-0000-1200-0000E70F0000}"/>
            </a:ext>
          </a:extLst>
        </xdr:cNvPr>
        <xdr:cNvCxnSpPr/>
      </xdr:nvCxnSpPr>
      <xdr:spPr>
        <a:xfrm>
          <a:off x="11281833" y="1623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072" name="Straight Arrow Connector 4071">
          <a:extLst>
            <a:ext uri="{FF2B5EF4-FFF2-40B4-BE49-F238E27FC236}">
              <a16:creationId xmlns:a16="http://schemas.microsoft.com/office/drawing/2014/main" id="{00000000-0008-0000-1200-0000E80F0000}"/>
            </a:ext>
          </a:extLst>
        </xdr:cNvPr>
        <xdr:cNvCxnSpPr/>
      </xdr:nvCxnSpPr>
      <xdr:spPr>
        <a:xfrm>
          <a:off x="11281833" y="162337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73" name="Straight Arrow Connector 4072">
          <a:extLst>
            <a:ext uri="{FF2B5EF4-FFF2-40B4-BE49-F238E27FC236}">
              <a16:creationId xmlns:a16="http://schemas.microsoft.com/office/drawing/2014/main" id="{00000000-0008-0000-1200-0000E9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74" name="Straight Arrow Connector 4073">
          <a:extLst>
            <a:ext uri="{FF2B5EF4-FFF2-40B4-BE49-F238E27FC236}">
              <a16:creationId xmlns:a16="http://schemas.microsoft.com/office/drawing/2014/main" id="{00000000-0008-0000-1200-0000EA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75" name="Straight Arrow Connector 4074">
          <a:extLst>
            <a:ext uri="{FF2B5EF4-FFF2-40B4-BE49-F238E27FC236}">
              <a16:creationId xmlns:a16="http://schemas.microsoft.com/office/drawing/2014/main" id="{00000000-0008-0000-1200-0000EB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76" name="Straight Arrow Connector 4075">
          <a:extLst>
            <a:ext uri="{FF2B5EF4-FFF2-40B4-BE49-F238E27FC236}">
              <a16:creationId xmlns:a16="http://schemas.microsoft.com/office/drawing/2014/main" id="{00000000-0008-0000-1200-0000EC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77" name="Straight Arrow Connector 4076">
          <a:extLst>
            <a:ext uri="{FF2B5EF4-FFF2-40B4-BE49-F238E27FC236}">
              <a16:creationId xmlns:a16="http://schemas.microsoft.com/office/drawing/2014/main" id="{00000000-0008-0000-1200-0000ED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78" name="Straight Arrow Connector 4077">
          <a:extLst>
            <a:ext uri="{FF2B5EF4-FFF2-40B4-BE49-F238E27FC236}">
              <a16:creationId xmlns:a16="http://schemas.microsoft.com/office/drawing/2014/main" id="{00000000-0008-0000-1200-0000EE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79" name="Straight Arrow Connector 4078">
          <a:extLst>
            <a:ext uri="{FF2B5EF4-FFF2-40B4-BE49-F238E27FC236}">
              <a16:creationId xmlns:a16="http://schemas.microsoft.com/office/drawing/2014/main" id="{00000000-0008-0000-1200-0000EF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0" name="Straight Arrow Connector 4079">
          <a:extLst>
            <a:ext uri="{FF2B5EF4-FFF2-40B4-BE49-F238E27FC236}">
              <a16:creationId xmlns:a16="http://schemas.microsoft.com/office/drawing/2014/main" id="{00000000-0008-0000-1200-0000F0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81" name="Straight Arrow Connector 4080">
          <a:extLst>
            <a:ext uri="{FF2B5EF4-FFF2-40B4-BE49-F238E27FC236}">
              <a16:creationId xmlns:a16="http://schemas.microsoft.com/office/drawing/2014/main" id="{00000000-0008-0000-1200-0000F1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2" name="Straight Arrow Connector 4081">
          <a:extLst>
            <a:ext uri="{FF2B5EF4-FFF2-40B4-BE49-F238E27FC236}">
              <a16:creationId xmlns:a16="http://schemas.microsoft.com/office/drawing/2014/main" id="{00000000-0008-0000-1200-0000F2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3" name="Straight Arrow Connector 4082">
          <a:extLst>
            <a:ext uri="{FF2B5EF4-FFF2-40B4-BE49-F238E27FC236}">
              <a16:creationId xmlns:a16="http://schemas.microsoft.com/office/drawing/2014/main" id="{00000000-0008-0000-1200-0000F3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4" name="Straight Arrow Connector 4083">
          <a:extLst>
            <a:ext uri="{FF2B5EF4-FFF2-40B4-BE49-F238E27FC236}">
              <a16:creationId xmlns:a16="http://schemas.microsoft.com/office/drawing/2014/main" id="{00000000-0008-0000-1200-0000F4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85" name="Straight Arrow Connector 4084">
          <a:extLst>
            <a:ext uri="{FF2B5EF4-FFF2-40B4-BE49-F238E27FC236}">
              <a16:creationId xmlns:a16="http://schemas.microsoft.com/office/drawing/2014/main" id="{00000000-0008-0000-1200-0000F5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6" name="Straight Arrow Connector 4085">
          <a:extLst>
            <a:ext uri="{FF2B5EF4-FFF2-40B4-BE49-F238E27FC236}">
              <a16:creationId xmlns:a16="http://schemas.microsoft.com/office/drawing/2014/main" id="{00000000-0008-0000-1200-0000F6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7" name="Straight Arrow Connector 4086">
          <a:extLst>
            <a:ext uri="{FF2B5EF4-FFF2-40B4-BE49-F238E27FC236}">
              <a16:creationId xmlns:a16="http://schemas.microsoft.com/office/drawing/2014/main" id="{00000000-0008-0000-1200-0000F7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88" name="Straight Arrow Connector 4087">
          <a:extLst>
            <a:ext uri="{FF2B5EF4-FFF2-40B4-BE49-F238E27FC236}">
              <a16:creationId xmlns:a16="http://schemas.microsoft.com/office/drawing/2014/main" id="{00000000-0008-0000-1200-0000F8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89" name="Straight Arrow Connector 4088">
          <a:extLst>
            <a:ext uri="{FF2B5EF4-FFF2-40B4-BE49-F238E27FC236}">
              <a16:creationId xmlns:a16="http://schemas.microsoft.com/office/drawing/2014/main" id="{00000000-0008-0000-1200-0000F9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0" name="Straight Arrow Connector 4089">
          <a:extLst>
            <a:ext uri="{FF2B5EF4-FFF2-40B4-BE49-F238E27FC236}">
              <a16:creationId xmlns:a16="http://schemas.microsoft.com/office/drawing/2014/main" id="{00000000-0008-0000-1200-0000FA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91" name="Straight Arrow Connector 4090">
          <a:extLst>
            <a:ext uri="{FF2B5EF4-FFF2-40B4-BE49-F238E27FC236}">
              <a16:creationId xmlns:a16="http://schemas.microsoft.com/office/drawing/2014/main" id="{00000000-0008-0000-1200-0000FB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2" name="Straight Arrow Connector 4091">
          <a:extLst>
            <a:ext uri="{FF2B5EF4-FFF2-40B4-BE49-F238E27FC236}">
              <a16:creationId xmlns:a16="http://schemas.microsoft.com/office/drawing/2014/main" id="{00000000-0008-0000-1200-0000FC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93" name="Straight Arrow Connector 4092">
          <a:extLst>
            <a:ext uri="{FF2B5EF4-FFF2-40B4-BE49-F238E27FC236}">
              <a16:creationId xmlns:a16="http://schemas.microsoft.com/office/drawing/2014/main" id="{00000000-0008-0000-1200-0000FD0F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4" name="Straight Arrow Connector 4093">
          <a:extLst>
            <a:ext uri="{FF2B5EF4-FFF2-40B4-BE49-F238E27FC236}">
              <a16:creationId xmlns:a16="http://schemas.microsoft.com/office/drawing/2014/main" id="{00000000-0008-0000-1200-0000FE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5" name="Straight Arrow Connector 4094">
          <a:extLst>
            <a:ext uri="{FF2B5EF4-FFF2-40B4-BE49-F238E27FC236}">
              <a16:creationId xmlns:a16="http://schemas.microsoft.com/office/drawing/2014/main" id="{00000000-0008-0000-1200-0000FF0F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6" name="Straight Arrow Connector 4095">
          <a:extLst>
            <a:ext uri="{FF2B5EF4-FFF2-40B4-BE49-F238E27FC236}">
              <a16:creationId xmlns:a16="http://schemas.microsoft.com/office/drawing/2014/main" id="{00000000-0008-0000-1200-000000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097" name="Straight Arrow Connector 4096">
          <a:extLst>
            <a:ext uri="{FF2B5EF4-FFF2-40B4-BE49-F238E27FC236}">
              <a16:creationId xmlns:a16="http://schemas.microsoft.com/office/drawing/2014/main" id="{00000000-0008-0000-1200-000001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8" name="Straight Arrow Connector 4097">
          <a:extLst>
            <a:ext uri="{FF2B5EF4-FFF2-40B4-BE49-F238E27FC236}">
              <a16:creationId xmlns:a16="http://schemas.microsoft.com/office/drawing/2014/main" id="{00000000-0008-0000-1200-000002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099" name="Straight Arrow Connector 4098">
          <a:extLst>
            <a:ext uri="{FF2B5EF4-FFF2-40B4-BE49-F238E27FC236}">
              <a16:creationId xmlns:a16="http://schemas.microsoft.com/office/drawing/2014/main" id="{00000000-0008-0000-1200-000003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0" name="Straight Arrow Connector 4099">
          <a:extLst>
            <a:ext uri="{FF2B5EF4-FFF2-40B4-BE49-F238E27FC236}">
              <a16:creationId xmlns:a16="http://schemas.microsoft.com/office/drawing/2014/main" id="{00000000-0008-0000-1200-000004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1" name="Straight Arrow Connector 4100">
          <a:extLst>
            <a:ext uri="{FF2B5EF4-FFF2-40B4-BE49-F238E27FC236}">
              <a16:creationId xmlns:a16="http://schemas.microsoft.com/office/drawing/2014/main" id="{00000000-0008-0000-1200-000005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02" name="Straight Arrow Connector 4101">
          <a:extLst>
            <a:ext uri="{FF2B5EF4-FFF2-40B4-BE49-F238E27FC236}">
              <a16:creationId xmlns:a16="http://schemas.microsoft.com/office/drawing/2014/main" id="{00000000-0008-0000-1200-000006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3" name="Straight Arrow Connector 4102">
          <a:extLst>
            <a:ext uri="{FF2B5EF4-FFF2-40B4-BE49-F238E27FC236}">
              <a16:creationId xmlns:a16="http://schemas.microsoft.com/office/drawing/2014/main" id="{00000000-0008-0000-1200-000007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04" name="Straight Arrow Connector 4103">
          <a:extLst>
            <a:ext uri="{FF2B5EF4-FFF2-40B4-BE49-F238E27FC236}">
              <a16:creationId xmlns:a16="http://schemas.microsoft.com/office/drawing/2014/main" id="{00000000-0008-0000-1200-000008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5" name="Straight Arrow Connector 4104">
          <a:extLst>
            <a:ext uri="{FF2B5EF4-FFF2-40B4-BE49-F238E27FC236}">
              <a16:creationId xmlns:a16="http://schemas.microsoft.com/office/drawing/2014/main" id="{00000000-0008-0000-1200-000009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06" name="Straight Arrow Connector 4105">
          <a:extLst>
            <a:ext uri="{FF2B5EF4-FFF2-40B4-BE49-F238E27FC236}">
              <a16:creationId xmlns:a16="http://schemas.microsoft.com/office/drawing/2014/main" id="{00000000-0008-0000-1200-00000A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7" name="Straight Arrow Connector 4106">
          <a:extLst>
            <a:ext uri="{FF2B5EF4-FFF2-40B4-BE49-F238E27FC236}">
              <a16:creationId xmlns:a16="http://schemas.microsoft.com/office/drawing/2014/main" id="{00000000-0008-0000-1200-00000B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08" name="Straight Arrow Connector 4107">
          <a:extLst>
            <a:ext uri="{FF2B5EF4-FFF2-40B4-BE49-F238E27FC236}">
              <a16:creationId xmlns:a16="http://schemas.microsoft.com/office/drawing/2014/main" id="{00000000-0008-0000-1200-00000C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09" name="Straight Arrow Connector 4108">
          <a:extLst>
            <a:ext uri="{FF2B5EF4-FFF2-40B4-BE49-F238E27FC236}">
              <a16:creationId xmlns:a16="http://schemas.microsoft.com/office/drawing/2014/main" id="{00000000-0008-0000-1200-00000D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10" name="Straight Arrow Connector 4109">
          <a:extLst>
            <a:ext uri="{FF2B5EF4-FFF2-40B4-BE49-F238E27FC236}">
              <a16:creationId xmlns:a16="http://schemas.microsoft.com/office/drawing/2014/main" id="{00000000-0008-0000-1200-00000E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11" name="Straight Arrow Connector 4110">
          <a:extLst>
            <a:ext uri="{FF2B5EF4-FFF2-40B4-BE49-F238E27FC236}">
              <a16:creationId xmlns:a16="http://schemas.microsoft.com/office/drawing/2014/main" id="{00000000-0008-0000-1200-00000F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12" name="Straight Arrow Connector 4111">
          <a:extLst>
            <a:ext uri="{FF2B5EF4-FFF2-40B4-BE49-F238E27FC236}">
              <a16:creationId xmlns:a16="http://schemas.microsoft.com/office/drawing/2014/main" id="{00000000-0008-0000-1200-000010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13" name="Straight Arrow Connector 4112">
          <a:extLst>
            <a:ext uri="{FF2B5EF4-FFF2-40B4-BE49-F238E27FC236}">
              <a16:creationId xmlns:a16="http://schemas.microsoft.com/office/drawing/2014/main" id="{00000000-0008-0000-1200-000011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14" name="Straight Arrow Connector 4113">
          <a:extLst>
            <a:ext uri="{FF2B5EF4-FFF2-40B4-BE49-F238E27FC236}">
              <a16:creationId xmlns:a16="http://schemas.microsoft.com/office/drawing/2014/main" id="{00000000-0008-0000-1200-000012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15" name="Straight Arrow Connector 4114">
          <a:extLst>
            <a:ext uri="{FF2B5EF4-FFF2-40B4-BE49-F238E27FC236}">
              <a16:creationId xmlns:a16="http://schemas.microsoft.com/office/drawing/2014/main" id="{00000000-0008-0000-1200-000013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116" name="Straight Arrow Connector 4115">
          <a:extLst>
            <a:ext uri="{FF2B5EF4-FFF2-40B4-BE49-F238E27FC236}">
              <a16:creationId xmlns:a16="http://schemas.microsoft.com/office/drawing/2014/main" id="{00000000-0008-0000-1200-000014100000}"/>
            </a:ext>
          </a:extLst>
        </xdr:cNvPr>
        <xdr:cNvCxnSpPr/>
      </xdr:nvCxnSpPr>
      <xdr:spPr>
        <a:xfrm>
          <a:off x="11281833" y="16805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117" name="Straight Arrow Connector 4116">
          <a:extLst>
            <a:ext uri="{FF2B5EF4-FFF2-40B4-BE49-F238E27FC236}">
              <a16:creationId xmlns:a16="http://schemas.microsoft.com/office/drawing/2014/main" id="{00000000-0008-0000-1200-000015100000}"/>
            </a:ext>
          </a:extLst>
        </xdr:cNvPr>
        <xdr:cNvCxnSpPr/>
      </xdr:nvCxnSpPr>
      <xdr:spPr>
        <a:xfrm>
          <a:off x="11324166" y="17071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118" name="Straight Arrow Connector 4117">
          <a:extLst>
            <a:ext uri="{FF2B5EF4-FFF2-40B4-BE49-F238E27FC236}">
              <a16:creationId xmlns:a16="http://schemas.microsoft.com/office/drawing/2014/main" id="{00000000-0008-0000-1200-000016100000}"/>
            </a:ext>
          </a:extLst>
        </xdr:cNvPr>
        <xdr:cNvCxnSpPr/>
      </xdr:nvCxnSpPr>
      <xdr:spPr>
        <a:xfrm>
          <a:off x="11281833" y="1731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119" name="Straight Arrow Connector 4118">
          <a:extLst>
            <a:ext uri="{FF2B5EF4-FFF2-40B4-BE49-F238E27FC236}">
              <a16:creationId xmlns:a16="http://schemas.microsoft.com/office/drawing/2014/main" id="{00000000-0008-0000-1200-000017100000}"/>
            </a:ext>
          </a:extLst>
        </xdr:cNvPr>
        <xdr:cNvCxnSpPr/>
      </xdr:nvCxnSpPr>
      <xdr:spPr>
        <a:xfrm>
          <a:off x="11281833" y="173196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4142" name="Straight Arrow Connector 4141">
          <a:extLst>
            <a:ext uri="{FF2B5EF4-FFF2-40B4-BE49-F238E27FC236}">
              <a16:creationId xmlns:a16="http://schemas.microsoft.com/office/drawing/2014/main" id="{00000000-0008-0000-1200-00002E100000}"/>
            </a:ext>
          </a:extLst>
        </xdr:cNvPr>
        <xdr:cNvCxnSpPr/>
      </xdr:nvCxnSpPr>
      <xdr:spPr>
        <a:xfrm>
          <a:off x="11324166" y="18234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4144" name="Straight Arrow Connector 4143">
          <a:extLst>
            <a:ext uri="{FF2B5EF4-FFF2-40B4-BE49-F238E27FC236}">
              <a16:creationId xmlns:a16="http://schemas.microsoft.com/office/drawing/2014/main" id="{00000000-0008-0000-1200-000030100000}"/>
            </a:ext>
          </a:extLst>
        </xdr:cNvPr>
        <xdr:cNvCxnSpPr/>
      </xdr:nvCxnSpPr>
      <xdr:spPr>
        <a:xfrm>
          <a:off x="11324166" y="18234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1000</xdr:row>
      <xdr:rowOff>31750</xdr:rowOff>
    </xdr:from>
    <xdr:to>
      <xdr:col>16</xdr:col>
      <xdr:colOff>21167</xdr:colOff>
      <xdr:row>1007</xdr:row>
      <xdr:rowOff>95250</xdr:rowOff>
    </xdr:to>
    <xdr:cxnSp macro="">
      <xdr:nvCxnSpPr>
        <xdr:cNvPr id="4146" name="Straight Arrow Connector 4145">
          <a:extLst>
            <a:ext uri="{FF2B5EF4-FFF2-40B4-BE49-F238E27FC236}">
              <a16:creationId xmlns:a16="http://schemas.microsoft.com/office/drawing/2014/main" id="{00000000-0008-0000-1200-000032100000}"/>
            </a:ext>
          </a:extLst>
        </xdr:cNvPr>
        <xdr:cNvCxnSpPr/>
      </xdr:nvCxnSpPr>
      <xdr:spPr>
        <a:xfrm>
          <a:off x="11324166" y="182340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49" name="Straight Arrow Connector 4148">
          <a:extLst>
            <a:ext uri="{FF2B5EF4-FFF2-40B4-BE49-F238E27FC236}">
              <a16:creationId xmlns:a16="http://schemas.microsoft.com/office/drawing/2014/main" id="{00000000-0008-0000-1200-000035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0" name="Straight Arrow Connector 4149">
          <a:extLst>
            <a:ext uri="{FF2B5EF4-FFF2-40B4-BE49-F238E27FC236}">
              <a16:creationId xmlns:a16="http://schemas.microsoft.com/office/drawing/2014/main" id="{00000000-0008-0000-1200-000036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1" name="Straight Arrow Connector 4150">
          <a:extLst>
            <a:ext uri="{FF2B5EF4-FFF2-40B4-BE49-F238E27FC236}">
              <a16:creationId xmlns:a16="http://schemas.microsoft.com/office/drawing/2014/main" id="{00000000-0008-0000-1200-000037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2" name="Straight Arrow Connector 4151">
          <a:extLst>
            <a:ext uri="{FF2B5EF4-FFF2-40B4-BE49-F238E27FC236}">
              <a16:creationId xmlns:a16="http://schemas.microsoft.com/office/drawing/2014/main" id="{00000000-0008-0000-1200-000038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1043</xdr:row>
      <xdr:rowOff>31750</xdr:rowOff>
    </xdr:from>
    <xdr:to>
      <xdr:col>16</xdr:col>
      <xdr:colOff>42334</xdr:colOff>
      <xdr:row>1050</xdr:row>
      <xdr:rowOff>63501</xdr:rowOff>
    </xdr:to>
    <xdr:cxnSp macro="">
      <xdr:nvCxnSpPr>
        <xdr:cNvPr id="4153" name="Straight Arrow Connector 4152">
          <a:extLst>
            <a:ext uri="{FF2B5EF4-FFF2-40B4-BE49-F238E27FC236}">
              <a16:creationId xmlns:a16="http://schemas.microsoft.com/office/drawing/2014/main" id="{00000000-0008-0000-1200-000039100000}"/>
            </a:ext>
          </a:extLst>
        </xdr:cNvPr>
        <xdr:cNvCxnSpPr/>
      </xdr:nvCxnSpPr>
      <xdr:spPr>
        <a:xfrm>
          <a:off x="11281833" y="1905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4" name="Straight Arrow Connector 4153">
          <a:extLst>
            <a:ext uri="{FF2B5EF4-FFF2-40B4-BE49-F238E27FC236}">
              <a16:creationId xmlns:a16="http://schemas.microsoft.com/office/drawing/2014/main" id="{00000000-0008-0000-1200-00003A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4155" name="Straight Arrow Connector 4154">
          <a:extLst>
            <a:ext uri="{FF2B5EF4-FFF2-40B4-BE49-F238E27FC236}">
              <a16:creationId xmlns:a16="http://schemas.microsoft.com/office/drawing/2014/main" id="{00000000-0008-0000-1200-00003B100000}"/>
            </a:ext>
          </a:extLst>
        </xdr:cNvPr>
        <xdr:cNvCxnSpPr/>
      </xdr:nvCxnSpPr>
      <xdr:spPr>
        <a:xfrm>
          <a:off x="11281833" y="1905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6" name="Straight Arrow Connector 4155">
          <a:extLst>
            <a:ext uri="{FF2B5EF4-FFF2-40B4-BE49-F238E27FC236}">
              <a16:creationId xmlns:a16="http://schemas.microsoft.com/office/drawing/2014/main" id="{00000000-0008-0000-1200-00003C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4157" name="Straight Arrow Connector 4156">
          <a:extLst>
            <a:ext uri="{FF2B5EF4-FFF2-40B4-BE49-F238E27FC236}">
              <a16:creationId xmlns:a16="http://schemas.microsoft.com/office/drawing/2014/main" id="{00000000-0008-0000-1200-00003D100000}"/>
            </a:ext>
          </a:extLst>
        </xdr:cNvPr>
        <xdr:cNvCxnSpPr/>
      </xdr:nvCxnSpPr>
      <xdr:spPr>
        <a:xfrm>
          <a:off x="11281833" y="1905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58" name="Straight Arrow Connector 4157">
          <a:extLst>
            <a:ext uri="{FF2B5EF4-FFF2-40B4-BE49-F238E27FC236}">
              <a16:creationId xmlns:a16="http://schemas.microsoft.com/office/drawing/2014/main" id="{00000000-0008-0000-1200-00003E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1043</xdr:row>
      <xdr:rowOff>31750</xdr:rowOff>
    </xdr:from>
    <xdr:to>
      <xdr:col>16</xdr:col>
      <xdr:colOff>42334</xdr:colOff>
      <xdr:row>1050</xdr:row>
      <xdr:rowOff>63501</xdr:rowOff>
    </xdr:to>
    <xdr:cxnSp macro="">
      <xdr:nvCxnSpPr>
        <xdr:cNvPr id="4159" name="Straight Arrow Connector 4158">
          <a:extLst>
            <a:ext uri="{FF2B5EF4-FFF2-40B4-BE49-F238E27FC236}">
              <a16:creationId xmlns:a16="http://schemas.microsoft.com/office/drawing/2014/main" id="{00000000-0008-0000-1200-00003F100000}"/>
            </a:ext>
          </a:extLst>
        </xdr:cNvPr>
        <xdr:cNvCxnSpPr/>
      </xdr:nvCxnSpPr>
      <xdr:spPr>
        <a:xfrm>
          <a:off x="11281833" y="1905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60" name="Straight Arrow Connector 4159">
          <a:extLst>
            <a:ext uri="{FF2B5EF4-FFF2-40B4-BE49-F238E27FC236}">
              <a16:creationId xmlns:a16="http://schemas.microsoft.com/office/drawing/2014/main" id="{00000000-0008-0000-1200-000040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1043</xdr:row>
      <xdr:rowOff>31750</xdr:rowOff>
    </xdr:from>
    <xdr:to>
      <xdr:col>16</xdr:col>
      <xdr:colOff>42334</xdr:colOff>
      <xdr:row>1050</xdr:row>
      <xdr:rowOff>63501</xdr:rowOff>
    </xdr:to>
    <xdr:cxnSp macro="">
      <xdr:nvCxnSpPr>
        <xdr:cNvPr id="4161" name="Straight Arrow Connector 4160">
          <a:extLst>
            <a:ext uri="{FF2B5EF4-FFF2-40B4-BE49-F238E27FC236}">
              <a16:creationId xmlns:a16="http://schemas.microsoft.com/office/drawing/2014/main" id="{00000000-0008-0000-1200-000041100000}"/>
            </a:ext>
          </a:extLst>
        </xdr:cNvPr>
        <xdr:cNvCxnSpPr/>
      </xdr:nvCxnSpPr>
      <xdr:spPr>
        <a:xfrm>
          <a:off x="11281833" y="1905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1056</xdr:row>
      <xdr:rowOff>31750</xdr:rowOff>
    </xdr:from>
    <xdr:to>
      <xdr:col>16</xdr:col>
      <xdr:colOff>21167</xdr:colOff>
      <xdr:row>1063</xdr:row>
      <xdr:rowOff>95250</xdr:rowOff>
    </xdr:to>
    <xdr:cxnSp macro="">
      <xdr:nvCxnSpPr>
        <xdr:cNvPr id="4162" name="Straight Arrow Connector 4161">
          <a:extLst>
            <a:ext uri="{FF2B5EF4-FFF2-40B4-BE49-F238E27FC236}">
              <a16:creationId xmlns:a16="http://schemas.microsoft.com/office/drawing/2014/main" id="{00000000-0008-0000-1200-000042100000}"/>
            </a:ext>
          </a:extLst>
        </xdr:cNvPr>
        <xdr:cNvCxnSpPr/>
      </xdr:nvCxnSpPr>
      <xdr:spPr>
        <a:xfrm>
          <a:off x="11324166" y="193198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63" name="Straight Arrow Connector 4162">
          <a:extLst>
            <a:ext uri="{FF2B5EF4-FFF2-40B4-BE49-F238E27FC236}">
              <a16:creationId xmlns:a16="http://schemas.microsoft.com/office/drawing/2014/main" id="{00000000-0008-0000-1200-000043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64" name="Straight Arrow Connector 4163">
          <a:extLst>
            <a:ext uri="{FF2B5EF4-FFF2-40B4-BE49-F238E27FC236}">
              <a16:creationId xmlns:a16="http://schemas.microsoft.com/office/drawing/2014/main" id="{00000000-0008-0000-1200-000044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65" name="Straight Arrow Connector 4164">
          <a:extLst>
            <a:ext uri="{FF2B5EF4-FFF2-40B4-BE49-F238E27FC236}">
              <a16:creationId xmlns:a16="http://schemas.microsoft.com/office/drawing/2014/main" id="{00000000-0008-0000-1200-000045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66" name="Straight Arrow Connector 4165">
          <a:extLst>
            <a:ext uri="{FF2B5EF4-FFF2-40B4-BE49-F238E27FC236}">
              <a16:creationId xmlns:a16="http://schemas.microsoft.com/office/drawing/2014/main" id="{00000000-0008-0000-1200-000046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67" name="Straight Arrow Connector 4166">
          <a:extLst>
            <a:ext uri="{FF2B5EF4-FFF2-40B4-BE49-F238E27FC236}">
              <a16:creationId xmlns:a16="http://schemas.microsoft.com/office/drawing/2014/main" id="{00000000-0008-0000-1200-000047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68" name="Straight Arrow Connector 4167">
          <a:extLst>
            <a:ext uri="{FF2B5EF4-FFF2-40B4-BE49-F238E27FC236}">
              <a16:creationId xmlns:a16="http://schemas.microsoft.com/office/drawing/2014/main" id="{00000000-0008-0000-1200-000048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1099</xdr:row>
      <xdr:rowOff>31750</xdr:rowOff>
    </xdr:from>
    <xdr:to>
      <xdr:col>16</xdr:col>
      <xdr:colOff>42334</xdr:colOff>
      <xdr:row>1106</xdr:row>
      <xdr:rowOff>63501</xdr:rowOff>
    </xdr:to>
    <xdr:cxnSp macro="">
      <xdr:nvCxnSpPr>
        <xdr:cNvPr id="4169" name="Straight Arrow Connector 4168">
          <a:extLst>
            <a:ext uri="{FF2B5EF4-FFF2-40B4-BE49-F238E27FC236}">
              <a16:creationId xmlns:a16="http://schemas.microsoft.com/office/drawing/2014/main" id="{00000000-0008-0000-1200-000049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0" name="Straight Arrow Connector 4169">
          <a:extLst>
            <a:ext uri="{FF2B5EF4-FFF2-40B4-BE49-F238E27FC236}">
              <a16:creationId xmlns:a16="http://schemas.microsoft.com/office/drawing/2014/main" id="{00000000-0008-0000-1200-00004A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1099</xdr:row>
      <xdr:rowOff>31750</xdr:rowOff>
    </xdr:from>
    <xdr:to>
      <xdr:col>16</xdr:col>
      <xdr:colOff>42334</xdr:colOff>
      <xdr:row>1106</xdr:row>
      <xdr:rowOff>63501</xdr:rowOff>
    </xdr:to>
    <xdr:cxnSp macro="">
      <xdr:nvCxnSpPr>
        <xdr:cNvPr id="4171" name="Straight Arrow Connector 4170">
          <a:extLst>
            <a:ext uri="{FF2B5EF4-FFF2-40B4-BE49-F238E27FC236}">
              <a16:creationId xmlns:a16="http://schemas.microsoft.com/office/drawing/2014/main" id="{00000000-0008-0000-1200-00004B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2" name="Straight Arrow Connector 4171">
          <a:extLst>
            <a:ext uri="{FF2B5EF4-FFF2-40B4-BE49-F238E27FC236}">
              <a16:creationId xmlns:a16="http://schemas.microsoft.com/office/drawing/2014/main" id="{00000000-0008-0000-1200-00004C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3" name="Straight Arrow Connector 4172">
          <a:extLst>
            <a:ext uri="{FF2B5EF4-FFF2-40B4-BE49-F238E27FC236}">
              <a16:creationId xmlns:a16="http://schemas.microsoft.com/office/drawing/2014/main" id="{00000000-0008-0000-1200-00004D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4" name="Straight Arrow Connector 4173">
          <a:extLst>
            <a:ext uri="{FF2B5EF4-FFF2-40B4-BE49-F238E27FC236}">
              <a16:creationId xmlns:a16="http://schemas.microsoft.com/office/drawing/2014/main" id="{00000000-0008-0000-1200-00004E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5" name="Straight Arrow Connector 4174">
          <a:extLst>
            <a:ext uri="{FF2B5EF4-FFF2-40B4-BE49-F238E27FC236}">
              <a16:creationId xmlns:a16="http://schemas.microsoft.com/office/drawing/2014/main" id="{00000000-0008-0000-1200-00004F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6" name="Straight Arrow Connector 4175">
          <a:extLst>
            <a:ext uri="{FF2B5EF4-FFF2-40B4-BE49-F238E27FC236}">
              <a16:creationId xmlns:a16="http://schemas.microsoft.com/office/drawing/2014/main" id="{00000000-0008-0000-1200-000050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1099</xdr:row>
      <xdr:rowOff>31750</xdr:rowOff>
    </xdr:from>
    <xdr:to>
      <xdr:col>16</xdr:col>
      <xdr:colOff>42334</xdr:colOff>
      <xdr:row>1106</xdr:row>
      <xdr:rowOff>63501</xdr:rowOff>
    </xdr:to>
    <xdr:cxnSp macro="">
      <xdr:nvCxnSpPr>
        <xdr:cNvPr id="4177" name="Straight Arrow Connector 4176">
          <a:extLst>
            <a:ext uri="{FF2B5EF4-FFF2-40B4-BE49-F238E27FC236}">
              <a16:creationId xmlns:a16="http://schemas.microsoft.com/office/drawing/2014/main" id="{00000000-0008-0000-1200-000051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78" name="Straight Arrow Connector 4177">
          <a:extLst>
            <a:ext uri="{FF2B5EF4-FFF2-40B4-BE49-F238E27FC236}">
              <a16:creationId xmlns:a16="http://schemas.microsoft.com/office/drawing/2014/main" id="{00000000-0008-0000-1200-000052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79" name="Straight Arrow Connector 4178">
          <a:extLst>
            <a:ext uri="{FF2B5EF4-FFF2-40B4-BE49-F238E27FC236}">
              <a16:creationId xmlns:a16="http://schemas.microsoft.com/office/drawing/2014/main" id="{00000000-0008-0000-1200-000053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80" name="Straight Arrow Connector 4179">
          <a:extLst>
            <a:ext uri="{FF2B5EF4-FFF2-40B4-BE49-F238E27FC236}">
              <a16:creationId xmlns:a16="http://schemas.microsoft.com/office/drawing/2014/main" id="{00000000-0008-0000-1200-000054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81" name="Straight Arrow Connector 4180">
          <a:extLst>
            <a:ext uri="{FF2B5EF4-FFF2-40B4-BE49-F238E27FC236}">
              <a16:creationId xmlns:a16="http://schemas.microsoft.com/office/drawing/2014/main" id="{00000000-0008-0000-1200-000055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82" name="Straight Arrow Connector 4181">
          <a:extLst>
            <a:ext uri="{FF2B5EF4-FFF2-40B4-BE49-F238E27FC236}">
              <a16:creationId xmlns:a16="http://schemas.microsoft.com/office/drawing/2014/main" id="{00000000-0008-0000-1200-000056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1099</xdr:row>
      <xdr:rowOff>31750</xdr:rowOff>
    </xdr:from>
    <xdr:to>
      <xdr:col>16</xdr:col>
      <xdr:colOff>42334</xdr:colOff>
      <xdr:row>1106</xdr:row>
      <xdr:rowOff>63501</xdr:rowOff>
    </xdr:to>
    <xdr:cxnSp macro="">
      <xdr:nvCxnSpPr>
        <xdr:cNvPr id="4183" name="Straight Arrow Connector 4182">
          <a:extLst>
            <a:ext uri="{FF2B5EF4-FFF2-40B4-BE49-F238E27FC236}">
              <a16:creationId xmlns:a16="http://schemas.microsoft.com/office/drawing/2014/main" id="{00000000-0008-0000-1200-000057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84" name="Straight Arrow Connector 4183">
          <a:extLst>
            <a:ext uri="{FF2B5EF4-FFF2-40B4-BE49-F238E27FC236}">
              <a16:creationId xmlns:a16="http://schemas.microsoft.com/office/drawing/2014/main" id="{00000000-0008-0000-1200-000058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1099</xdr:row>
      <xdr:rowOff>31750</xdr:rowOff>
    </xdr:from>
    <xdr:to>
      <xdr:col>16</xdr:col>
      <xdr:colOff>42334</xdr:colOff>
      <xdr:row>1106</xdr:row>
      <xdr:rowOff>63501</xdr:rowOff>
    </xdr:to>
    <xdr:cxnSp macro="">
      <xdr:nvCxnSpPr>
        <xdr:cNvPr id="4185" name="Straight Arrow Connector 4184">
          <a:extLst>
            <a:ext uri="{FF2B5EF4-FFF2-40B4-BE49-F238E27FC236}">
              <a16:creationId xmlns:a16="http://schemas.microsoft.com/office/drawing/2014/main" id="{00000000-0008-0000-1200-000059100000}"/>
            </a:ext>
          </a:extLst>
        </xdr:cNvPr>
        <xdr:cNvCxnSpPr/>
      </xdr:nvCxnSpPr>
      <xdr:spPr>
        <a:xfrm>
          <a:off x="11281833" y="2013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1112</xdr:row>
      <xdr:rowOff>31750</xdr:rowOff>
    </xdr:from>
    <xdr:to>
      <xdr:col>16</xdr:col>
      <xdr:colOff>21167</xdr:colOff>
      <xdr:row>1119</xdr:row>
      <xdr:rowOff>95250</xdr:rowOff>
    </xdr:to>
    <xdr:cxnSp macro="">
      <xdr:nvCxnSpPr>
        <xdr:cNvPr id="4186" name="Straight Arrow Connector 4185">
          <a:extLst>
            <a:ext uri="{FF2B5EF4-FFF2-40B4-BE49-F238E27FC236}">
              <a16:creationId xmlns:a16="http://schemas.microsoft.com/office/drawing/2014/main" id="{00000000-0008-0000-1200-00005A100000}"/>
            </a:ext>
          </a:extLst>
        </xdr:cNvPr>
        <xdr:cNvCxnSpPr/>
      </xdr:nvCxnSpPr>
      <xdr:spPr>
        <a:xfrm>
          <a:off x="11324166" y="204057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87" name="Straight Arrow Connector 4186">
          <a:extLst>
            <a:ext uri="{FF2B5EF4-FFF2-40B4-BE49-F238E27FC236}">
              <a16:creationId xmlns:a16="http://schemas.microsoft.com/office/drawing/2014/main" id="{00000000-0008-0000-1200-00005B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88" name="Straight Arrow Connector 4187">
          <a:extLst>
            <a:ext uri="{FF2B5EF4-FFF2-40B4-BE49-F238E27FC236}">
              <a16:creationId xmlns:a16="http://schemas.microsoft.com/office/drawing/2014/main" id="{00000000-0008-0000-1200-00005C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89" name="Straight Arrow Connector 4188">
          <a:extLst>
            <a:ext uri="{FF2B5EF4-FFF2-40B4-BE49-F238E27FC236}">
              <a16:creationId xmlns:a16="http://schemas.microsoft.com/office/drawing/2014/main" id="{00000000-0008-0000-1200-00005D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0" name="Straight Arrow Connector 4189">
          <a:extLst>
            <a:ext uri="{FF2B5EF4-FFF2-40B4-BE49-F238E27FC236}">
              <a16:creationId xmlns:a16="http://schemas.microsoft.com/office/drawing/2014/main" id="{00000000-0008-0000-1200-00005E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1" name="Straight Arrow Connector 4190">
          <a:extLst>
            <a:ext uri="{FF2B5EF4-FFF2-40B4-BE49-F238E27FC236}">
              <a16:creationId xmlns:a16="http://schemas.microsoft.com/office/drawing/2014/main" id="{00000000-0008-0000-1200-00005F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4192" name="Straight Arrow Connector 4191">
          <a:extLst>
            <a:ext uri="{FF2B5EF4-FFF2-40B4-BE49-F238E27FC236}">
              <a16:creationId xmlns:a16="http://schemas.microsoft.com/office/drawing/2014/main" id="{00000000-0008-0000-1200-000060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3" name="Straight Arrow Connector 4192">
          <a:extLst>
            <a:ext uri="{FF2B5EF4-FFF2-40B4-BE49-F238E27FC236}">
              <a16:creationId xmlns:a16="http://schemas.microsoft.com/office/drawing/2014/main" id="{00000000-0008-0000-1200-000061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194" name="Straight Arrow Connector 4193">
          <a:extLst>
            <a:ext uri="{FF2B5EF4-FFF2-40B4-BE49-F238E27FC236}">
              <a16:creationId xmlns:a16="http://schemas.microsoft.com/office/drawing/2014/main" id="{00000000-0008-0000-1200-000062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5" name="Straight Arrow Connector 4194">
          <a:extLst>
            <a:ext uri="{FF2B5EF4-FFF2-40B4-BE49-F238E27FC236}">
              <a16:creationId xmlns:a16="http://schemas.microsoft.com/office/drawing/2014/main" id="{00000000-0008-0000-1200-000063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196" name="Straight Arrow Connector 4195">
          <a:extLst>
            <a:ext uri="{FF2B5EF4-FFF2-40B4-BE49-F238E27FC236}">
              <a16:creationId xmlns:a16="http://schemas.microsoft.com/office/drawing/2014/main" id="{00000000-0008-0000-1200-000064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7" name="Straight Arrow Connector 4196">
          <a:extLst>
            <a:ext uri="{FF2B5EF4-FFF2-40B4-BE49-F238E27FC236}">
              <a16:creationId xmlns:a16="http://schemas.microsoft.com/office/drawing/2014/main" id="{00000000-0008-0000-1200-000065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198" name="Straight Arrow Connector 4197">
          <a:extLst>
            <a:ext uri="{FF2B5EF4-FFF2-40B4-BE49-F238E27FC236}">
              <a16:creationId xmlns:a16="http://schemas.microsoft.com/office/drawing/2014/main" id="{00000000-0008-0000-1200-000066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199" name="Straight Arrow Connector 4198">
          <a:extLst>
            <a:ext uri="{FF2B5EF4-FFF2-40B4-BE49-F238E27FC236}">
              <a16:creationId xmlns:a16="http://schemas.microsoft.com/office/drawing/2014/main" id="{00000000-0008-0000-1200-000067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4200" name="Straight Arrow Connector 4199">
          <a:extLst>
            <a:ext uri="{FF2B5EF4-FFF2-40B4-BE49-F238E27FC236}">
              <a16:creationId xmlns:a16="http://schemas.microsoft.com/office/drawing/2014/main" id="{00000000-0008-0000-1200-000068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1" name="Straight Arrow Connector 4200">
          <a:extLst>
            <a:ext uri="{FF2B5EF4-FFF2-40B4-BE49-F238E27FC236}">
              <a16:creationId xmlns:a16="http://schemas.microsoft.com/office/drawing/2014/main" id="{00000000-0008-0000-1200-000069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4202" name="Straight Arrow Connector 4201">
          <a:extLst>
            <a:ext uri="{FF2B5EF4-FFF2-40B4-BE49-F238E27FC236}">
              <a16:creationId xmlns:a16="http://schemas.microsoft.com/office/drawing/2014/main" id="{00000000-0008-0000-1200-00006A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3" name="Straight Arrow Connector 4202">
          <a:extLst>
            <a:ext uri="{FF2B5EF4-FFF2-40B4-BE49-F238E27FC236}">
              <a16:creationId xmlns:a16="http://schemas.microsoft.com/office/drawing/2014/main" id="{00000000-0008-0000-1200-00006B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4" name="Straight Arrow Connector 4203">
          <a:extLst>
            <a:ext uri="{FF2B5EF4-FFF2-40B4-BE49-F238E27FC236}">
              <a16:creationId xmlns:a16="http://schemas.microsoft.com/office/drawing/2014/main" id="{00000000-0008-0000-1200-00006C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5" name="Straight Arrow Connector 4204">
          <a:extLst>
            <a:ext uri="{FF2B5EF4-FFF2-40B4-BE49-F238E27FC236}">
              <a16:creationId xmlns:a16="http://schemas.microsoft.com/office/drawing/2014/main" id="{00000000-0008-0000-1200-00006D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6" name="Straight Arrow Connector 4205">
          <a:extLst>
            <a:ext uri="{FF2B5EF4-FFF2-40B4-BE49-F238E27FC236}">
              <a16:creationId xmlns:a16="http://schemas.microsoft.com/office/drawing/2014/main" id="{00000000-0008-0000-1200-00006E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7" name="Straight Arrow Connector 4206">
          <a:extLst>
            <a:ext uri="{FF2B5EF4-FFF2-40B4-BE49-F238E27FC236}">
              <a16:creationId xmlns:a16="http://schemas.microsoft.com/office/drawing/2014/main" id="{00000000-0008-0000-1200-00006F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4208" name="Straight Arrow Connector 4207">
          <a:extLst>
            <a:ext uri="{FF2B5EF4-FFF2-40B4-BE49-F238E27FC236}">
              <a16:creationId xmlns:a16="http://schemas.microsoft.com/office/drawing/2014/main" id="{00000000-0008-0000-1200-000070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09" name="Straight Arrow Connector 4208">
          <a:extLst>
            <a:ext uri="{FF2B5EF4-FFF2-40B4-BE49-F238E27FC236}">
              <a16:creationId xmlns:a16="http://schemas.microsoft.com/office/drawing/2014/main" id="{00000000-0008-0000-1200-000071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210" name="Straight Arrow Connector 4209">
          <a:extLst>
            <a:ext uri="{FF2B5EF4-FFF2-40B4-BE49-F238E27FC236}">
              <a16:creationId xmlns:a16="http://schemas.microsoft.com/office/drawing/2014/main" id="{00000000-0008-0000-1200-000072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11" name="Straight Arrow Connector 4210">
          <a:extLst>
            <a:ext uri="{FF2B5EF4-FFF2-40B4-BE49-F238E27FC236}">
              <a16:creationId xmlns:a16="http://schemas.microsoft.com/office/drawing/2014/main" id="{00000000-0008-0000-1200-000073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212" name="Straight Arrow Connector 4211">
          <a:extLst>
            <a:ext uri="{FF2B5EF4-FFF2-40B4-BE49-F238E27FC236}">
              <a16:creationId xmlns:a16="http://schemas.microsoft.com/office/drawing/2014/main" id="{00000000-0008-0000-1200-000074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13" name="Straight Arrow Connector 4212">
          <a:extLst>
            <a:ext uri="{FF2B5EF4-FFF2-40B4-BE49-F238E27FC236}">
              <a16:creationId xmlns:a16="http://schemas.microsoft.com/office/drawing/2014/main" id="{00000000-0008-0000-1200-000075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1155</xdr:row>
      <xdr:rowOff>31750</xdr:rowOff>
    </xdr:from>
    <xdr:to>
      <xdr:col>16</xdr:col>
      <xdr:colOff>42334</xdr:colOff>
      <xdr:row>1162</xdr:row>
      <xdr:rowOff>63501</xdr:rowOff>
    </xdr:to>
    <xdr:cxnSp macro="">
      <xdr:nvCxnSpPr>
        <xdr:cNvPr id="4214" name="Straight Arrow Connector 4213">
          <a:extLst>
            <a:ext uri="{FF2B5EF4-FFF2-40B4-BE49-F238E27FC236}">
              <a16:creationId xmlns:a16="http://schemas.microsoft.com/office/drawing/2014/main" id="{00000000-0008-0000-1200-000076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15" name="Straight Arrow Connector 4214">
          <a:extLst>
            <a:ext uri="{FF2B5EF4-FFF2-40B4-BE49-F238E27FC236}">
              <a16:creationId xmlns:a16="http://schemas.microsoft.com/office/drawing/2014/main" id="{00000000-0008-0000-1200-000077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1155</xdr:row>
      <xdr:rowOff>31750</xdr:rowOff>
    </xdr:from>
    <xdr:to>
      <xdr:col>16</xdr:col>
      <xdr:colOff>42334</xdr:colOff>
      <xdr:row>1162</xdr:row>
      <xdr:rowOff>63501</xdr:rowOff>
    </xdr:to>
    <xdr:cxnSp macro="">
      <xdr:nvCxnSpPr>
        <xdr:cNvPr id="4216" name="Straight Arrow Connector 4215">
          <a:extLst>
            <a:ext uri="{FF2B5EF4-FFF2-40B4-BE49-F238E27FC236}">
              <a16:creationId xmlns:a16="http://schemas.microsoft.com/office/drawing/2014/main" id="{00000000-0008-0000-1200-000078100000}"/>
            </a:ext>
          </a:extLst>
        </xdr:cNvPr>
        <xdr:cNvCxnSpPr/>
      </xdr:nvCxnSpPr>
      <xdr:spPr>
        <a:xfrm>
          <a:off x="11281833" y="2122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1168</xdr:row>
      <xdr:rowOff>31750</xdr:rowOff>
    </xdr:from>
    <xdr:to>
      <xdr:col>16</xdr:col>
      <xdr:colOff>21167</xdr:colOff>
      <xdr:row>1175</xdr:row>
      <xdr:rowOff>95250</xdr:rowOff>
    </xdr:to>
    <xdr:cxnSp macro="">
      <xdr:nvCxnSpPr>
        <xdr:cNvPr id="4217" name="Straight Arrow Connector 4216">
          <a:extLst>
            <a:ext uri="{FF2B5EF4-FFF2-40B4-BE49-F238E27FC236}">
              <a16:creationId xmlns:a16="http://schemas.microsoft.com/office/drawing/2014/main" id="{00000000-0008-0000-1200-000079100000}"/>
            </a:ext>
          </a:extLst>
        </xdr:cNvPr>
        <xdr:cNvCxnSpPr/>
      </xdr:nvCxnSpPr>
      <xdr:spPr>
        <a:xfrm>
          <a:off x="11324166" y="214915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18" name="Straight Arrow Connector 4217">
          <a:extLst>
            <a:ext uri="{FF2B5EF4-FFF2-40B4-BE49-F238E27FC236}">
              <a16:creationId xmlns:a16="http://schemas.microsoft.com/office/drawing/2014/main" id="{00000000-0008-0000-1200-00007A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19" name="Straight Arrow Connector 4218">
          <a:extLst>
            <a:ext uri="{FF2B5EF4-FFF2-40B4-BE49-F238E27FC236}">
              <a16:creationId xmlns:a16="http://schemas.microsoft.com/office/drawing/2014/main" id="{00000000-0008-0000-1200-00007B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20" name="Straight Arrow Connector 4219">
          <a:extLst>
            <a:ext uri="{FF2B5EF4-FFF2-40B4-BE49-F238E27FC236}">
              <a16:creationId xmlns:a16="http://schemas.microsoft.com/office/drawing/2014/main" id="{00000000-0008-0000-1200-00007C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1" name="Straight Arrow Connector 4220">
          <a:extLst>
            <a:ext uri="{FF2B5EF4-FFF2-40B4-BE49-F238E27FC236}">
              <a16:creationId xmlns:a16="http://schemas.microsoft.com/office/drawing/2014/main" id="{00000000-0008-0000-1200-00007D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22" name="Straight Arrow Connector 4221">
          <a:extLst>
            <a:ext uri="{FF2B5EF4-FFF2-40B4-BE49-F238E27FC236}">
              <a16:creationId xmlns:a16="http://schemas.microsoft.com/office/drawing/2014/main" id="{00000000-0008-0000-1200-00007E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3" name="Straight Arrow Connector 4222">
          <a:extLst>
            <a:ext uri="{FF2B5EF4-FFF2-40B4-BE49-F238E27FC236}">
              <a16:creationId xmlns:a16="http://schemas.microsoft.com/office/drawing/2014/main" id="{00000000-0008-0000-1200-00007F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24" name="Straight Arrow Connector 4223">
          <a:extLst>
            <a:ext uri="{FF2B5EF4-FFF2-40B4-BE49-F238E27FC236}">
              <a16:creationId xmlns:a16="http://schemas.microsoft.com/office/drawing/2014/main" id="{00000000-0008-0000-1200-000080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5" name="Straight Arrow Connector 4224">
          <a:extLst>
            <a:ext uri="{FF2B5EF4-FFF2-40B4-BE49-F238E27FC236}">
              <a16:creationId xmlns:a16="http://schemas.microsoft.com/office/drawing/2014/main" id="{00000000-0008-0000-1200-000081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6" name="Straight Arrow Connector 4225">
          <a:extLst>
            <a:ext uri="{FF2B5EF4-FFF2-40B4-BE49-F238E27FC236}">
              <a16:creationId xmlns:a16="http://schemas.microsoft.com/office/drawing/2014/main" id="{00000000-0008-0000-1200-000082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7" name="Straight Arrow Connector 4226">
          <a:extLst>
            <a:ext uri="{FF2B5EF4-FFF2-40B4-BE49-F238E27FC236}">
              <a16:creationId xmlns:a16="http://schemas.microsoft.com/office/drawing/2014/main" id="{00000000-0008-0000-1200-000083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28" name="Straight Arrow Connector 4227">
          <a:extLst>
            <a:ext uri="{FF2B5EF4-FFF2-40B4-BE49-F238E27FC236}">
              <a16:creationId xmlns:a16="http://schemas.microsoft.com/office/drawing/2014/main" id="{00000000-0008-0000-1200-000084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29" name="Straight Arrow Connector 4228">
          <a:extLst>
            <a:ext uri="{FF2B5EF4-FFF2-40B4-BE49-F238E27FC236}">
              <a16:creationId xmlns:a16="http://schemas.microsoft.com/office/drawing/2014/main" id="{00000000-0008-0000-1200-000085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0" name="Straight Arrow Connector 4229">
          <a:extLst>
            <a:ext uri="{FF2B5EF4-FFF2-40B4-BE49-F238E27FC236}">
              <a16:creationId xmlns:a16="http://schemas.microsoft.com/office/drawing/2014/main" id="{00000000-0008-0000-1200-000086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1" name="Straight Arrow Connector 4230">
          <a:extLst>
            <a:ext uri="{FF2B5EF4-FFF2-40B4-BE49-F238E27FC236}">
              <a16:creationId xmlns:a16="http://schemas.microsoft.com/office/drawing/2014/main" id="{00000000-0008-0000-1200-000087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2" name="Straight Arrow Connector 4231">
          <a:extLst>
            <a:ext uri="{FF2B5EF4-FFF2-40B4-BE49-F238E27FC236}">
              <a16:creationId xmlns:a16="http://schemas.microsoft.com/office/drawing/2014/main" id="{00000000-0008-0000-1200-000088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3" name="Straight Arrow Connector 4232">
          <a:extLst>
            <a:ext uri="{FF2B5EF4-FFF2-40B4-BE49-F238E27FC236}">
              <a16:creationId xmlns:a16="http://schemas.microsoft.com/office/drawing/2014/main" id="{00000000-0008-0000-1200-000089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4" name="Straight Arrow Connector 4233">
          <a:extLst>
            <a:ext uri="{FF2B5EF4-FFF2-40B4-BE49-F238E27FC236}">
              <a16:creationId xmlns:a16="http://schemas.microsoft.com/office/drawing/2014/main" id="{00000000-0008-0000-1200-00008A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35" name="Straight Arrow Connector 4234">
          <a:extLst>
            <a:ext uri="{FF2B5EF4-FFF2-40B4-BE49-F238E27FC236}">
              <a16:creationId xmlns:a16="http://schemas.microsoft.com/office/drawing/2014/main" id="{00000000-0008-0000-1200-00008B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6" name="Straight Arrow Connector 4235">
          <a:extLst>
            <a:ext uri="{FF2B5EF4-FFF2-40B4-BE49-F238E27FC236}">
              <a16:creationId xmlns:a16="http://schemas.microsoft.com/office/drawing/2014/main" id="{00000000-0008-0000-1200-00008C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37" name="Straight Arrow Connector 4236">
          <a:extLst>
            <a:ext uri="{FF2B5EF4-FFF2-40B4-BE49-F238E27FC236}">
              <a16:creationId xmlns:a16="http://schemas.microsoft.com/office/drawing/2014/main" id="{00000000-0008-0000-1200-00008D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38" name="Straight Arrow Connector 4237">
          <a:extLst>
            <a:ext uri="{FF2B5EF4-FFF2-40B4-BE49-F238E27FC236}">
              <a16:creationId xmlns:a16="http://schemas.microsoft.com/office/drawing/2014/main" id="{00000000-0008-0000-1200-00008E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39" name="Straight Arrow Connector 4238">
          <a:extLst>
            <a:ext uri="{FF2B5EF4-FFF2-40B4-BE49-F238E27FC236}">
              <a16:creationId xmlns:a16="http://schemas.microsoft.com/office/drawing/2014/main" id="{00000000-0008-0000-1200-00008F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0" name="Straight Arrow Connector 4239">
          <a:extLst>
            <a:ext uri="{FF2B5EF4-FFF2-40B4-BE49-F238E27FC236}">
              <a16:creationId xmlns:a16="http://schemas.microsoft.com/office/drawing/2014/main" id="{00000000-0008-0000-1200-000090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41" name="Straight Arrow Connector 4240">
          <a:extLst>
            <a:ext uri="{FF2B5EF4-FFF2-40B4-BE49-F238E27FC236}">
              <a16:creationId xmlns:a16="http://schemas.microsoft.com/office/drawing/2014/main" id="{00000000-0008-0000-1200-000091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2" name="Straight Arrow Connector 4241">
          <a:extLst>
            <a:ext uri="{FF2B5EF4-FFF2-40B4-BE49-F238E27FC236}">
              <a16:creationId xmlns:a16="http://schemas.microsoft.com/office/drawing/2014/main" id="{00000000-0008-0000-1200-000092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43" name="Straight Arrow Connector 4242">
          <a:extLst>
            <a:ext uri="{FF2B5EF4-FFF2-40B4-BE49-F238E27FC236}">
              <a16:creationId xmlns:a16="http://schemas.microsoft.com/office/drawing/2014/main" id="{00000000-0008-0000-1200-000093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4" name="Straight Arrow Connector 4243">
          <a:extLst>
            <a:ext uri="{FF2B5EF4-FFF2-40B4-BE49-F238E27FC236}">
              <a16:creationId xmlns:a16="http://schemas.microsoft.com/office/drawing/2014/main" id="{00000000-0008-0000-1200-000094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45" name="Straight Arrow Connector 4244">
          <a:extLst>
            <a:ext uri="{FF2B5EF4-FFF2-40B4-BE49-F238E27FC236}">
              <a16:creationId xmlns:a16="http://schemas.microsoft.com/office/drawing/2014/main" id="{00000000-0008-0000-1200-000095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6" name="Straight Arrow Connector 4245">
          <a:extLst>
            <a:ext uri="{FF2B5EF4-FFF2-40B4-BE49-F238E27FC236}">
              <a16:creationId xmlns:a16="http://schemas.microsoft.com/office/drawing/2014/main" id="{00000000-0008-0000-1200-000096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7" name="Straight Arrow Connector 4246">
          <a:extLst>
            <a:ext uri="{FF2B5EF4-FFF2-40B4-BE49-F238E27FC236}">
              <a16:creationId xmlns:a16="http://schemas.microsoft.com/office/drawing/2014/main" id="{00000000-0008-0000-1200-000097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8" name="Straight Arrow Connector 4247">
          <a:extLst>
            <a:ext uri="{FF2B5EF4-FFF2-40B4-BE49-F238E27FC236}">
              <a16:creationId xmlns:a16="http://schemas.microsoft.com/office/drawing/2014/main" id="{00000000-0008-0000-1200-000098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49" name="Straight Arrow Connector 4248">
          <a:extLst>
            <a:ext uri="{FF2B5EF4-FFF2-40B4-BE49-F238E27FC236}">
              <a16:creationId xmlns:a16="http://schemas.microsoft.com/office/drawing/2014/main" id="{00000000-0008-0000-1200-000099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50" name="Straight Arrow Connector 4249">
          <a:extLst>
            <a:ext uri="{FF2B5EF4-FFF2-40B4-BE49-F238E27FC236}">
              <a16:creationId xmlns:a16="http://schemas.microsoft.com/office/drawing/2014/main" id="{00000000-0008-0000-1200-00009A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51" name="Straight Arrow Connector 4250">
          <a:extLst>
            <a:ext uri="{FF2B5EF4-FFF2-40B4-BE49-F238E27FC236}">
              <a16:creationId xmlns:a16="http://schemas.microsoft.com/office/drawing/2014/main" id="{00000000-0008-0000-1200-00009B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52" name="Straight Arrow Connector 4251">
          <a:extLst>
            <a:ext uri="{FF2B5EF4-FFF2-40B4-BE49-F238E27FC236}">
              <a16:creationId xmlns:a16="http://schemas.microsoft.com/office/drawing/2014/main" id="{00000000-0008-0000-1200-00009C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53" name="Straight Arrow Connector 4252">
          <a:extLst>
            <a:ext uri="{FF2B5EF4-FFF2-40B4-BE49-F238E27FC236}">
              <a16:creationId xmlns:a16="http://schemas.microsoft.com/office/drawing/2014/main" id="{00000000-0008-0000-1200-00009D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54" name="Straight Arrow Connector 4253">
          <a:extLst>
            <a:ext uri="{FF2B5EF4-FFF2-40B4-BE49-F238E27FC236}">
              <a16:creationId xmlns:a16="http://schemas.microsoft.com/office/drawing/2014/main" id="{00000000-0008-0000-1200-00009E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55" name="Straight Arrow Connector 4254">
          <a:extLst>
            <a:ext uri="{FF2B5EF4-FFF2-40B4-BE49-F238E27FC236}">
              <a16:creationId xmlns:a16="http://schemas.microsoft.com/office/drawing/2014/main" id="{00000000-0008-0000-1200-00009F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56" name="Straight Arrow Connector 4255">
          <a:extLst>
            <a:ext uri="{FF2B5EF4-FFF2-40B4-BE49-F238E27FC236}">
              <a16:creationId xmlns:a16="http://schemas.microsoft.com/office/drawing/2014/main" id="{00000000-0008-0000-1200-0000A0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1211</xdr:row>
      <xdr:rowOff>31750</xdr:rowOff>
    </xdr:from>
    <xdr:to>
      <xdr:col>16</xdr:col>
      <xdr:colOff>42334</xdr:colOff>
      <xdr:row>1218</xdr:row>
      <xdr:rowOff>63501</xdr:rowOff>
    </xdr:to>
    <xdr:cxnSp macro="">
      <xdr:nvCxnSpPr>
        <xdr:cNvPr id="4257" name="Straight Arrow Connector 4256">
          <a:extLst>
            <a:ext uri="{FF2B5EF4-FFF2-40B4-BE49-F238E27FC236}">
              <a16:creationId xmlns:a16="http://schemas.microsoft.com/office/drawing/2014/main" id="{00000000-0008-0000-1200-0000A1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58" name="Straight Arrow Connector 4257">
          <a:extLst>
            <a:ext uri="{FF2B5EF4-FFF2-40B4-BE49-F238E27FC236}">
              <a16:creationId xmlns:a16="http://schemas.microsoft.com/office/drawing/2014/main" id="{00000000-0008-0000-1200-0000A2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1211</xdr:row>
      <xdr:rowOff>31750</xdr:rowOff>
    </xdr:from>
    <xdr:to>
      <xdr:col>16</xdr:col>
      <xdr:colOff>42334</xdr:colOff>
      <xdr:row>1218</xdr:row>
      <xdr:rowOff>63501</xdr:rowOff>
    </xdr:to>
    <xdr:cxnSp macro="">
      <xdr:nvCxnSpPr>
        <xdr:cNvPr id="4259" name="Straight Arrow Connector 4258">
          <a:extLst>
            <a:ext uri="{FF2B5EF4-FFF2-40B4-BE49-F238E27FC236}">
              <a16:creationId xmlns:a16="http://schemas.microsoft.com/office/drawing/2014/main" id="{00000000-0008-0000-1200-0000A3100000}"/>
            </a:ext>
          </a:extLst>
        </xdr:cNvPr>
        <xdr:cNvCxnSpPr/>
      </xdr:nvCxnSpPr>
      <xdr:spPr>
        <a:xfrm>
          <a:off x="11281833" y="2231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1224</xdr:row>
      <xdr:rowOff>31750</xdr:rowOff>
    </xdr:from>
    <xdr:to>
      <xdr:col>16</xdr:col>
      <xdr:colOff>21167</xdr:colOff>
      <xdr:row>1231</xdr:row>
      <xdr:rowOff>95250</xdr:rowOff>
    </xdr:to>
    <xdr:cxnSp macro="">
      <xdr:nvCxnSpPr>
        <xdr:cNvPr id="4260" name="Straight Arrow Connector 4259">
          <a:extLst>
            <a:ext uri="{FF2B5EF4-FFF2-40B4-BE49-F238E27FC236}">
              <a16:creationId xmlns:a16="http://schemas.microsoft.com/office/drawing/2014/main" id="{00000000-0008-0000-1200-0000A4100000}"/>
            </a:ext>
          </a:extLst>
        </xdr:cNvPr>
        <xdr:cNvCxnSpPr/>
      </xdr:nvCxnSpPr>
      <xdr:spPr>
        <a:xfrm>
          <a:off x="11324166" y="225774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1" name="Straight Arrow Connector 4260">
          <a:extLst>
            <a:ext uri="{FF2B5EF4-FFF2-40B4-BE49-F238E27FC236}">
              <a16:creationId xmlns:a16="http://schemas.microsoft.com/office/drawing/2014/main" id="{00000000-0008-0000-1200-0000A5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2" name="Straight Arrow Connector 4261">
          <a:extLst>
            <a:ext uri="{FF2B5EF4-FFF2-40B4-BE49-F238E27FC236}">
              <a16:creationId xmlns:a16="http://schemas.microsoft.com/office/drawing/2014/main" id="{00000000-0008-0000-1200-0000A6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3" name="Straight Arrow Connector 4262">
          <a:extLst>
            <a:ext uri="{FF2B5EF4-FFF2-40B4-BE49-F238E27FC236}">
              <a16:creationId xmlns:a16="http://schemas.microsoft.com/office/drawing/2014/main" id="{00000000-0008-0000-1200-0000A7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4" name="Straight Arrow Connector 4263">
          <a:extLst>
            <a:ext uri="{FF2B5EF4-FFF2-40B4-BE49-F238E27FC236}">
              <a16:creationId xmlns:a16="http://schemas.microsoft.com/office/drawing/2014/main" id="{00000000-0008-0000-1200-0000A8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65" name="Straight Arrow Connector 4264">
          <a:extLst>
            <a:ext uri="{FF2B5EF4-FFF2-40B4-BE49-F238E27FC236}">
              <a16:creationId xmlns:a16="http://schemas.microsoft.com/office/drawing/2014/main" id="{00000000-0008-0000-1200-0000A9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6" name="Straight Arrow Connector 4265">
          <a:extLst>
            <a:ext uri="{FF2B5EF4-FFF2-40B4-BE49-F238E27FC236}">
              <a16:creationId xmlns:a16="http://schemas.microsoft.com/office/drawing/2014/main" id="{00000000-0008-0000-1200-0000AA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7" name="Straight Arrow Connector 4266">
          <a:extLst>
            <a:ext uri="{FF2B5EF4-FFF2-40B4-BE49-F238E27FC236}">
              <a16:creationId xmlns:a16="http://schemas.microsoft.com/office/drawing/2014/main" id="{00000000-0008-0000-1200-0000AB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68" name="Straight Arrow Connector 4267">
          <a:extLst>
            <a:ext uri="{FF2B5EF4-FFF2-40B4-BE49-F238E27FC236}">
              <a16:creationId xmlns:a16="http://schemas.microsoft.com/office/drawing/2014/main" id="{00000000-0008-0000-1200-0000AC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69" name="Straight Arrow Connector 4268">
          <a:extLst>
            <a:ext uri="{FF2B5EF4-FFF2-40B4-BE49-F238E27FC236}">
              <a16:creationId xmlns:a16="http://schemas.microsoft.com/office/drawing/2014/main" id="{00000000-0008-0000-1200-0000AD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0" name="Straight Arrow Connector 4269">
          <a:extLst>
            <a:ext uri="{FF2B5EF4-FFF2-40B4-BE49-F238E27FC236}">
              <a16:creationId xmlns:a16="http://schemas.microsoft.com/office/drawing/2014/main" id="{00000000-0008-0000-1200-0000AE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71" name="Straight Arrow Connector 4270">
          <a:extLst>
            <a:ext uri="{FF2B5EF4-FFF2-40B4-BE49-F238E27FC236}">
              <a16:creationId xmlns:a16="http://schemas.microsoft.com/office/drawing/2014/main" id="{00000000-0008-0000-1200-0000AF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2" name="Straight Arrow Connector 4271">
          <a:extLst>
            <a:ext uri="{FF2B5EF4-FFF2-40B4-BE49-F238E27FC236}">
              <a16:creationId xmlns:a16="http://schemas.microsoft.com/office/drawing/2014/main" id="{00000000-0008-0000-1200-0000B0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73" name="Straight Arrow Connector 4272">
          <a:extLst>
            <a:ext uri="{FF2B5EF4-FFF2-40B4-BE49-F238E27FC236}">
              <a16:creationId xmlns:a16="http://schemas.microsoft.com/office/drawing/2014/main" id="{00000000-0008-0000-1200-0000B1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4" name="Straight Arrow Connector 4273">
          <a:extLst>
            <a:ext uri="{FF2B5EF4-FFF2-40B4-BE49-F238E27FC236}">
              <a16:creationId xmlns:a16="http://schemas.microsoft.com/office/drawing/2014/main" id="{00000000-0008-0000-1200-0000B2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75" name="Straight Arrow Connector 4274">
          <a:extLst>
            <a:ext uri="{FF2B5EF4-FFF2-40B4-BE49-F238E27FC236}">
              <a16:creationId xmlns:a16="http://schemas.microsoft.com/office/drawing/2014/main" id="{00000000-0008-0000-1200-0000B3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6" name="Straight Arrow Connector 4275">
          <a:extLst>
            <a:ext uri="{FF2B5EF4-FFF2-40B4-BE49-F238E27FC236}">
              <a16:creationId xmlns:a16="http://schemas.microsoft.com/office/drawing/2014/main" id="{00000000-0008-0000-1200-0000B4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77" name="Straight Arrow Connector 4276">
          <a:extLst>
            <a:ext uri="{FF2B5EF4-FFF2-40B4-BE49-F238E27FC236}">
              <a16:creationId xmlns:a16="http://schemas.microsoft.com/office/drawing/2014/main" id="{00000000-0008-0000-1200-0000B5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8" name="Straight Arrow Connector 4277">
          <a:extLst>
            <a:ext uri="{FF2B5EF4-FFF2-40B4-BE49-F238E27FC236}">
              <a16:creationId xmlns:a16="http://schemas.microsoft.com/office/drawing/2014/main" id="{00000000-0008-0000-1200-0000B6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79" name="Straight Arrow Connector 4278">
          <a:extLst>
            <a:ext uri="{FF2B5EF4-FFF2-40B4-BE49-F238E27FC236}">
              <a16:creationId xmlns:a16="http://schemas.microsoft.com/office/drawing/2014/main" id="{00000000-0008-0000-1200-0000B7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0" name="Straight Arrow Connector 4279">
          <a:extLst>
            <a:ext uri="{FF2B5EF4-FFF2-40B4-BE49-F238E27FC236}">
              <a16:creationId xmlns:a16="http://schemas.microsoft.com/office/drawing/2014/main" id="{00000000-0008-0000-1200-0000B8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81" name="Straight Arrow Connector 4280">
          <a:extLst>
            <a:ext uri="{FF2B5EF4-FFF2-40B4-BE49-F238E27FC236}">
              <a16:creationId xmlns:a16="http://schemas.microsoft.com/office/drawing/2014/main" id="{00000000-0008-0000-1200-0000B9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2" name="Straight Arrow Connector 4281">
          <a:extLst>
            <a:ext uri="{FF2B5EF4-FFF2-40B4-BE49-F238E27FC236}">
              <a16:creationId xmlns:a16="http://schemas.microsoft.com/office/drawing/2014/main" id="{00000000-0008-0000-1200-0000BA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3" name="Straight Arrow Connector 4282">
          <a:extLst>
            <a:ext uri="{FF2B5EF4-FFF2-40B4-BE49-F238E27FC236}">
              <a16:creationId xmlns:a16="http://schemas.microsoft.com/office/drawing/2014/main" id="{00000000-0008-0000-1200-0000BB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4" name="Straight Arrow Connector 4283">
          <a:extLst>
            <a:ext uri="{FF2B5EF4-FFF2-40B4-BE49-F238E27FC236}">
              <a16:creationId xmlns:a16="http://schemas.microsoft.com/office/drawing/2014/main" id="{00000000-0008-0000-1200-0000BC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5" name="Straight Arrow Connector 4284">
          <a:extLst>
            <a:ext uri="{FF2B5EF4-FFF2-40B4-BE49-F238E27FC236}">
              <a16:creationId xmlns:a16="http://schemas.microsoft.com/office/drawing/2014/main" id="{00000000-0008-0000-1200-0000BD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6" name="Straight Arrow Connector 4285">
          <a:extLst>
            <a:ext uri="{FF2B5EF4-FFF2-40B4-BE49-F238E27FC236}">
              <a16:creationId xmlns:a16="http://schemas.microsoft.com/office/drawing/2014/main" id="{00000000-0008-0000-1200-0000BE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7" name="Straight Arrow Connector 4286">
          <a:extLst>
            <a:ext uri="{FF2B5EF4-FFF2-40B4-BE49-F238E27FC236}">
              <a16:creationId xmlns:a16="http://schemas.microsoft.com/office/drawing/2014/main" id="{00000000-0008-0000-1200-0000BF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88" name="Straight Arrow Connector 4287">
          <a:extLst>
            <a:ext uri="{FF2B5EF4-FFF2-40B4-BE49-F238E27FC236}">
              <a16:creationId xmlns:a16="http://schemas.microsoft.com/office/drawing/2014/main" id="{00000000-0008-0000-1200-0000C0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89" name="Straight Arrow Connector 4288">
          <a:extLst>
            <a:ext uri="{FF2B5EF4-FFF2-40B4-BE49-F238E27FC236}">
              <a16:creationId xmlns:a16="http://schemas.microsoft.com/office/drawing/2014/main" id="{00000000-0008-0000-1200-0000C1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90" name="Straight Arrow Connector 4289">
          <a:extLst>
            <a:ext uri="{FF2B5EF4-FFF2-40B4-BE49-F238E27FC236}">
              <a16:creationId xmlns:a16="http://schemas.microsoft.com/office/drawing/2014/main" id="{00000000-0008-0000-1200-0000C2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91" name="Straight Arrow Connector 4290">
          <a:extLst>
            <a:ext uri="{FF2B5EF4-FFF2-40B4-BE49-F238E27FC236}">
              <a16:creationId xmlns:a16="http://schemas.microsoft.com/office/drawing/2014/main" id="{00000000-0008-0000-1200-0000C3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92" name="Straight Arrow Connector 4291">
          <a:extLst>
            <a:ext uri="{FF2B5EF4-FFF2-40B4-BE49-F238E27FC236}">
              <a16:creationId xmlns:a16="http://schemas.microsoft.com/office/drawing/2014/main" id="{00000000-0008-0000-1200-0000C4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93" name="Straight Arrow Connector 4292">
          <a:extLst>
            <a:ext uri="{FF2B5EF4-FFF2-40B4-BE49-F238E27FC236}">
              <a16:creationId xmlns:a16="http://schemas.microsoft.com/office/drawing/2014/main" id="{00000000-0008-0000-1200-0000C5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294" name="Straight Arrow Connector 4293">
          <a:extLst>
            <a:ext uri="{FF2B5EF4-FFF2-40B4-BE49-F238E27FC236}">
              <a16:creationId xmlns:a16="http://schemas.microsoft.com/office/drawing/2014/main" id="{00000000-0008-0000-1200-0000C6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95" name="Straight Arrow Connector 4294">
          <a:extLst>
            <a:ext uri="{FF2B5EF4-FFF2-40B4-BE49-F238E27FC236}">
              <a16:creationId xmlns:a16="http://schemas.microsoft.com/office/drawing/2014/main" id="{00000000-0008-0000-1200-0000C7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96" name="Straight Arrow Connector 4295">
          <a:extLst>
            <a:ext uri="{FF2B5EF4-FFF2-40B4-BE49-F238E27FC236}">
              <a16:creationId xmlns:a16="http://schemas.microsoft.com/office/drawing/2014/main" id="{00000000-0008-0000-1200-0000C8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97" name="Straight Arrow Connector 4296">
          <a:extLst>
            <a:ext uri="{FF2B5EF4-FFF2-40B4-BE49-F238E27FC236}">
              <a16:creationId xmlns:a16="http://schemas.microsoft.com/office/drawing/2014/main" id="{00000000-0008-0000-1200-0000C9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298" name="Straight Arrow Connector 4297">
          <a:extLst>
            <a:ext uri="{FF2B5EF4-FFF2-40B4-BE49-F238E27FC236}">
              <a16:creationId xmlns:a16="http://schemas.microsoft.com/office/drawing/2014/main" id="{00000000-0008-0000-1200-0000CA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299" name="Straight Arrow Connector 4298">
          <a:extLst>
            <a:ext uri="{FF2B5EF4-FFF2-40B4-BE49-F238E27FC236}">
              <a16:creationId xmlns:a16="http://schemas.microsoft.com/office/drawing/2014/main" id="{00000000-0008-0000-1200-0000CB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0" name="Straight Arrow Connector 4299">
          <a:extLst>
            <a:ext uri="{FF2B5EF4-FFF2-40B4-BE49-F238E27FC236}">
              <a16:creationId xmlns:a16="http://schemas.microsoft.com/office/drawing/2014/main" id="{00000000-0008-0000-1200-0000CC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1" name="Straight Arrow Connector 4300">
          <a:extLst>
            <a:ext uri="{FF2B5EF4-FFF2-40B4-BE49-F238E27FC236}">
              <a16:creationId xmlns:a16="http://schemas.microsoft.com/office/drawing/2014/main" id="{00000000-0008-0000-1200-0000CD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2" name="Straight Arrow Connector 4301">
          <a:extLst>
            <a:ext uri="{FF2B5EF4-FFF2-40B4-BE49-F238E27FC236}">
              <a16:creationId xmlns:a16="http://schemas.microsoft.com/office/drawing/2014/main" id="{00000000-0008-0000-1200-0000CE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3" name="Straight Arrow Connector 4302">
          <a:extLst>
            <a:ext uri="{FF2B5EF4-FFF2-40B4-BE49-F238E27FC236}">
              <a16:creationId xmlns:a16="http://schemas.microsoft.com/office/drawing/2014/main" id="{00000000-0008-0000-1200-0000CF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304" name="Straight Arrow Connector 4303">
          <a:extLst>
            <a:ext uri="{FF2B5EF4-FFF2-40B4-BE49-F238E27FC236}">
              <a16:creationId xmlns:a16="http://schemas.microsoft.com/office/drawing/2014/main" id="{00000000-0008-0000-1200-0000D0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5" name="Straight Arrow Connector 4304">
          <a:extLst>
            <a:ext uri="{FF2B5EF4-FFF2-40B4-BE49-F238E27FC236}">
              <a16:creationId xmlns:a16="http://schemas.microsoft.com/office/drawing/2014/main" id="{00000000-0008-0000-1200-0000D1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306" name="Straight Arrow Connector 4305">
          <a:extLst>
            <a:ext uri="{FF2B5EF4-FFF2-40B4-BE49-F238E27FC236}">
              <a16:creationId xmlns:a16="http://schemas.microsoft.com/office/drawing/2014/main" id="{00000000-0008-0000-1200-0000D2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7" name="Straight Arrow Connector 4306">
          <a:extLst>
            <a:ext uri="{FF2B5EF4-FFF2-40B4-BE49-F238E27FC236}">
              <a16:creationId xmlns:a16="http://schemas.microsoft.com/office/drawing/2014/main" id="{00000000-0008-0000-1200-0000D3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308" name="Straight Arrow Connector 4307">
          <a:extLst>
            <a:ext uri="{FF2B5EF4-FFF2-40B4-BE49-F238E27FC236}">
              <a16:creationId xmlns:a16="http://schemas.microsoft.com/office/drawing/2014/main" id="{00000000-0008-0000-1200-0000D4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09" name="Straight Arrow Connector 4308">
          <a:extLst>
            <a:ext uri="{FF2B5EF4-FFF2-40B4-BE49-F238E27FC236}">
              <a16:creationId xmlns:a16="http://schemas.microsoft.com/office/drawing/2014/main" id="{00000000-0008-0000-1200-0000D5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1267</xdr:row>
      <xdr:rowOff>31750</xdr:rowOff>
    </xdr:from>
    <xdr:to>
      <xdr:col>16</xdr:col>
      <xdr:colOff>42334</xdr:colOff>
      <xdr:row>1274</xdr:row>
      <xdr:rowOff>63501</xdr:rowOff>
    </xdr:to>
    <xdr:cxnSp macro="">
      <xdr:nvCxnSpPr>
        <xdr:cNvPr id="4310" name="Straight Arrow Connector 4309">
          <a:extLst>
            <a:ext uri="{FF2B5EF4-FFF2-40B4-BE49-F238E27FC236}">
              <a16:creationId xmlns:a16="http://schemas.microsoft.com/office/drawing/2014/main" id="{00000000-0008-0000-1200-0000D6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11" name="Straight Arrow Connector 4310">
          <a:extLst>
            <a:ext uri="{FF2B5EF4-FFF2-40B4-BE49-F238E27FC236}">
              <a16:creationId xmlns:a16="http://schemas.microsoft.com/office/drawing/2014/main" id="{00000000-0008-0000-1200-0000D7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1267</xdr:row>
      <xdr:rowOff>31750</xdr:rowOff>
    </xdr:from>
    <xdr:to>
      <xdr:col>16</xdr:col>
      <xdr:colOff>42334</xdr:colOff>
      <xdr:row>1274</xdr:row>
      <xdr:rowOff>63501</xdr:rowOff>
    </xdr:to>
    <xdr:cxnSp macro="">
      <xdr:nvCxnSpPr>
        <xdr:cNvPr id="4312" name="Straight Arrow Connector 4311">
          <a:extLst>
            <a:ext uri="{FF2B5EF4-FFF2-40B4-BE49-F238E27FC236}">
              <a16:creationId xmlns:a16="http://schemas.microsoft.com/office/drawing/2014/main" id="{00000000-0008-0000-1200-0000D8100000}"/>
            </a:ext>
          </a:extLst>
        </xdr:cNvPr>
        <xdr:cNvCxnSpPr/>
      </xdr:nvCxnSpPr>
      <xdr:spPr>
        <a:xfrm>
          <a:off x="11281833" y="233965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1280</xdr:row>
      <xdr:rowOff>31750</xdr:rowOff>
    </xdr:from>
    <xdr:to>
      <xdr:col>16</xdr:col>
      <xdr:colOff>21167</xdr:colOff>
      <xdr:row>1287</xdr:row>
      <xdr:rowOff>95250</xdr:rowOff>
    </xdr:to>
    <xdr:cxnSp macro="">
      <xdr:nvCxnSpPr>
        <xdr:cNvPr id="4313" name="Straight Arrow Connector 4312">
          <a:extLst>
            <a:ext uri="{FF2B5EF4-FFF2-40B4-BE49-F238E27FC236}">
              <a16:creationId xmlns:a16="http://schemas.microsoft.com/office/drawing/2014/main" id="{00000000-0008-0000-1200-0000D9100000}"/>
            </a:ext>
          </a:extLst>
        </xdr:cNvPr>
        <xdr:cNvCxnSpPr/>
      </xdr:nvCxnSpPr>
      <xdr:spPr>
        <a:xfrm>
          <a:off x="11324166" y="236632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14" name="Straight Arrow Connector 4313">
          <a:extLst>
            <a:ext uri="{FF2B5EF4-FFF2-40B4-BE49-F238E27FC236}">
              <a16:creationId xmlns:a16="http://schemas.microsoft.com/office/drawing/2014/main" id="{00000000-0008-0000-1200-0000DA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15" name="Straight Arrow Connector 4314">
          <a:extLst>
            <a:ext uri="{FF2B5EF4-FFF2-40B4-BE49-F238E27FC236}">
              <a16:creationId xmlns:a16="http://schemas.microsoft.com/office/drawing/2014/main" id="{00000000-0008-0000-1200-0000DB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16" name="Straight Arrow Connector 4315">
          <a:extLst>
            <a:ext uri="{FF2B5EF4-FFF2-40B4-BE49-F238E27FC236}">
              <a16:creationId xmlns:a16="http://schemas.microsoft.com/office/drawing/2014/main" id="{00000000-0008-0000-1200-0000DC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17" name="Straight Arrow Connector 4316">
          <a:extLst>
            <a:ext uri="{FF2B5EF4-FFF2-40B4-BE49-F238E27FC236}">
              <a16:creationId xmlns:a16="http://schemas.microsoft.com/office/drawing/2014/main" id="{00000000-0008-0000-1200-0000DD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18" name="Straight Arrow Connector 4317">
          <a:extLst>
            <a:ext uri="{FF2B5EF4-FFF2-40B4-BE49-F238E27FC236}">
              <a16:creationId xmlns:a16="http://schemas.microsoft.com/office/drawing/2014/main" id="{00000000-0008-0000-1200-0000DE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19" name="Straight Arrow Connector 4318">
          <a:extLst>
            <a:ext uri="{FF2B5EF4-FFF2-40B4-BE49-F238E27FC236}">
              <a16:creationId xmlns:a16="http://schemas.microsoft.com/office/drawing/2014/main" id="{00000000-0008-0000-1200-0000DF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20" name="Straight Arrow Connector 4319">
          <a:extLst>
            <a:ext uri="{FF2B5EF4-FFF2-40B4-BE49-F238E27FC236}">
              <a16:creationId xmlns:a16="http://schemas.microsoft.com/office/drawing/2014/main" id="{00000000-0008-0000-1200-0000E0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1" name="Straight Arrow Connector 4320">
          <a:extLst>
            <a:ext uri="{FF2B5EF4-FFF2-40B4-BE49-F238E27FC236}">
              <a16:creationId xmlns:a16="http://schemas.microsoft.com/office/drawing/2014/main" id="{00000000-0008-0000-1200-0000E1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22" name="Straight Arrow Connector 4321">
          <a:extLst>
            <a:ext uri="{FF2B5EF4-FFF2-40B4-BE49-F238E27FC236}">
              <a16:creationId xmlns:a16="http://schemas.microsoft.com/office/drawing/2014/main" id="{00000000-0008-0000-1200-0000E2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3" name="Straight Arrow Connector 4322">
          <a:extLst>
            <a:ext uri="{FF2B5EF4-FFF2-40B4-BE49-F238E27FC236}">
              <a16:creationId xmlns:a16="http://schemas.microsoft.com/office/drawing/2014/main" id="{00000000-0008-0000-1200-0000E3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4" name="Straight Arrow Connector 4323">
          <a:extLst>
            <a:ext uri="{FF2B5EF4-FFF2-40B4-BE49-F238E27FC236}">
              <a16:creationId xmlns:a16="http://schemas.microsoft.com/office/drawing/2014/main" id="{00000000-0008-0000-1200-0000E4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5" name="Straight Arrow Connector 4324">
          <a:extLst>
            <a:ext uri="{FF2B5EF4-FFF2-40B4-BE49-F238E27FC236}">
              <a16:creationId xmlns:a16="http://schemas.microsoft.com/office/drawing/2014/main" id="{00000000-0008-0000-1200-0000E5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26" name="Straight Arrow Connector 4325">
          <a:extLst>
            <a:ext uri="{FF2B5EF4-FFF2-40B4-BE49-F238E27FC236}">
              <a16:creationId xmlns:a16="http://schemas.microsoft.com/office/drawing/2014/main" id="{00000000-0008-0000-1200-0000E6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7" name="Straight Arrow Connector 4326">
          <a:extLst>
            <a:ext uri="{FF2B5EF4-FFF2-40B4-BE49-F238E27FC236}">
              <a16:creationId xmlns:a16="http://schemas.microsoft.com/office/drawing/2014/main" id="{00000000-0008-0000-1200-0000E7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8" name="Straight Arrow Connector 4327">
          <a:extLst>
            <a:ext uri="{FF2B5EF4-FFF2-40B4-BE49-F238E27FC236}">
              <a16:creationId xmlns:a16="http://schemas.microsoft.com/office/drawing/2014/main" id="{00000000-0008-0000-1200-0000E8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29" name="Straight Arrow Connector 4328">
          <a:extLst>
            <a:ext uri="{FF2B5EF4-FFF2-40B4-BE49-F238E27FC236}">
              <a16:creationId xmlns:a16="http://schemas.microsoft.com/office/drawing/2014/main" id="{00000000-0008-0000-1200-0000E9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0" name="Straight Arrow Connector 4329">
          <a:extLst>
            <a:ext uri="{FF2B5EF4-FFF2-40B4-BE49-F238E27FC236}">
              <a16:creationId xmlns:a16="http://schemas.microsoft.com/office/drawing/2014/main" id="{00000000-0008-0000-1200-0000EA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1" name="Straight Arrow Connector 4330">
          <a:extLst>
            <a:ext uri="{FF2B5EF4-FFF2-40B4-BE49-F238E27FC236}">
              <a16:creationId xmlns:a16="http://schemas.microsoft.com/office/drawing/2014/main" id="{00000000-0008-0000-1200-0000EB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32" name="Straight Arrow Connector 4331">
          <a:extLst>
            <a:ext uri="{FF2B5EF4-FFF2-40B4-BE49-F238E27FC236}">
              <a16:creationId xmlns:a16="http://schemas.microsoft.com/office/drawing/2014/main" id="{00000000-0008-0000-1200-0000EC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3" name="Straight Arrow Connector 4332">
          <a:extLst>
            <a:ext uri="{FF2B5EF4-FFF2-40B4-BE49-F238E27FC236}">
              <a16:creationId xmlns:a16="http://schemas.microsoft.com/office/drawing/2014/main" id="{00000000-0008-0000-1200-0000ED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4" name="Straight Arrow Connector 4333">
          <a:extLst>
            <a:ext uri="{FF2B5EF4-FFF2-40B4-BE49-F238E27FC236}">
              <a16:creationId xmlns:a16="http://schemas.microsoft.com/office/drawing/2014/main" id="{00000000-0008-0000-1200-0000EE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5" name="Straight Arrow Connector 4334">
          <a:extLst>
            <a:ext uri="{FF2B5EF4-FFF2-40B4-BE49-F238E27FC236}">
              <a16:creationId xmlns:a16="http://schemas.microsoft.com/office/drawing/2014/main" id="{00000000-0008-0000-1200-0000EF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36" name="Straight Arrow Connector 4335">
          <a:extLst>
            <a:ext uri="{FF2B5EF4-FFF2-40B4-BE49-F238E27FC236}">
              <a16:creationId xmlns:a16="http://schemas.microsoft.com/office/drawing/2014/main" id="{00000000-0008-0000-1200-0000F0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7" name="Straight Arrow Connector 4336">
          <a:extLst>
            <a:ext uri="{FF2B5EF4-FFF2-40B4-BE49-F238E27FC236}">
              <a16:creationId xmlns:a16="http://schemas.microsoft.com/office/drawing/2014/main" id="{00000000-0008-0000-1200-0000F1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38" name="Straight Arrow Connector 4337">
          <a:extLst>
            <a:ext uri="{FF2B5EF4-FFF2-40B4-BE49-F238E27FC236}">
              <a16:creationId xmlns:a16="http://schemas.microsoft.com/office/drawing/2014/main" id="{00000000-0008-0000-1200-0000F2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39" name="Straight Arrow Connector 4338">
          <a:extLst>
            <a:ext uri="{FF2B5EF4-FFF2-40B4-BE49-F238E27FC236}">
              <a16:creationId xmlns:a16="http://schemas.microsoft.com/office/drawing/2014/main" id="{00000000-0008-0000-1200-0000F3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40" name="Straight Arrow Connector 4339">
          <a:extLst>
            <a:ext uri="{FF2B5EF4-FFF2-40B4-BE49-F238E27FC236}">
              <a16:creationId xmlns:a16="http://schemas.microsoft.com/office/drawing/2014/main" id="{00000000-0008-0000-1200-0000F4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1" name="Straight Arrow Connector 4340">
          <a:extLst>
            <a:ext uri="{FF2B5EF4-FFF2-40B4-BE49-F238E27FC236}">
              <a16:creationId xmlns:a16="http://schemas.microsoft.com/office/drawing/2014/main" id="{00000000-0008-0000-1200-0000F5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42" name="Straight Arrow Connector 4341">
          <a:extLst>
            <a:ext uri="{FF2B5EF4-FFF2-40B4-BE49-F238E27FC236}">
              <a16:creationId xmlns:a16="http://schemas.microsoft.com/office/drawing/2014/main" id="{00000000-0008-0000-1200-0000F6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3" name="Straight Arrow Connector 4342">
          <a:extLst>
            <a:ext uri="{FF2B5EF4-FFF2-40B4-BE49-F238E27FC236}">
              <a16:creationId xmlns:a16="http://schemas.microsoft.com/office/drawing/2014/main" id="{00000000-0008-0000-1200-0000F7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44" name="Straight Arrow Connector 4343">
          <a:extLst>
            <a:ext uri="{FF2B5EF4-FFF2-40B4-BE49-F238E27FC236}">
              <a16:creationId xmlns:a16="http://schemas.microsoft.com/office/drawing/2014/main" id="{00000000-0008-0000-1200-0000F8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5" name="Straight Arrow Connector 4344">
          <a:extLst>
            <a:ext uri="{FF2B5EF4-FFF2-40B4-BE49-F238E27FC236}">
              <a16:creationId xmlns:a16="http://schemas.microsoft.com/office/drawing/2014/main" id="{00000000-0008-0000-1200-0000F9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6" name="Straight Arrow Connector 4345">
          <a:extLst>
            <a:ext uri="{FF2B5EF4-FFF2-40B4-BE49-F238E27FC236}">
              <a16:creationId xmlns:a16="http://schemas.microsoft.com/office/drawing/2014/main" id="{00000000-0008-0000-1200-0000FA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7" name="Straight Arrow Connector 4346">
          <a:extLst>
            <a:ext uri="{FF2B5EF4-FFF2-40B4-BE49-F238E27FC236}">
              <a16:creationId xmlns:a16="http://schemas.microsoft.com/office/drawing/2014/main" id="{00000000-0008-0000-1200-0000FB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48" name="Straight Arrow Connector 4347">
          <a:extLst>
            <a:ext uri="{FF2B5EF4-FFF2-40B4-BE49-F238E27FC236}">
              <a16:creationId xmlns:a16="http://schemas.microsoft.com/office/drawing/2014/main" id="{00000000-0008-0000-1200-0000FC10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49" name="Straight Arrow Connector 4348">
          <a:extLst>
            <a:ext uri="{FF2B5EF4-FFF2-40B4-BE49-F238E27FC236}">
              <a16:creationId xmlns:a16="http://schemas.microsoft.com/office/drawing/2014/main" id="{00000000-0008-0000-1200-0000FD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0" name="Straight Arrow Connector 4349">
          <a:extLst>
            <a:ext uri="{FF2B5EF4-FFF2-40B4-BE49-F238E27FC236}">
              <a16:creationId xmlns:a16="http://schemas.microsoft.com/office/drawing/2014/main" id="{00000000-0008-0000-1200-0000FE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1" name="Straight Arrow Connector 4350">
          <a:extLst>
            <a:ext uri="{FF2B5EF4-FFF2-40B4-BE49-F238E27FC236}">
              <a16:creationId xmlns:a16="http://schemas.microsoft.com/office/drawing/2014/main" id="{00000000-0008-0000-1200-0000FF10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2" name="Straight Arrow Connector 4351">
          <a:extLst>
            <a:ext uri="{FF2B5EF4-FFF2-40B4-BE49-F238E27FC236}">
              <a16:creationId xmlns:a16="http://schemas.microsoft.com/office/drawing/2014/main" id="{00000000-0008-0000-1200-000000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3" name="Straight Arrow Connector 4352">
          <a:extLst>
            <a:ext uri="{FF2B5EF4-FFF2-40B4-BE49-F238E27FC236}">
              <a16:creationId xmlns:a16="http://schemas.microsoft.com/office/drawing/2014/main" id="{00000000-0008-0000-1200-000001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4" name="Straight Arrow Connector 4353">
          <a:extLst>
            <a:ext uri="{FF2B5EF4-FFF2-40B4-BE49-F238E27FC236}">
              <a16:creationId xmlns:a16="http://schemas.microsoft.com/office/drawing/2014/main" id="{00000000-0008-0000-1200-000002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55" name="Straight Arrow Connector 4354">
          <a:extLst>
            <a:ext uri="{FF2B5EF4-FFF2-40B4-BE49-F238E27FC236}">
              <a16:creationId xmlns:a16="http://schemas.microsoft.com/office/drawing/2014/main" id="{00000000-0008-0000-1200-000003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6" name="Straight Arrow Connector 4355">
          <a:extLst>
            <a:ext uri="{FF2B5EF4-FFF2-40B4-BE49-F238E27FC236}">
              <a16:creationId xmlns:a16="http://schemas.microsoft.com/office/drawing/2014/main" id="{00000000-0008-0000-1200-000004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57" name="Straight Arrow Connector 4356">
          <a:extLst>
            <a:ext uri="{FF2B5EF4-FFF2-40B4-BE49-F238E27FC236}">
              <a16:creationId xmlns:a16="http://schemas.microsoft.com/office/drawing/2014/main" id="{00000000-0008-0000-1200-000005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58" name="Straight Arrow Connector 4357">
          <a:extLst>
            <a:ext uri="{FF2B5EF4-FFF2-40B4-BE49-F238E27FC236}">
              <a16:creationId xmlns:a16="http://schemas.microsoft.com/office/drawing/2014/main" id="{00000000-0008-0000-1200-000006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59" name="Straight Arrow Connector 4358">
          <a:extLst>
            <a:ext uri="{FF2B5EF4-FFF2-40B4-BE49-F238E27FC236}">
              <a16:creationId xmlns:a16="http://schemas.microsoft.com/office/drawing/2014/main" id="{00000000-0008-0000-1200-000007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0" name="Straight Arrow Connector 4359">
          <a:extLst>
            <a:ext uri="{FF2B5EF4-FFF2-40B4-BE49-F238E27FC236}">
              <a16:creationId xmlns:a16="http://schemas.microsoft.com/office/drawing/2014/main" id="{00000000-0008-0000-1200-000008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61" name="Straight Arrow Connector 4360">
          <a:extLst>
            <a:ext uri="{FF2B5EF4-FFF2-40B4-BE49-F238E27FC236}">
              <a16:creationId xmlns:a16="http://schemas.microsoft.com/office/drawing/2014/main" id="{00000000-0008-0000-1200-000009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2" name="Straight Arrow Connector 4361">
          <a:extLst>
            <a:ext uri="{FF2B5EF4-FFF2-40B4-BE49-F238E27FC236}">
              <a16:creationId xmlns:a16="http://schemas.microsoft.com/office/drawing/2014/main" id="{00000000-0008-0000-1200-00000A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63" name="Straight Arrow Connector 4362">
          <a:extLst>
            <a:ext uri="{FF2B5EF4-FFF2-40B4-BE49-F238E27FC236}">
              <a16:creationId xmlns:a16="http://schemas.microsoft.com/office/drawing/2014/main" id="{00000000-0008-0000-1200-00000B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4" name="Straight Arrow Connector 4363">
          <a:extLst>
            <a:ext uri="{FF2B5EF4-FFF2-40B4-BE49-F238E27FC236}">
              <a16:creationId xmlns:a16="http://schemas.microsoft.com/office/drawing/2014/main" id="{00000000-0008-0000-1200-00000C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65" name="Straight Arrow Connector 4364">
          <a:extLst>
            <a:ext uri="{FF2B5EF4-FFF2-40B4-BE49-F238E27FC236}">
              <a16:creationId xmlns:a16="http://schemas.microsoft.com/office/drawing/2014/main" id="{00000000-0008-0000-1200-00000D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6" name="Straight Arrow Connector 4365">
          <a:extLst>
            <a:ext uri="{FF2B5EF4-FFF2-40B4-BE49-F238E27FC236}">
              <a16:creationId xmlns:a16="http://schemas.microsoft.com/office/drawing/2014/main" id="{00000000-0008-0000-1200-00000E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7" name="Straight Arrow Connector 4366">
          <a:extLst>
            <a:ext uri="{FF2B5EF4-FFF2-40B4-BE49-F238E27FC236}">
              <a16:creationId xmlns:a16="http://schemas.microsoft.com/office/drawing/2014/main" id="{00000000-0008-0000-1200-00000F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8" name="Straight Arrow Connector 4367">
          <a:extLst>
            <a:ext uri="{FF2B5EF4-FFF2-40B4-BE49-F238E27FC236}">
              <a16:creationId xmlns:a16="http://schemas.microsoft.com/office/drawing/2014/main" id="{00000000-0008-0000-1200-000010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69" name="Straight Arrow Connector 4368">
          <a:extLst>
            <a:ext uri="{FF2B5EF4-FFF2-40B4-BE49-F238E27FC236}">
              <a16:creationId xmlns:a16="http://schemas.microsoft.com/office/drawing/2014/main" id="{00000000-0008-0000-1200-000011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70" name="Straight Arrow Connector 4369">
          <a:extLst>
            <a:ext uri="{FF2B5EF4-FFF2-40B4-BE49-F238E27FC236}">
              <a16:creationId xmlns:a16="http://schemas.microsoft.com/office/drawing/2014/main" id="{00000000-0008-0000-1200-000012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71" name="Straight Arrow Connector 4370">
          <a:extLst>
            <a:ext uri="{FF2B5EF4-FFF2-40B4-BE49-F238E27FC236}">
              <a16:creationId xmlns:a16="http://schemas.microsoft.com/office/drawing/2014/main" id="{00000000-0008-0000-1200-000013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72" name="Straight Arrow Connector 4371">
          <a:extLst>
            <a:ext uri="{FF2B5EF4-FFF2-40B4-BE49-F238E27FC236}">
              <a16:creationId xmlns:a16="http://schemas.microsoft.com/office/drawing/2014/main" id="{00000000-0008-0000-1200-000014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73" name="Straight Arrow Connector 4372">
          <a:extLst>
            <a:ext uri="{FF2B5EF4-FFF2-40B4-BE49-F238E27FC236}">
              <a16:creationId xmlns:a16="http://schemas.microsoft.com/office/drawing/2014/main" id="{00000000-0008-0000-1200-000015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74" name="Straight Arrow Connector 4373">
          <a:extLst>
            <a:ext uri="{FF2B5EF4-FFF2-40B4-BE49-F238E27FC236}">
              <a16:creationId xmlns:a16="http://schemas.microsoft.com/office/drawing/2014/main" id="{00000000-0008-0000-1200-000016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75" name="Straight Arrow Connector 4374">
          <a:extLst>
            <a:ext uri="{FF2B5EF4-FFF2-40B4-BE49-F238E27FC236}">
              <a16:creationId xmlns:a16="http://schemas.microsoft.com/office/drawing/2014/main" id="{00000000-0008-0000-1200-000017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76" name="Straight Arrow Connector 4375">
          <a:extLst>
            <a:ext uri="{FF2B5EF4-FFF2-40B4-BE49-F238E27FC236}">
              <a16:creationId xmlns:a16="http://schemas.microsoft.com/office/drawing/2014/main" id="{00000000-0008-0000-1200-000018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1323</xdr:row>
      <xdr:rowOff>31750</xdr:rowOff>
    </xdr:from>
    <xdr:to>
      <xdr:col>16</xdr:col>
      <xdr:colOff>42334</xdr:colOff>
      <xdr:row>1330</xdr:row>
      <xdr:rowOff>63501</xdr:rowOff>
    </xdr:to>
    <xdr:cxnSp macro="">
      <xdr:nvCxnSpPr>
        <xdr:cNvPr id="4377" name="Straight Arrow Connector 4376">
          <a:extLst>
            <a:ext uri="{FF2B5EF4-FFF2-40B4-BE49-F238E27FC236}">
              <a16:creationId xmlns:a16="http://schemas.microsoft.com/office/drawing/2014/main" id="{00000000-0008-0000-1200-000019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78" name="Straight Arrow Connector 4377">
          <a:extLst>
            <a:ext uri="{FF2B5EF4-FFF2-40B4-BE49-F238E27FC236}">
              <a16:creationId xmlns:a16="http://schemas.microsoft.com/office/drawing/2014/main" id="{00000000-0008-0000-1200-00001A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1323</xdr:row>
      <xdr:rowOff>31750</xdr:rowOff>
    </xdr:from>
    <xdr:to>
      <xdr:col>16</xdr:col>
      <xdr:colOff>42334</xdr:colOff>
      <xdr:row>1330</xdr:row>
      <xdr:rowOff>63501</xdr:rowOff>
    </xdr:to>
    <xdr:cxnSp macro="">
      <xdr:nvCxnSpPr>
        <xdr:cNvPr id="4379" name="Straight Arrow Connector 4378">
          <a:extLst>
            <a:ext uri="{FF2B5EF4-FFF2-40B4-BE49-F238E27FC236}">
              <a16:creationId xmlns:a16="http://schemas.microsoft.com/office/drawing/2014/main" id="{00000000-0008-0000-1200-00001B110000}"/>
            </a:ext>
          </a:extLst>
        </xdr:cNvPr>
        <xdr:cNvCxnSpPr/>
      </xdr:nvCxnSpPr>
      <xdr:spPr>
        <a:xfrm>
          <a:off x="11281833" y="244824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1336</xdr:row>
      <xdr:rowOff>31750</xdr:rowOff>
    </xdr:from>
    <xdr:to>
      <xdr:col>16</xdr:col>
      <xdr:colOff>21167</xdr:colOff>
      <xdr:row>1343</xdr:row>
      <xdr:rowOff>95250</xdr:rowOff>
    </xdr:to>
    <xdr:cxnSp macro="">
      <xdr:nvCxnSpPr>
        <xdr:cNvPr id="4380" name="Straight Arrow Connector 4379">
          <a:extLst>
            <a:ext uri="{FF2B5EF4-FFF2-40B4-BE49-F238E27FC236}">
              <a16:creationId xmlns:a16="http://schemas.microsoft.com/office/drawing/2014/main" id="{00000000-0008-0000-1200-00001C110000}"/>
            </a:ext>
          </a:extLst>
        </xdr:cNvPr>
        <xdr:cNvCxnSpPr/>
      </xdr:nvCxnSpPr>
      <xdr:spPr>
        <a:xfrm>
          <a:off x="11324166" y="247491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1439</xdr:row>
      <xdr:rowOff>31750</xdr:rowOff>
    </xdr:from>
    <xdr:to>
      <xdr:col>16</xdr:col>
      <xdr:colOff>42334</xdr:colOff>
      <xdr:row>1446</xdr:row>
      <xdr:rowOff>63501</xdr:rowOff>
    </xdr:to>
    <xdr:cxnSp macro="">
      <xdr:nvCxnSpPr>
        <xdr:cNvPr id="4381" name="Straight Arrow Connector 4380">
          <a:extLst>
            <a:ext uri="{FF2B5EF4-FFF2-40B4-BE49-F238E27FC236}">
              <a16:creationId xmlns:a16="http://schemas.microsoft.com/office/drawing/2014/main" id="{00000000-0008-0000-1200-00001D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82" name="Straight Arrow Connector 4381">
          <a:extLst>
            <a:ext uri="{FF2B5EF4-FFF2-40B4-BE49-F238E27FC236}">
              <a16:creationId xmlns:a16="http://schemas.microsoft.com/office/drawing/2014/main" id="{00000000-0008-0000-1200-00001E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1439</xdr:row>
      <xdr:rowOff>31750</xdr:rowOff>
    </xdr:from>
    <xdr:to>
      <xdr:col>16</xdr:col>
      <xdr:colOff>42334</xdr:colOff>
      <xdr:row>1446</xdr:row>
      <xdr:rowOff>63501</xdr:rowOff>
    </xdr:to>
    <xdr:cxnSp macro="">
      <xdr:nvCxnSpPr>
        <xdr:cNvPr id="4383" name="Straight Arrow Connector 4382">
          <a:extLst>
            <a:ext uri="{FF2B5EF4-FFF2-40B4-BE49-F238E27FC236}">
              <a16:creationId xmlns:a16="http://schemas.microsoft.com/office/drawing/2014/main" id="{00000000-0008-0000-1200-00001F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84" name="Straight Arrow Connector 4383">
          <a:extLst>
            <a:ext uri="{FF2B5EF4-FFF2-40B4-BE49-F238E27FC236}">
              <a16:creationId xmlns:a16="http://schemas.microsoft.com/office/drawing/2014/main" id="{00000000-0008-0000-1200-000020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1439</xdr:row>
      <xdr:rowOff>31750</xdr:rowOff>
    </xdr:from>
    <xdr:to>
      <xdr:col>16</xdr:col>
      <xdr:colOff>42334</xdr:colOff>
      <xdr:row>1446</xdr:row>
      <xdr:rowOff>63501</xdr:rowOff>
    </xdr:to>
    <xdr:cxnSp macro="">
      <xdr:nvCxnSpPr>
        <xdr:cNvPr id="4385" name="Straight Arrow Connector 4384">
          <a:extLst>
            <a:ext uri="{FF2B5EF4-FFF2-40B4-BE49-F238E27FC236}">
              <a16:creationId xmlns:a16="http://schemas.microsoft.com/office/drawing/2014/main" id="{00000000-0008-0000-1200-000021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86" name="Straight Arrow Connector 4385">
          <a:extLst>
            <a:ext uri="{FF2B5EF4-FFF2-40B4-BE49-F238E27FC236}">
              <a16:creationId xmlns:a16="http://schemas.microsoft.com/office/drawing/2014/main" id="{00000000-0008-0000-1200-000022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1439</xdr:row>
      <xdr:rowOff>31750</xdr:rowOff>
    </xdr:from>
    <xdr:to>
      <xdr:col>16</xdr:col>
      <xdr:colOff>42334</xdr:colOff>
      <xdr:row>1446</xdr:row>
      <xdr:rowOff>63501</xdr:rowOff>
    </xdr:to>
    <xdr:cxnSp macro="">
      <xdr:nvCxnSpPr>
        <xdr:cNvPr id="4387" name="Straight Arrow Connector 4386">
          <a:extLst>
            <a:ext uri="{FF2B5EF4-FFF2-40B4-BE49-F238E27FC236}">
              <a16:creationId xmlns:a16="http://schemas.microsoft.com/office/drawing/2014/main" id="{00000000-0008-0000-1200-000023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88" name="Straight Arrow Connector 4387">
          <a:extLst>
            <a:ext uri="{FF2B5EF4-FFF2-40B4-BE49-F238E27FC236}">
              <a16:creationId xmlns:a16="http://schemas.microsoft.com/office/drawing/2014/main" id="{00000000-0008-0000-1200-000024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1439</xdr:row>
      <xdr:rowOff>31750</xdr:rowOff>
    </xdr:from>
    <xdr:to>
      <xdr:col>16</xdr:col>
      <xdr:colOff>42334</xdr:colOff>
      <xdr:row>1446</xdr:row>
      <xdr:rowOff>63501</xdr:rowOff>
    </xdr:to>
    <xdr:cxnSp macro="">
      <xdr:nvCxnSpPr>
        <xdr:cNvPr id="4389" name="Straight Arrow Connector 4388">
          <a:extLst>
            <a:ext uri="{FF2B5EF4-FFF2-40B4-BE49-F238E27FC236}">
              <a16:creationId xmlns:a16="http://schemas.microsoft.com/office/drawing/2014/main" id="{00000000-0008-0000-1200-000025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90" name="Straight Arrow Connector 4389">
          <a:extLst>
            <a:ext uri="{FF2B5EF4-FFF2-40B4-BE49-F238E27FC236}">
              <a16:creationId xmlns:a16="http://schemas.microsoft.com/office/drawing/2014/main" id="{00000000-0008-0000-1200-000026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1439</xdr:row>
      <xdr:rowOff>31750</xdr:rowOff>
    </xdr:from>
    <xdr:to>
      <xdr:col>16</xdr:col>
      <xdr:colOff>42334</xdr:colOff>
      <xdr:row>1446</xdr:row>
      <xdr:rowOff>63501</xdr:rowOff>
    </xdr:to>
    <xdr:cxnSp macro="">
      <xdr:nvCxnSpPr>
        <xdr:cNvPr id="4391" name="Straight Arrow Connector 4390">
          <a:extLst>
            <a:ext uri="{FF2B5EF4-FFF2-40B4-BE49-F238E27FC236}">
              <a16:creationId xmlns:a16="http://schemas.microsoft.com/office/drawing/2014/main" id="{00000000-0008-0000-1200-000027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92" name="Straight Arrow Connector 4391">
          <a:extLst>
            <a:ext uri="{FF2B5EF4-FFF2-40B4-BE49-F238E27FC236}">
              <a16:creationId xmlns:a16="http://schemas.microsoft.com/office/drawing/2014/main" id="{00000000-0008-0000-1200-000028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1439</xdr:row>
      <xdr:rowOff>31750</xdr:rowOff>
    </xdr:from>
    <xdr:to>
      <xdr:col>16</xdr:col>
      <xdr:colOff>42334</xdr:colOff>
      <xdr:row>1446</xdr:row>
      <xdr:rowOff>63501</xdr:rowOff>
    </xdr:to>
    <xdr:cxnSp macro="">
      <xdr:nvCxnSpPr>
        <xdr:cNvPr id="4393" name="Straight Arrow Connector 4392">
          <a:extLst>
            <a:ext uri="{FF2B5EF4-FFF2-40B4-BE49-F238E27FC236}">
              <a16:creationId xmlns:a16="http://schemas.microsoft.com/office/drawing/2014/main" id="{00000000-0008-0000-1200-000029110000}"/>
            </a:ext>
          </a:extLst>
        </xdr:cNvPr>
        <xdr:cNvCxnSpPr/>
      </xdr:nvCxnSpPr>
      <xdr:spPr>
        <a:xfrm>
          <a:off x="11281833" y="267112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1452</xdr:row>
      <xdr:rowOff>31750</xdr:rowOff>
    </xdr:from>
    <xdr:to>
      <xdr:col>16</xdr:col>
      <xdr:colOff>21167</xdr:colOff>
      <xdr:row>1459</xdr:row>
      <xdr:rowOff>95250</xdr:rowOff>
    </xdr:to>
    <xdr:cxnSp macro="">
      <xdr:nvCxnSpPr>
        <xdr:cNvPr id="4394" name="Straight Arrow Connector 4393">
          <a:extLst>
            <a:ext uri="{FF2B5EF4-FFF2-40B4-BE49-F238E27FC236}">
              <a16:creationId xmlns:a16="http://schemas.microsoft.com/office/drawing/2014/main" id="{00000000-0008-0000-1200-00002A110000}"/>
            </a:ext>
          </a:extLst>
        </xdr:cNvPr>
        <xdr:cNvCxnSpPr/>
      </xdr:nvCxnSpPr>
      <xdr:spPr>
        <a:xfrm>
          <a:off x="11324166" y="269779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397" name="Straight Arrow Connector 4396">
          <a:extLst>
            <a:ext uri="{FF2B5EF4-FFF2-40B4-BE49-F238E27FC236}">
              <a16:creationId xmlns:a16="http://schemas.microsoft.com/office/drawing/2014/main" id="{00000000-0008-0000-1200-00002D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398" name="Straight Arrow Connector 4397">
          <a:extLst>
            <a:ext uri="{FF2B5EF4-FFF2-40B4-BE49-F238E27FC236}">
              <a16:creationId xmlns:a16="http://schemas.microsoft.com/office/drawing/2014/main" id="{00000000-0008-0000-1200-00002E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399" name="Straight Arrow Connector 4398">
          <a:extLst>
            <a:ext uri="{FF2B5EF4-FFF2-40B4-BE49-F238E27FC236}">
              <a16:creationId xmlns:a16="http://schemas.microsoft.com/office/drawing/2014/main" id="{00000000-0008-0000-1200-00002F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0" name="Straight Arrow Connector 4399">
          <a:extLst>
            <a:ext uri="{FF2B5EF4-FFF2-40B4-BE49-F238E27FC236}">
              <a16:creationId xmlns:a16="http://schemas.microsoft.com/office/drawing/2014/main" id="{00000000-0008-0000-1200-000030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1" name="Straight Arrow Connector 4400">
          <a:extLst>
            <a:ext uri="{FF2B5EF4-FFF2-40B4-BE49-F238E27FC236}">
              <a16:creationId xmlns:a16="http://schemas.microsoft.com/office/drawing/2014/main" id="{00000000-0008-0000-1200-000031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2" name="Straight Arrow Connector 4401">
          <a:extLst>
            <a:ext uri="{FF2B5EF4-FFF2-40B4-BE49-F238E27FC236}">
              <a16:creationId xmlns:a16="http://schemas.microsoft.com/office/drawing/2014/main" id="{00000000-0008-0000-1200-000032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3" name="Straight Arrow Connector 4402">
          <a:extLst>
            <a:ext uri="{FF2B5EF4-FFF2-40B4-BE49-F238E27FC236}">
              <a16:creationId xmlns:a16="http://schemas.microsoft.com/office/drawing/2014/main" id="{00000000-0008-0000-1200-000033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4404" name="Straight Arrow Connector 4403">
          <a:extLst>
            <a:ext uri="{FF2B5EF4-FFF2-40B4-BE49-F238E27FC236}">
              <a16:creationId xmlns:a16="http://schemas.microsoft.com/office/drawing/2014/main" id="{00000000-0008-0000-1200-000034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5" name="Straight Arrow Connector 4404">
          <a:extLst>
            <a:ext uri="{FF2B5EF4-FFF2-40B4-BE49-F238E27FC236}">
              <a16:creationId xmlns:a16="http://schemas.microsoft.com/office/drawing/2014/main" id="{00000000-0008-0000-1200-000035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4406" name="Straight Arrow Connector 4405">
          <a:extLst>
            <a:ext uri="{FF2B5EF4-FFF2-40B4-BE49-F238E27FC236}">
              <a16:creationId xmlns:a16="http://schemas.microsoft.com/office/drawing/2014/main" id="{00000000-0008-0000-1200-000036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7" name="Straight Arrow Connector 4406">
          <a:extLst>
            <a:ext uri="{FF2B5EF4-FFF2-40B4-BE49-F238E27FC236}">
              <a16:creationId xmlns:a16="http://schemas.microsoft.com/office/drawing/2014/main" id="{00000000-0008-0000-1200-000037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4408" name="Straight Arrow Connector 4407">
          <a:extLst>
            <a:ext uri="{FF2B5EF4-FFF2-40B4-BE49-F238E27FC236}">
              <a16:creationId xmlns:a16="http://schemas.microsoft.com/office/drawing/2014/main" id="{00000000-0008-0000-1200-000038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09" name="Straight Arrow Connector 4408">
          <a:extLst>
            <a:ext uri="{FF2B5EF4-FFF2-40B4-BE49-F238E27FC236}">
              <a16:creationId xmlns:a16="http://schemas.microsoft.com/office/drawing/2014/main" id="{00000000-0008-0000-1200-000039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4410" name="Straight Arrow Connector 4409">
          <a:extLst>
            <a:ext uri="{FF2B5EF4-FFF2-40B4-BE49-F238E27FC236}">
              <a16:creationId xmlns:a16="http://schemas.microsoft.com/office/drawing/2014/main" id="{00000000-0008-0000-1200-00003A110000}"/>
            </a:ext>
          </a:extLst>
        </xdr:cNvPr>
        <xdr:cNvCxnSpPr/>
      </xdr:nvCxnSpPr>
      <xdr:spPr>
        <a:xfrm>
          <a:off x="11281833" y="28311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4411" name="Straight Arrow Connector 4410">
          <a:extLst>
            <a:ext uri="{FF2B5EF4-FFF2-40B4-BE49-F238E27FC236}">
              <a16:creationId xmlns:a16="http://schemas.microsoft.com/office/drawing/2014/main" id="{00000000-0008-0000-1200-00003B110000}"/>
            </a:ext>
          </a:extLst>
        </xdr:cNvPr>
        <xdr:cNvCxnSpPr/>
      </xdr:nvCxnSpPr>
      <xdr:spPr>
        <a:xfrm>
          <a:off x="11281833" y="28311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4412" name="Straight Arrow Connector 4411">
          <a:extLst>
            <a:ext uri="{FF2B5EF4-FFF2-40B4-BE49-F238E27FC236}">
              <a16:creationId xmlns:a16="http://schemas.microsoft.com/office/drawing/2014/main" id="{00000000-0008-0000-1200-00003C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13" name="Straight Arrow Connector 4412">
          <a:extLst>
            <a:ext uri="{FF2B5EF4-FFF2-40B4-BE49-F238E27FC236}">
              <a16:creationId xmlns:a16="http://schemas.microsoft.com/office/drawing/2014/main" id="{00000000-0008-0000-1200-00003D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4414" name="Straight Arrow Connector 4413">
          <a:extLst>
            <a:ext uri="{FF2B5EF4-FFF2-40B4-BE49-F238E27FC236}">
              <a16:creationId xmlns:a16="http://schemas.microsoft.com/office/drawing/2014/main" id="{00000000-0008-0000-1200-00003E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15" name="Straight Arrow Connector 4414">
          <a:extLst>
            <a:ext uri="{FF2B5EF4-FFF2-40B4-BE49-F238E27FC236}">
              <a16:creationId xmlns:a16="http://schemas.microsoft.com/office/drawing/2014/main" id="{00000000-0008-0000-1200-00003F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4416" name="Straight Arrow Connector 4415">
          <a:extLst>
            <a:ext uri="{FF2B5EF4-FFF2-40B4-BE49-F238E27FC236}">
              <a16:creationId xmlns:a16="http://schemas.microsoft.com/office/drawing/2014/main" id="{00000000-0008-0000-1200-000040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17" name="Straight Arrow Connector 4416">
          <a:extLst>
            <a:ext uri="{FF2B5EF4-FFF2-40B4-BE49-F238E27FC236}">
              <a16:creationId xmlns:a16="http://schemas.microsoft.com/office/drawing/2014/main" id="{00000000-0008-0000-1200-000041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4418" name="Straight Arrow Connector 4417">
          <a:extLst>
            <a:ext uri="{FF2B5EF4-FFF2-40B4-BE49-F238E27FC236}">
              <a16:creationId xmlns:a16="http://schemas.microsoft.com/office/drawing/2014/main" id="{00000000-0008-0000-1200-000042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19" name="Straight Arrow Connector 4418">
          <a:extLst>
            <a:ext uri="{FF2B5EF4-FFF2-40B4-BE49-F238E27FC236}">
              <a16:creationId xmlns:a16="http://schemas.microsoft.com/office/drawing/2014/main" id="{00000000-0008-0000-1200-000043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1495</xdr:row>
      <xdr:rowOff>31750</xdr:rowOff>
    </xdr:from>
    <xdr:to>
      <xdr:col>16</xdr:col>
      <xdr:colOff>42334</xdr:colOff>
      <xdr:row>1502</xdr:row>
      <xdr:rowOff>63501</xdr:rowOff>
    </xdr:to>
    <xdr:cxnSp macro="">
      <xdr:nvCxnSpPr>
        <xdr:cNvPr id="4420" name="Straight Arrow Connector 4419">
          <a:extLst>
            <a:ext uri="{FF2B5EF4-FFF2-40B4-BE49-F238E27FC236}">
              <a16:creationId xmlns:a16="http://schemas.microsoft.com/office/drawing/2014/main" id="{00000000-0008-0000-1200-000044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21" name="Straight Arrow Connector 4420">
          <a:extLst>
            <a:ext uri="{FF2B5EF4-FFF2-40B4-BE49-F238E27FC236}">
              <a16:creationId xmlns:a16="http://schemas.microsoft.com/office/drawing/2014/main" id="{00000000-0008-0000-1200-000045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4422" name="Straight Arrow Connector 4421">
          <a:extLst>
            <a:ext uri="{FF2B5EF4-FFF2-40B4-BE49-F238E27FC236}">
              <a16:creationId xmlns:a16="http://schemas.microsoft.com/office/drawing/2014/main" id="{00000000-0008-0000-1200-000046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23" name="Straight Arrow Connector 4422">
          <a:extLst>
            <a:ext uri="{FF2B5EF4-FFF2-40B4-BE49-F238E27FC236}">
              <a16:creationId xmlns:a16="http://schemas.microsoft.com/office/drawing/2014/main" id="{00000000-0008-0000-1200-000047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1495</xdr:row>
      <xdr:rowOff>31750</xdr:rowOff>
    </xdr:from>
    <xdr:to>
      <xdr:col>16</xdr:col>
      <xdr:colOff>42334</xdr:colOff>
      <xdr:row>1502</xdr:row>
      <xdr:rowOff>63501</xdr:rowOff>
    </xdr:to>
    <xdr:cxnSp macro="">
      <xdr:nvCxnSpPr>
        <xdr:cNvPr id="4424" name="Straight Arrow Connector 4423">
          <a:extLst>
            <a:ext uri="{FF2B5EF4-FFF2-40B4-BE49-F238E27FC236}">
              <a16:creationId xmlns:a16="http://schemas.microsoft.com/office/drawing/2014/main" id="{00000000-0008-0000-1200-000048110000}"/>
            </a:ext>
          </a:extLst>
        </xdr:cNvPr>
        <xdr:cNvCxnSpPr/>
      </xdr:nvCxnSpPr>
      <xdr:spPr>
        <a:xfrm>
          <a:off x="11281833" y="277971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1508</xdr:row>
      <xdr:rowOff>31750</xdr:rowOff>
    </xdr:from>
    <xdr:to>
      <xdr:col>16</xdr:col>
      <xdr:colOff>21167</xdr:colOff>
      <xdr:row>1515</xdr:row>
      <xdr:rowOff>95250</xdr:rowOff>
    </xdr:to>
    <xdr:cxnSp macro="">
      <xdr:nvCxnSpPr>
        <xdr:cNvPr id="4425" name="Straight Arrow Connector 4424">
          <a:extLst>
            <a:ext uri="{FF2B5EF4-FFF2-40B4-BE49-F238E27FC236}">
              <a16:creationId xmlns:a16="http://schemas.microsoft.com/office/drawing/2014/main" id="{00000000-0008-0000-1200-000049110000}"/>
            </a:ext>
          </a:extLst>
        </xdr:cNvPr>
        <xdr:cNvCxnSpPr/>
      </xdr:nvCxnSpPr>
      <xdr:spPr>
        <a:xfrm>
          <a:off x="11324166" y="280638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4426" name="Straight Arrow Connector 4425">
          <a:extLst>
            <a:ext uri="{FF2B5EF4-FFF2-40B4-BE49-F238E27FC236}">
              <a16:creationId xmlns:a16="http://schemas.microsoft.com/office/drawing/2014/main" id="{00000000-0008-0000-1200-00004A110000}"/>
            </a:ext>
          </a:extLst>
        </xdr:cNvPr>
        <xdr:cNvCxnSpPr/>
      </xdr:nvCxnSpPr>
      <xdr:spPr>
        <a:xfrm>
          <a:off x="11281833" y="28311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1521</xdr:row>
      <xdr:rowOff>31750</xdr:rowOff>
    </xdr:from>
    <xdr:to>
      <xdr:col>16</xdr:col>
      <xdr:colOff>42334</xdr:colOff>
      <xdr:row>1528</xdr:row>
      <xdr:rowOff>63501</xdr:rowOff>
    </xdr:to>
    <xdr:cxnSp macro="">
      <xdr:nvCxnSpPr>
        <xdr:cNvPr id="4427" name="Straight Arrow Connector 4426">
          <a:extLst>
            <a:ext uri="{FF2B5EF4-FFF2-40B4-BE49-F238E27FC236}">
              <a16:creationId xmlns:a16="http://schemas.microsoft.com/office/drawing/2014/main" id="{00000000-0008-0000-1200-00004B110000}"/>
            </a:ext>
          </a:extLst>
        </xdr:cNvPr>
        <xdr:cNvCxnSpPr/>
      </xdr:nvCxnSpPr>
      <xdr:spPr>
        <a:xfrm>
          <a:off x="11281833" y="283114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28" name="Straight Arrow Connector 4427">
          <a:extLst>
            <a:ext uri="{FF2B5EF4-FFF2-40B4-BE49-F238E27FC236}">
              <a16:creationId xmlns:a16="http://schemas.microsoft.com/office/drawing/2014/main" id="{00000000-0008-0000-1200-00004C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29" name="Straight Arrow Connector 4428">
          <a:extLst>
            <a:ext uri="{FF2B5EF4-FFF2-40B4-BE49-F238E27FC236}">
              <a16:creationId xmlns:a16="http://schemas.microsoft.com/office/drawing/2014/main" id="{00000000-0008-0000-1200-00004D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30" name="Straight Arrow Connector 4429">
          <a:extLst>
            <a:ext uri="{FF2B5EF4-FFF2-40B4-BE49-F238E27FC236}">
              <a16:creationId xmlns:a16="http://schemas.microsoft.com/office/drawing/2014/main" id="{00000000-0008-0000-1200-00004E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31" name="Straight Arrow Connector 4430">
          <a:extLst>
            <a:ext uri="{FF2B5EF4-FFF2-40B4-BE49-F238E27FC236}">
              <a16:creationId xmlns:a16="http://schemas.microsoft.com/office/drawing/2014/main" id="{00000000-0008-0000-1200-00004F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32" name="Straight Arrow Connector 4431">
          <a:extLst>
            <a:ext uri="{FF2B5EF4-FFF2-40B4-BE49-F238E27FC236}">
              <a16:creationId xmlns:a16="http://schemas.microsoft.com/office/drawing/2014/main" id="{00000000-0008-0000-1200-000050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33" name="Straight Arrow Connector 4432">
          <a:extLst>
            <a:ext uri="{FF2B5EF4-FFF2-40B4-BE49-F238E27FC236}">
              <a16:creationId xmlns:a16="http://schemas.microsoft.com/office/drawing/2014/main" id="{00000000-0008-0000-1200-000051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34" name="Straight Arrow Connector 4433">
          <a:extLst>
            <a:ext uri="{FF2B5EF4-FFF2-40B4-BE49-F238E27FC236}">
              <a16:creationId xmlns:a16="http://schemas.microsoft.com/office/drawing/2014/main" id="{00000000-0008-0000-1200-000052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35" name="Straight Arrow Connector 4434">
          <a:extLst>
            <a:ext uri="{FF2B5EF4-FFF2-40B4-BE49-F238E27FC236}">
              <a16:creationId xmlns:a16="http://schemas.microsoft.com/office/drawing/2014/main" id="{00000000-0008-0000-1200-000053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36" name="Straight Arrow Connector 4435">
          <a:extLst>
            <a:ext uri="{FF2B5EF4-FFF2-40B4-BE49-F238E27FC236}">
              <a16:creationId xmlns:a16="http://schemas.microsoft.com/office/drawing/2014/main" id="{00000000-0008-0000-1200-000054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37" name="Straight Arrow Connector 4436">
          <a:extLst>
            <a:ext uri="{FF2B5EF4-FFF2-40B4-BE49-F238E27FC236}">
              <a16:creationId xmlns:a16="http://schemas.microsoft.com/office/drawing/2014/main" id="{00000000-0008-0000-1200-000055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38" name="Straight Arrow Connector 4437">
          <a:extLst>
            <a:ext uri="{FF2B5EF4-FFF2-40B4-BE49-F238E27FC236}">
              <a16:creationId xmlns:a16="http://schemas.microsoft.com/office/drawing/2014/main" id="{00000000-0008-0000-1200-000056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39" name="Straight Arrow Connector 4438">
          <a:extLst>
            <a:ext uri="{FF2B5EF4-FFF2-40B4-BE49-F238E27FC236}">
              <a16:creationId xmlns:a16="http://schemas.microsoft.com/office/drawing/2014/main" id="{00000000-0008-0000-1200-000057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40" name="Straight Arrow Connector 4439">
          <a:extLst>
            <a:ext uri="{FF2B5EF4-FFF2-40B4-BE49-F238E27FC236}">
              <a16:creationId xmlns:a16="http://schemas.microsoft.com/office/drawing/2014/main" id="{00000000-0008-0000-1200-000058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1" name="Straight Arrow Connector 4440">
          <a:extLst>
            <a:ext uri="{FF2B5EF4-FFF2-40B4-BE49-F238E27FC236}">
              <a16:creationId xmlns:a16="http://schemas.microsoft.com/office/drawing/2014/main" id="{00000000-0008-0000-1200-000059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42" name="Straight Arrow Connector 4441">
          <a:extLst>
            <a:ext uri="{FF2B5EF4-FFF2-40B4-BE49-F238E27FC236}">
              <a16:creationId xmlns:a16="http://schemas.microsoft.com/office/drawing/2014/main" id="{00000000-0008-0000-1200-00005A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3" name="Straight Arrow Connector 4442">
          <a:extLst>
            <a:ext uri="{FF2B5EF4-FFF2-40B4-BE49-F238E27FC236}">
              <a16:creationId xmlns:a16="http://schemas.microsoft.com/office/drawing/2014/main" id="{00000000-0008-0000-1200-00005B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4" name="Straight Arrow Connector 4443">
          <a:extLst>
            <a:ext uri="{FF2B5EF4-FFF2-40B4-BE49-F238E27FC236}">
              <a16:creationId xmlns:a16="http://schemas.microsoft.com/office/drawing/2014/main" id="{00000000-0008-0000-1200-00005C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5" name="Straight Arrow Connector 4444">
          <a:extLst>
            <a:ext uri="{FF2B5EF4-FFF2-40B4-BE49-F238E27FC236}">
              <a16:creationId xmlns:a16="http://schemas.microsoft.com/office/drawing/2014/main" id="{00000000-0008-0000-1200-00005D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46" name="Straight Arrow Connector 4445">
          <a:extLst>
            <a:ext uri="{FF2B5EF4-FFF2-40B4-BE49-F238E27FC236}">
              <a16:creationId xmlns:a16="http://schemas.microsoft.com/office/drawing/2014/main" id="{00000000-0008-0000-1200-00005E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7" name="Straight Arrow Connector 4446">
          <a:extLst>
            <a:ext uri="{FF2B5EF4-FFF2-40B4-BE49-F238E27FC236}">
              <a16:creationId xmlns:a16="http://schemas.microsoft.com/office/drawing/2014/main" id="{00000000-0008-0000-1200-00005F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48" name="Straight Arrow Connector 4447">
          <a:extLst>
            <a:ext uri="{FF2B5EF4-FFF2-40B4-BE49-F238E27FC236}">
              <a16:creationId xmlns:a16="http://schemas.microsoft.com/office/drawing/2014/main" id="{00000000-0008-0000-1200-000060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49" name="Straight Arrow Connector 4448">
          <a:extLst>
            <a:ext uri="{FF2B5EF4-FFF2-40B4-BE49-F238E27FC236}">
              <a16:creationId xmlns:a16="http://schemas.microsoft.com/office/drawing/2014/main" id="{00000000-0008-0000-1200-000061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50" name="Straight Arrow Connector 4449">
          <a:extLst>
            <a:ext uri="{FF2B5EF4-FFF2-40B4-BE49-F238E27FC236}">
              <a16:creationId xmlns:a16="http://schemas.microsoft.com/office/drawing/2014/main" id="{00000000-0008-0000-1200-000062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1" name="Straight Arrow Connector 4450">
          <a:extLst>
            <a:ext uri="{FF2B5EF4-FFF2-40B4-BE49-F238E27FC236}">
              <a16:creationId xmlns:a16="http://schemas.microsoft.com/office/drawing/2014/main" id="{00000000-0008-0000-1200-000063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52" name="Straight Arrow Connector 4451">
          <a:extLst>
            <a:ext uri="{FF2B5EF4-FFF2-40B4-BE49-F238E27FC236}">
              <a16:creationId xmlns:a16="http://schemas.microsoft.com/office/drawing/2014/main" id="{00000000-0008-0000-1200-000064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53" name="Straight Arrow Connector 4452">
          <a:extLst>
            <a:ext uri="{FF2B5EF4-FFF2-40B4-BE49-F238E27FC236}">
              <a16:creationId xmlns:a16="http://schemas.microsoft.com/office/drawing/2014/main" id="{00000000-0008-0000-1200-000065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4" name="Straight Arrow Connector 4453">
          <a:extLst>
            <a:ext uri="{FF2B5EF4-FFF2-40B4-BE49-F238E27FC236}">
              <a16:creationId xmlns:a16="http://schemas.microsoft.com/office/drawing/2014/main" id="{00000000-0008-0000-1200-000066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5" name="Straight Arrow Connector 4454">
          <a:extLst>
            <a:ext uri="{FF2B5EF4-FFF2-40B4-BE49-F238E27FC236}">
              <a16:creationId xmlns:a16="http://schemas.microsoft.com/office/drawing/2014/main" id="{00000000-0008-0000-1200-000067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6" name="Straight Arrow Connector 4455">
          <a:extLst>
            <a:ext uri="{FF2B5EF4-FFF2-40B4-BE49-F238E27FC236}">
              <a16:creationId xmlns:a16="http://schemas.microsoft.com/office/drawing/2014/main" id="{00000000-0008-0000-1200-000068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7" name="Straight Arrow Connector 4456">
          <a:extLst>
            <a:ext uri="{FF2B5EF4-FFF2-40B4-BE49-F238E27FC236}">
              <a16:creationId xmlns:a16="http://schemas.microsoft.com/office/drawing/2014/main" id="{00000000-0008-0000-1200-000069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8" name="Straight Arrow Connector 4457">
          <a:extLst>
            <a:ext uri="{FF2B5EF4-FFF2-40B4-BE49-F238E27FC236}">
              <a16:creationId xmlns:a16="http://schemas.microsoft.com/office/drawing/2014/main" id="{00000000-0008-0000-1200-00006A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59" name="Straight Arrow Connector 4458">
          <a:extLst>
            <a:ext uri="{FF2B5EF4-FFF2-40B4-BE49-F238E27FC236}">
              <a16:creationId xmlns:a16="http://schemas.microsoft.com/office/drawing/2014/main" id="{00000000-0008-0000-1200-00006B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60" name="Straight Arrow Connector 4459">
          <a:extLst>
            <a:ext uri="{FF2B5EF4-FFF2-40B4-BE49-F238E27FC236}">
              <a16:creationId xmlns:a16="http://schemas.microsoft.com/office/drawing/2014/main" id="{00000000-0008-0000-1200-00006C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61" name="Straight Arrow Connector 4460">
          <a:extLst>
            <a:ext uri="{FF2B5EF4-FFF2-40B4-BE49-F238E27FC236}">
              <a16:creationId xmlns:a16="http://schemas.microsoft.com/office/drawing/2014/main" id="{00000000-0008-0000-1200-00006D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62" name="Straight Arrow Connector 4461">
          <a:extLst>
            <a:ext uri="{FF2B5EF4-FFF2-40B4-BE49-F238E27FC236}">
              <a16:creationId xmlns:a16="http://schemas.microsoft.com/office/drawing/2014/main" id="{00000000-0008-0000-1200-00006E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63" name="Straight Arrow Connector 4462">
          <a:extLst>
            <a:ext uri="{FF2B5EF4-FFF2-40B4-BE49-F238E27FC236}">
              <a16:creationId xmlns:a16="http://schemas.microsoft.com/office/drawing/2014/main" id="{00000000-0008-0000-1200-00006F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64" name="Straight Arrow Connector 4463">
          <a:extLst>
            <a:ext uri="{FF2B5EF4-FFF2-40B4-BE49-F238E27FC236}">
              <a16:creationId xmlns:a16="http://schemas.microsoft.com/office/drawing/2014/main" id="{00000000-0008-0000-1200-000070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65" name="Straight Arrow Connector 4464">
          <a:extLst>
            <a:ext uri="{FF2B5EF4-FFF2-40B4-BE49-F238E27FC236}">
              <a16:creationId xmlns:a16="http://schemas.microsoft.com/office/drawing/2014/main" id="{00000000-0008-0000-1200-000071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66" name="Straight Arrow Connector 4465">
          <a:extLst>
            <a:ext uri="{FF2B5EF4-FFF2-40B4-BE49-F238E27FC236}">
              <a16:creationId xmlns:a16="http://schemas.microsoft.com/office/drawing/2014/main" id="{00000000-0008-0000-1200-000072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67" name="Straight Arrow Connector 4466">
          <a:extLst>
            <a:ext uri="{FF2B5EF4-FFF2-40B4-BE49-F238E27FC236}">
              <a16:creationId xmlns:a16="http://schemas.microsoft.com/office/drawing/2014/main" id="{00000000-0008-0000-1200-000073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68" name="Straight Arrow Connector 4467">
          <a:extLst>
            <a:ext uri="{FF2B5EF4-FFF2-40B4-BE49-F238E27FC236}">
              <a16:creationId xmlns:a16="http://schemas.microsoft.com/office/drawing/2014/main" id="{00000000-0008-0000-1200-000074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69" name="Straight Arrow Connector 4468">
          <a:extLst>
            <a:ext uri="{FF2B5EF4-FFF2-40B4-BE49-F238E27FC236}">
              <a16:creationId xmlns:a16="http://schemas.microsoft.com/office/drawing/2014/main" id="{00000000-0008-0000-1200-000075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70" name="Straight Arrow Connector 4469">
          <a:extLst>
            <a:ext uri="{FF2B5EF4-FFF2-40B4-BE49-F238E27FC236}">
              <a16:creationId xmlns:a16="http://schemas.microsoft.com/office/drawing/2014/main" id="{00000000-0008-0000-1200-000076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71" name="Straight Arrow Connector 4470">
          <a:extLst>
            <a:ext uri="{FF2B5EF4-FFF2-40B4-BE49-F238E27FC236}">
              <a16:creationId xmlns:a16="http://schemas.microsoft.com/office/drawing/2014/main" id="{00000000-0008-0000-1200-000077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72" name="Straight Arrow Connector 4471">
          <a:extLst>
            <a:ext uri="{FF2B5EF4-FFF2-40B4-BE49-F238E27FC236}">
              <a16:creationId xmlns:a16="http://schemas.microsoft.com/office/drawing/2014/main" id="{00000000-0008-0000-1200-000078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73" name="Straight Arrow Connector 4472">
          <a:extLst>
            <a:ext uri="{FF2B5EF4-FFF2-40B4-BE49-F238E27FC236}">
              <a16:creationId xmlns:a16="http://schemas.microsoft.com/office/drawing/2014/main" id="{00000000-0008-0000-1200-000079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74" name="Straight Arrow Connector 4473">
          <a:extLst>
            <a:ext uri="{FF2B5EF4-FFF2-40B4-BE49-F238E27FC236}">
              <a16:creationId xmlns:a16="http://schemas.microsoft.com/office/drawing/2014/main" id="{00000000-0008-0000-1200-00007A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75" name="Straight Arrow Connector 4474">
          <a:extLst>
            <a:ext uri="{FF2B5EF4-FFF2-40B4-BE49-F238E27FC236}">
              <a16:creationId xmlns:a16="http://schemas.microsoft.com/office/drawing/2014/main" id="{00000000-0008-0000-1200-00007B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76" name="Straight Arrow Connector 4475">
          <a:extLst>
            <a:ext uri="{FF2B5EF4-FFF2-40B4-BE49-F238E27FC236}">
              <a16:creationId xmlns:a16="http://schemas.microsoft.com/office/drawing/2014/main" id="{00000000-0008-0000-1200-00007C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1551</xdr:row>
      <xdr:rowOff>31750</xdr:rowOff>
    </xdr:from>
    <xdr:to>
      <xdr:col>16</xdr:col>
      <xdr:colOff>42334</xdr:colOff>
      <xdr:row>1558</xdr:row>
      <xdr:rowOff>63501</xdr:rowOff>
    </xdr:to>
    <xdr:cxnSp macro="">
      <xdr:nvCxnSpPr>
        <xdr:cNvPr id="4477" name="Straight Arrow Connector 4476">
          <a:extLst>
            <a:ext uri="{FF2B5EF4-FFF2-40B4-BE49-F238E27FC236}">
              <a16:creationId xmlns:a16="http://schemas.microsoft.com/office/drawing/2014/main" id="{00000000-0008-0000-1200-00007D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78" name="Straight Arrow Connector 4477">
          <a:extLst>
            <a:ext uri="{FF2B5EF4-FFF2-40B4-BE49-F238E27FC236}">
              <a16:creationId xmlns:a16="http://schemas.microsoft.com/office/drawing/2014/main" id="{00000000-0008-0000-1200-00007E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79" name="Straight Arrow Connector 4478">
          <a:extLst>
            <a:ext uri="{FF2B5EF4-FFF2-40B4-BE49-F238E27FC236}">
              <a16:creationId xmlns:a16="http://schemas.microsoft.com/office/drawing/2014/main" id="{00000000-0008-0000-1200-00007F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80" name="Straight Arrow Connector 4479">
          <a:extLst>
            <a:ext uri="{FF2B5EF4-FFF2-40B4-BE49-F238E27FC236}">
              <a16:creationId xmlns:a16="http://schemas.microsoft.com/office/drawing/2014/main" id="{00000000-0008-0000-1200-000080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1551</xdr:row>
      <xdr:rowOff>31750</xdr:rowOff>
    </xdr:from>
    <xdr:to>
      <xdr:col>16</xdr:col>
      <xdr:colOff>42334</xdr:colOff>
      <xdr:row>1558</xdr:row>
      <xdr:rowOff>63501</xdr:rowOff>
    </xdr:to>
    <xdr:cxnSp macro="">
      <xdr:nvCxnSpPr>
        <xdr:cNvPr id="4481" name="Straight Arrow Connector 4480">
          <a:extLst>
            <a:ext uri="{FF2B5EF4-FFF2-40B4-BE49-F238E27FC236}">
              <a16:creationId xmlns:a16="http://schemas.microsoft.com/office/drawing/2014/main" id="{00000000-0008-0000-1200-000081110000}"/>
            </a:ext>
          </a:extLst>
        </xdr:cNvPr>
        <xdr:cNvCxnSpPr/>
      </xdr:nvCxnSpPr>
      <xdr:spPr>
        <a:xfrm>
          <a:off x="11281833" y="288829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1564</xdr:row>
      <xdr:rowOff>31750</xdr:rowOff>
    </xdr:from>
    <xdr:to>
      <xdr:col>16</xdr:col>
      <xdr:colOff>21167</xdr:colOff>
      <xdr:row>1571</xdr:row>
      <xdr:rowOff>95250</xdr:rowOff>
    </xdr:to>
    <xdr:cxnSp macro="">
      <xdr:nvCxnSpPr>
        <xdr:cNvPr id="4482" name="Straight Arrow Connector 4481">
          <a:extLst>
            <a:ext uri="{FF2B5EF4-FFF2-40B4-BE49-F238E27FC236}">
              <a16:creationId xmlns:a16="http://schemas.microsoft.com/office/drawing/2014/main" id="{00000000-0008-0000-1200-000082110000}"/>
            </a:ext>
          </a:extLst>
        </xdr:cNvPr>
        <xdr:cNvCxnSpPr/>
      </xdr:nvCxnSpPr>
      <xdr:spPr>
        <a:xfrm>
          <a:off x="11324166" y="291496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83" name="Straight Arrow Connector 4482">
          <a:extLst>
            <a:ext uri="{FF2B5EF4-FFF2-40B4-BE49-F238E27FC236}">
              <a16:creationId xmlns:a16="http://schemas.microsoft.com/office/drawing/2014/main" id="{00000000-0008-0000-1200-000083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1577</xdr:row>
      <xdr:rowOff>31750</xdr:rowOff>
    </xdr:from>
    <xdr:to>
      <xdr:col>16</xdr:col>
      <xdr:colOff>42334</xdr:colOff>
      <xdr:row>1584</xdr:row>
      <xdr:rowOff>63501</xdr:rowOff>
    </xdr:to>
    <xdr:cxnSp macro="">
      <xdr:nvCxnSpPr>
        <xdr:cNvPr id="4484" name="Straight Arrow Connector 4483">
          <a:extLst>
            <a:ext uri="{FF2B5EF4-FFF2-40B4-BE49-F238E27FC236}">
              <a16:creationId xmlns:a16="http://schemas.microsoft.com/office/drawing/2014/main" id="{00000000-0008-0000-1200-000084110000}"/>
            </a:ext>
          </a:extLst>
        </xdr:cNvPr>
        <xdr:cNvCxnSpPr/>
      </xdr:nvCxnSpPr>
      <xdr:spPr>
        <a:xfrm>
          <a:off x="11281833" y="293973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85" name="Straight Arrow Connector 4484">
          <a:extLst>
            <a:ext uri="{FF2B5EF4-FFF2-40B4-BE49-F238E27FC236}">
              <a16:creationId xmlns:a16="http://schemas.microsoft.com/office/drawing/2014/main" id="{00000000-0008-0000-1200-000085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86" name="Straight Arrow Connector 4485">
          <a:extLst>
            <a:ext uri="{FF2B5EF4-FFF2-40B4-BE49-F238E27FC236}">
              <a16:creationId xmlns:a16="http://schemas.microsoft.com/office/drawing/2014/main" id="{00000000-0008-0000-1200-000086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87" name="Straight Arrow Connector 4486">
          <a:extLst>
            <a:ext uri="{FF2B5EF4-FFF2-40B4-BE49-F238E27FC236}">
              <a16:creationId xmlns:a16="http://schemas.microsoft.com/office/drawing/2014/main" id="{00000000-0008-0000-1200-000087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88" name="Straight Arrow Connector 4487">
          <a:extLst>
            <a:ext uri="{FF2B5EF4-FFF2-40B4-BE49-F238E27FC236}">
              <a16:creationId xmlns:a16="http://schemas.microsoft.com/office/drawing/2014/main" id="{00000000-0008-0000-1200-000088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89" name="Straight Arrow Connector 4488">
          <a:extLst>
            <a:ext uri="{FF2B5EF4-FFF2-40B4-BE49-F238E27FC236}">
              <a16:creationId xmlns:a16="http://schemas.microsoft.com/office/drawing/2014/main" id="{00000000-0008-0000-1200-000089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0" name="Straight Arrow Connector 4489">
          <a:extLst>
            <a:ext uri="{FF2B5EF4-FFF2-40B4-BE49-F238E27FC236}">
              <a16:creationId xmlns:a16="http://schemas.microsoft.com/office/drawing/2014/main" id="{00000000-0008-0000-1200-00008A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1" name="Straight Arrow Connector 4490">
          <a:extLst>
            <a:ext uri="{FF2B5EF4-FFF2-40B4-BE49-F238E27FC236}">
              <a16:creationId xmlns:a16="http://schemas.microsoft.com/office/drawing/2014/main" id="{00000000-0008-0000-1200-00008B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2" name="Straight Arrow Connector 4491">
          <a:extLst>
            <a:ext uri="{FF2B5EF4-FFF2-40B4-BE49-F238E27FC236}">
              <a16:creationId xmlns:a16="http://schemas.microsoft.com/office/drawing/2014/main" id="{00000000-0008-0000-1200-00008C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493" name="Straight Arrow Connector 4492">
          <a:extLst>
            <a:ext uri="{FF2B5EF4-FFF2-40B4-BE49-F238E27FC236}">
              <a16:creationId xmlns:a16="http://schemas.microsoft.com/office/drawing/2014/main" id="{00000000-0008-0000-1200-00008D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4" name="Straight Arrow Connector 4493">
          <a:extLst>
            <a:ext uri="{FF2B5EF4-FFF2-40B4-BE49-F238E27FC236}">
              <a16:creationId xmlns:a16="http://schemas.microsoft.com/office/drawing/2014/main" id="{00000000-0008-0000-1200-00008E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495" name="Straight Arrow Connector 4494">
          <a:extLst>
            <a:ext uri="{FF2B5EF4-FFF2-40B4-BE49-F238E27FC236}">
              <a16:creationId xmlns:a16="http://schemas.microsoft.com/office/drawing/2014/main" id="{00000000-0008-0000-1200-00008F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6" name="Straight Arrow Connector 4495">
          <a:extLst>
            <a:ext uri="{FF2B5EF4-FFF2-40B4-BE49-F238E27FC236}">
              <a16:creationId xmlns:a16="http://schemas.microsoft.com/office/drawing/2014/main" id="{00000000-0008-0000-1200-000090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497" name="Straight Arrow Connector 4496">
          <a:extLst>
            <a:ext uri="{FF2B5EF4-FFF2-40B4-BE49-F238E27FC236}">
              <a16:creationId xmlns:a16="http://schemas.microsoft.com/office/drawing/2014/main" id="{00000000-0008-0000-1200-000091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498" name="Straight Arrow Connector 4497">
          <a:extLst>
            <a:ext uri="{FF2B5EF4-FFF2-40B4-BE49-F238E27FC236}">
              <a16:creationId xmlns:a16="http://schemas.microsoft.com/office/drawing/2014/main" id="{00000000-0008-0000-1200-000092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499" name="Straight Arrow Connector 4498">
          <a:extLst>
            <a:ext uri="{FF2B5EF4-FFF2-40B4-BE49-F238E27FC236}">
              <a16:creationId xmlns:a16="http://schemas.microsoft.com/office/drawing/2014/main" id="{00000000-0008-0000-1200-000093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0" name="Straight Arrow Connector 4499">
          <a:extLst>
            <a:ext uri="{FF2B5EF4-FFF2-40B4-BE49-F238E27FC236}">
              <a16:creationId xmlns:a16="http://schemas.microsoft.com/office/drawing/2014/main" id="{00000000-0008-0000-1200-000094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1" name="Straight Arrow Connector 4500">
          <a:extLst>
            <a:ext uri="{FF2B5EF4-FFF2-40B4-BE49-F238E27FC236}">
              <a16:creationId xmlns:a16="http://schemas.microsoft.com/office/drawing/2014/main" id="{00000000-0008-0000-1200-000095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2" name="Straight Arrow Connector 4501">
          <a:extLst>
            <a:ext uri="{FF2B5EF4-FFF2-40B4-BE49-F238E27FC236}">
              <a16:creationId xmlns:a16="http://schemas.microsoft.com/office/drawing/2014/main" id="{00000000-0008-0000-1200-000096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03" name="Straight Arrow Connector 4502">
          <a:extLst>
            <a:ext uri="{FF2B5EF4-FFF2-40B4-BE49-F238E27FC236}">
              <a16:creationId xmlns:a16="http://schemas.microsoft.com/office/drawing/2014/main" id="{00000000-0008-0000-1200-000097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4" name="Straight Arrow Connector 4503">
          <a:extLst>
            <a:ext uri="{FF2B5EF4-FFF2-40B4-BE49-F238E27FC236}">
              <a16:creationId xmlns:a16="http://schemas.microsoft.com/office/drawing/2014/main" id="{00000000-0008-0000-1200-000098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05" name="Straight Arrow Connector 4504">
          <a:extLst>
            <a:ext uri="{FF2B5EF4-FFF2-40B4-BE49-F238E27FC236}">
              <a16:creationId xmlns:a16="http://schemas.microsoft.com/office/drawing/2014/main" id="{00000000-0008-0000-1200-000099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6" name="Straight Arrow Connector 4505">
          <a:extLst>
            <a:ext uri="{FF2B5EF4-FFF2-40B4-BE49-F238E27FC236}">
              <a16:creationId xmlns:a16="http://schemas.microsoft.com/office/drawing/2014/main" id="{00000000-0008-0000-1200-00009A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07" name="Straight Arrow Connector 4506">
          <a:extLst>
            <a:ext uri="{FF2B5EF4-FFF2-40B4-BE49-F238E27FC236}">
              <a16:creationId xmlns:a16="http://schemas.microsoft.com/office/drawing/2014/main" id="{00000000-0008-0000-1200-00009B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08" name="Straight Arrow Connector 4507">
          <a:extLst>
            <a:ext uri="{FF2B5EF4-FFF2-40B4-BE49-F238E27FC236}">
              <a16:creationId xmlns:a16="http://schemas.microsoft.com/office/drawing/2014/main" id="{00000000-0008-0000-1200-00009C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09" name="Straight Arrow Connector 4508">
          <a:extLst>
            <a:ext uri="{FF2B5EF4-FFF2-40B4-BE49-F238E27FC236}">
              <a16:creationId xmlns:a16="http://schemas.microsoft.com/office/drawing/2014/main" id="{00000000-0008-0000-1200-00009D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10" name="Straight Arrow Connector 4509">
          <a:extLst>
            <a:ext uri="{FF2B5EF4-FFF2-40B4-BE49-F238E27FC236}">
              <a16:creationId xmlns:a16="http://schemas.microsoft.com/office/drawing/2014/main" id="{00000000-0008-0000-1200-00009E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11" name="Straight Arrow Connector 4510">
          <a:extLst>
            <a:ext uri="{FF2B5EF4-FFF2-40B4-BE49-F238E27FC236}">
              <a16:creationId xmlns:a16="http://schemas.microsoft.com/office/drawing/2014/main" id="{00000000-0008-0000-1200-00009F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12" name="Straight Arrow Connector 4511">
          <a:extLst>
            <a:ext uri="{FF2B5EF4-FFF2-40B4-BE49-F238E27FC236}">
              <a16:creationId xmlns:a16="http://schemas.microsoft.com/office/drawing/2014/main" id="{00000000-0008-0000-1200-0000A0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13" name="Straight Arrow Connector 4512">
          <a:extLst>
            <a:ext uri="{FF2B5EF4-FFF2-40B4-BE49-F238E27FC236}">
              <a16:creationId xmlns:a16="http://schemas.microsoft.com/office/drawing/2014/main" id="{00000000-0008-0000-1200-0000A1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14" name="Straight Arrow Connector 4513">
          <a:extLst>
            <a:ext uri="{FF2B5EF4-FFF2-40B4-BE49-F238E27FC236}">
              <a16:creationId xmlns:a16="http://schemas.microsoft.com/office/drawing/2014/main" id="{00000000-0008-0000-1200-0000A2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15" name="Straight Arrow Connector 4514">
          <a:extLst>
            <a:ext uri="{FF2B5EF4-FFF2-40B4-BE49-F238E27FC236}">
              <a16:creationId xmlns:a16="http://schemas.microsoft.com/office/drawing/2014/main" id="{00000000-0008-0000-1200-0000A3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16" name="Straight Arrow Connector 4515">
          <a:extLst>
            <a:ext uri="{FF2B5EF4-FFF2-40B4-BE49-F238E27FC236}">
              <a16:creationId xmlns:a16="http://schemas.microsoft.com/office/drawing/2014/main" id="{00000000-0008-0000-1200-0000A4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17" name="Straight Arrow Connector 4516">
          <a:extLst>
            <a:ext uri="{FF2B5EF4-FFF2-40B4-BE49-F238E27FC236}">
              <a16:creationId xmlns:a16="http://schemas.microsoft.com/office/drawing/2014/main" id="{00000000-0008-0000-1200-0000A5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18" name="Straight Arrow Connector 4517">
          <a:extLst>
            <a:ext uri="{FF2B5EF4-FFF2-40B4-BE49-F238E27FC236}">
              <a16:creationId xmlns:a16="http://schemas.microsoft.com/office/drawing/2014/main" id="{00000000-0008-0000-1200-0000A6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19" name="Straight Arrow Connector 4518">
          <a:extLst>
            <a:ext uri="{FF2B5EF4-FFF2-40B4-BE49-F238E27FC236}">
              <a16:creationId xmlns:a16="http://schemas.microsoft.com/office/drawing/2014/main" id="{00000000-0008-0000-1200-0000A7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0" name="Straight Arrow Connector 4519">
          <a:extLst>
            <a:ext uri="{FF2B5EF4-FFF2-40B4-BE49-F238E27FC236}">
              <a16:creationId xmlns:a16="http://schemas.microsoft.com/office/drawing/2014/main" id="{00000000-0008-0000-1200-0000A8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21" name="Straight Arrow Connector 4520">
          <a:extLst>
            <a:ext uri="{FF2B5EF4-FFF2-40B4-BE49-F238E27FC236}">
              <a16:creationId xmlns:a16="http://schemas.microsoft.com/office/drawing/2014/main" id="{00000000-0008-0000-1200-0000A9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2" name="Straight Arrow Connector 4521">
          <a:extLst>
            <a:ext uri="{FF2B5EF4-FFF2-40B4-BE49-F238E27FC236}">
              <a16:creationId xmlns:a16="http://schemas.microsoft.com/office/drawing/2014/main" id="{00000000-0008-0000-1200-0000AA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23" name="Straight Arrow Connector 4522">
          <a:extLst>
            <a:ext uri="{FF2B5EF4-FFF2-40B4-BE49-F238E27FC236}">
              <a16:creationId xmlns:a16="http://schemas.microsoft.com/office/drawing/2014/main" id="{00000000-0008-0000-1200-0000AB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4" name="Straight Arrow Connector 4523">
          <a:extLst>
            <a:ext uri="{FF2B5EF4-FFF2-40B4-BE49-F238E27FC236}">
              <a16:creationId xmlns:a16="http://schemas.microsoft.com/office/drawing/2014/main" id="{00000000-0008-0000-1200-0000AC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25" name="Straight Arrow Connector 4524">
          <a:extLst>
            <a:ext uri="{FF2B5EF4-FFF2-40B4-BE49-F238E27FC236}">
              <a16:creationId xmlns:a16="http://schemas.microsoft.com/office/drawing/2014/main" id="{00000000-0008-0000-1200-0000AD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6" name="Straight Arrow Connector 4525">
          <a:extLst>
            <a:ext uri="{FF2B5EF4-FFF2-40B4-BE49-F238E27FC236}">
              <a16:creationId xmlns:a16="http://schemas.microsoft.com/office/drawing/2014/main" id="{00000000-0008-0000-1200-0000AE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7" name="Straight Arrow Connector 4526">
          <a:extLst>
            <a:ext uri="{FF2B5EF4-FFF2-40B4-BE49-F238E27FC236}">
              <a16:creationId xmlns:a16="http://schemas.microsoft.com/office/drawing/2014/main" id="{00000000-0008-0000-1200-0000AF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28" name="Straight Arrow Connector 4527">
          <a:extLst>
            <a:ext uri="{FF2B5EF4-FFF2-40B4-BE49-F238E27FC236}">
              <a16:creationId xmlns:a16="http://schemas.microsoft.com/office/drawing/2014/main" id="{00000000-0008-0000-1200-0000B0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29" name="Straight Arrow Connector 4528">
          <a:extLst>
            <a:ext uri="{FF2B5EF4-FFF2-40B4-BE49-F238E27FC236}">
              <a16:creationId xmlns:a16="http://schemas.microsoft.com/office/drawing/2014/main" id="{00000000-0008-0000-1200-0000B1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0" name="Straight Arrow Connector 4529">
          <a:extLst>
            <a:ext uri="{FF2B5EF4-FFF2-40B4-BE49-F238E27FC236}">
              <a16:creationId xmlns:a16="http://schemas.microsoft.com/office/drawing/2014/main" id="{00000000-0008-0000-1200-0000B2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31" name="Straight Arrow Connector 4530">
          <a:extLst>
            <a:ext uri="{FF2B5EF4-FFF2-40B4-BE49-F238E27FC236}">
              <a16:creationId xmlns:a16="http://schemas.microsoft.com/office/drawing/2014/main" id="{00000000-0008-0000-1200-0000B3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2" name="Straight Arrow Connector 4531">
          <a:extLst>
            <a:ext uri="{FF2B5EF4-FFF2-40B4-BE49-F238E27FC236}">
              <a16:creationId xmlns:a16="http://schemas.microsoft.com/office/drawing/2014/main" id="{00000000-0008-0000-1200-0000B4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33" name="Straight Arrow Connector 4532">
          <a:extLst>
            <a:ext uri="{FF2B5EF4-FFF2-40B4-BE49-F238E27FC236}">
              <a16:creationId xmlns:a16="http://schemas.microsoft.com/office/drawing/2014/main" id="{00000000-0008-0000-1200-0000B5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4" name="Straight Arrow Connector 4533">
          <a:extLst>
            <a:ext uri="{FF2B5EF4-FFF2-40B4-BE49-F238E27FC236}">
              <a16:creationId xmlns:a16="http://schemas.microsoft.com/office/drawing/2014/main" id="{00000000-0008-0000-1200-0000B6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35" name="Straight Arrow Connector 4534">
          <a:extLst>
            <a:ext uri="{FF2B5EF4-FFF2-40B4-BE49-F238E27FC236}">
              <a16:creationId xmlns:a16="http://schemas.microsoft.com/office/drawing/2014/main" id="{00000000-0008-0000-1200-0000B7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36" name="Straight Arrow Connector 4535">
          <a:extLst>
            <a:ext uri="{FF2B5EF4-FFF2-40B4-BE49-F238E27FC236}">
              <a16:creationId xmlns:a16="http://schemas.microsoft.com/office/drawing/2014/main" id="{00000000-0008-0000-1200-0000B8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7" name="Straight Arrow Connector 4536">
          <a:extLst>
            <a:ext uri="{FF2B5EF4-FFF2-40B4-BE49-F238E27FC236}">
              <a16:creationId xmlns:a16="http://schemas.microsoft.com/office/drawing/2014/main" id="{00000000-0008-0000-1200-0000B9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8" name="Straight Arrow Connector 4537">
          <a:extLst>
            <a:ext uri="{FF2B5EF4-FFF2-40B4-BE49-F238E27FC236}">
              <a16:creationId xmlns:a16="http://schemas.microsoft.com/office/drawing/2014/main" id="{00000000-0008-0000-1200-0000BA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39" name="Straight Arrow Connector 4538">
          <a:extLst>
            <a:ext uri="{FF2B5EF4-FFF2-40B4-BE49-F238E27FC236}">
              <a16:creationId xmlns:a16="http://schemas.microsoft.com/office/drawing/2014/main" id="{00000000-0008-0000-1200-0000BB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0" name="Straight Arrow Connector 4539">
          <a:extLst>
            <a:ext uri="{FF2B5EF4-FFF2-40B4-BE49-F238E27FC236}">
              <a16:creationId xmlns:a16="http://schemas.microsoft.com/office/drawing/2014/main" id="{00000000-0008-0000-1200-0000BC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1" name="Straight Arrow Connector 4540">
          <a:extLst>
            <a:ext uri="{FF2B5EF4-FFF2-40B4-BE49-F238E27FC236}">
              <a16:creationId xmlns:a16="http://schemas.microsoft.com/office/drawing/2014/main" id="{00000000-0008-0000-1200-0000BD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2" name="Straight Arrow Connector 4541">
          <a:extLst>
            <a:ext uri="{FF2B5EF4-FFF2-40B4-BE49-F238E27FC236}">
              <a16:creationId xmlns:a16="http://schemas.microsoft.com/office/drawing/2014/main" id="{00000000-0008-0000-1200-0000BE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3" name="Straight Arrow Connector 4542">
          <a:extLst>
            <a:ext uri="{FF2B5EF4-FFF2-40B4-BE49-F238E27FC236}">
              <a16:creationId xmlns:a16="http://schemas.microsoft.com/office/drawing/2014/main" id="{00000000-0008-0000-1200-0000BF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44" name="Straight Arrow Connector 4543">
          <a:extLst>
            <a:ext uri="{FF2B5EF4-FFF2-40B4-BE49-F238E27FC236}">
              <a16:creationId xmlns:a16="http://schemas.microsoft.com/office/drawing/2014/main" id="{00000000-0008-0000-1200-0000C0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5" name="Straight Arrow Connector 4544">
          <a:extLst>
            <a:ext uri="{FF2B5EF4-FFF2-40B4-BE49-F238E27FC236}">
              <a16:creationId xmlns:a16="http://schemas.microsoft.com/office/drawing/2014/main" id="{00000000-0008-0000-1200-0000C1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46" name="Straight Arrow Connector 4545">
          <a:extLst>
            <a:ext uri="{FF2B5EF4-FFF2-40B4-BE49-F238E27FC236}">
              <a16:creationId xmlns:a16="http://schemas.microsoft.com/office/drawing/2014/main" id="{00000000-0008-0000-1200-0000C2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7" name="Straight Arrow Connector 4546">
          <a:extLst>
            <a:ext uri="{FF2B5EF4-FFF2-40B4-BE49-F238E27FC236}">
              <a16:creationId xmlns:a16="http://schemas.microsoft.com/office/drawing/2014/main" id="{00000000-0008-0000-1200-0000C3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48" name="Straight Arrow Connector 4547">
          <a:extLst>
            <a:ext uri="{FF2B5EF4-FFF2-40B4-BE49-F238E27FC236}">
              <a16:creationId xmlns:a16="http://schemas.microsoft.com/office/drawing/2014/main" id="{00000000-0008-0000-1200-0000C4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49" name="Straight Arrow Connector 4548">
          <a:extLst>
            <a:ext uri="{FF2B5EF4-FFF2-40B4-BE49-F238E27FC236}">
              <a16:creationId xmlns:a16="http://schemas.microsoft.com/office/drawing/2014/main" id="{00000000-0008-0000-1200-0000C5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50" name="Straight Arrow Connector 4549">
          <a:extLst>
            <a:ext uri="{FF2B5EF4-FFF2-40B4-BE49-F238E27FC236}">
              <a16:creationId xmlns:a16="http://schemas.microsoft.com/office/drawing/2014/main" id="{00000000-0008-0000-1200-0000C6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51" name="Straight Arrow Connector 4550">
          <a:extLst>
            <a:ext uri="{FF2B5EF4-FFF2-40B4-BE49-F238E27FC236}">
              <a16:creationId xmlns:a16="http://schemas.microsoft.com/office/drawing/2014/main" id="{00000000-0008-0000-1200-0000C7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52" name="Straight Arrow Connector 4551">
          <a:extLst>
            <a:ext uri="{FF2B5EF4-FFF2-40B4-BE49-F238E27FC236}">
              <a16:creationId xmlns:a16="http://schemas.microsoft.com/office/drawing/2014/main" id="{00000000-0008-0000-1200-0000C8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53" name="Straight Arrow Connector 4552">
          <a:extLst>
            <a:ext uri="{FF2B5EF4-FFF2-40B4-BE49-F238E27FC236}">
              <a16:creationId xmlns:a16="http://schemas.microsoft.com/office/drawing/2014/main" id="{00000000-0008-0000-1200-0000C9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54" name="Straight Arrow Connector 4553">
          <a:extLst>
            <a:ext uri="{FF2B5EF4-FFF2-40B4-BE49-F238E27FC236}">
              <a16:creationId xmlns:a16="http://schemas.microsoft.com/office/drawing/2014/main" id="{00000000-0008-0000-1200-0000CA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55" name="Straight Arrow Connector 4554">
          <a:extLst>
            <a:ext uri="{FF2B5EF4-FFF2-40B4-BE49-F238E27FC236}">
              <a16:creationId xmlns:a16="http://schemas.microsoft.com/office/drawing/2014/main" id="{00000000-0008-0000-1200-0000CB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56" name="Straight Arrow Connector 4555">
          <a:extLst>
            <a:ext uri="{FF2B5EF4-FFF2-40B4-BE49-F238E27FC236}">
              <a16:creationId xmlns:a16="http://schemas.microsoft.com/office/drawing/2014/main" id="{00000000-0008-0000-1200-0000CC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57" name="Straight Arrow Connector 4556">
          <a:extLst>
            <a:ext uri="{FF2B5EF4-FFF2-40B4-BE49-F238E27FC236}">
              <a16:creationId xmlns:a16="http://schemas.microsoft.com/office/drawing/2014/main" id="{00000000-0008-0000-1200-0000CD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58" name="Straight Arrow Connector 4557">
          <a:extLst>
            <a:ext uri="{FF2B5EF4-FFF2-40B4-BE49-F238E27FC236}">
              <a16:creationId xmlns:a16="http://schemas.microsoft.com/office/drawing/2014/main" id="{00000000-0008-0000-1200-0000CE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59" name="Straight Arrow Connector 4558">
          <a:extLst>
            <a:ext uri="{FF2B5EF4-FFF2-40B4-BE49-F238E27FC236}">
              <a16:creationId xmlns:a16="http://schemas.microsoft.com/office/drawing/2014/main" id="{00000000-0008-0000-1200-0000CF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1607</xdr:row>
      <xdr:rowOff>31750</xdr:rowOff>
    </xdr:from>
    <xdr:to>
      <xdr:col>16</xdr:col>
      <xdr:colOff>42334</xdr:colOff>
      <xdr:row>1614</xdr:row>
      <xdr:rowOff>63501</xdr:rowOff>
    </xdr:to>
    <xdr:cxnSp macro="">
      <xdr:nvCxnSpPr>
        <xdr:cNvPr id="4560" name="Straight Arrow Connector 4559">
          <a:extLst>
            <a:ext uri="{FF2B5EF4-FFF2-40B4-BE49-F238E27FC236}">
              <a16:creationId xmlns:a16="http://schemas.microsoft.com/office/drawing/2014/main" id="{00000000-0008-0000-1200-0000D0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61" name="Straight Arrow Connector 4560">
          <a:extLst>
            <a:ext uri="{FF2B5EF4-FFF2-40B4-BE49-F238E27FC236}">
              <a16:creationId xmlns:a16="http://schemas.microsoft.com/office/drawing/2014/main" id="{00000000-0008-0000-1200-0000D1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62" name="Straight Arrow Connector 4561">
          <a:extLst>
            <a:ext uri="{FF2B5EF4-FFF2-40B4-BE49-F238E27FC236}">
              <a16:creationId xmlns:a16="http://schemas.microsoft.com/office/drawing/2014/main" id="{00000000-0008-0000-1200-0000D2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63" name="Straight Arrow Connector 4562">
          <a:extLst>
            <a:ext uri="{FF2B5EF4-FFF2-40B4-BE49-F238E27FC236}">
              <a16:creationId xmlns:a16="http://schemas.microsoft.com/office/drawing/2014/main" id="{00000000-0008-0000-1200-0000D3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1607</xdr:row>
      <xdr:rowOff>31750</xdr:rowOff>
    </xdr:from>
    <xdr:to>
      <xdr:col>16</xdr:col>
      <xdr:colOff>42334</xdr:colOff>
      <xdr:row>1614</xdr:row>
      <xdr:rowOff>63501</xdr:rowOff>
    </xdr:to>
    <xdr:cxnSp macro="">
      <xdr:nvCxnSpPr>
        <xdr:cNvPr id="4564" name="Straight Arrow Connector 4563">
          <a:extLst>
            <a:ext uri="{FF2B5EF4-FFF2-40B4-BE49-F238E27FC236}">
              <a16:creationId xmlns:a16="http://schemas.microsoft.com/office/drawing/2014/main" id="{00000000-0008-0000-1200-0000D4110000}"/>
            </a:ext>
          </a:extLst>
        </xdr:cNvPr>
        <xdr:cNvCxnSpPr/>
      </xdr:nvCxnSpPr>
      <xdr:spPr>
        <a:xfrm>
          <a:off x="11281833" y="299688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1620</xdr:row>
      <xdr:rowOff>31750</xdr:rowOff>
    </xdr:from>
    <xdr:to>
      <xdr:col>16</xdr:col>
      <xdr:colOff>21167</xdr:colOff>
      <xdr:row>1627</xdr:row>
      <xdr:rowOff>95250</xdr:rowOff>
    </xdr:to>
    <xdr:cxnSp macro="">
      <xdr:nvCxnSpPr>
        <xdr:cNvPr id="4565" name="Straight Arrow Connector 4564">
          <a:extLst>
            <a:ext uri="{FF2B5EF4-FFF2-40B4-BE49-F238E27FC236}">
              <a16:creationId xmlns:a16="http://schemas.microsoft.com/office/drawing/2014/main" id="{00000000-0008-0000-1200-0000D5110000}"/>
            </a:ext>
          </a:extLst>
        </xdr:cNvPr>
        <xdr:cNvCxnSpPr/>
      </xdr:nvCxnSpPr>
      <xdr:spPr>
        <a:xfrm>
          <a:off x="11324166" y="302355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66" name="Straight Arrow Connector 4565">
          <a:extLst>
            <a:ext uri="{FF2B5EF4-FFF2-40B4-BE49-F238E27FC236}">
              <a16:creationId xmlns:a16="http://schemas.microsoft.com/office/drawing/2014/main" id="{00000000-0008-0000-1200-0000D6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1633</xdr:row>
      <xdr:rowOff>31750</xdr:rowOff>
    </xdr:from>
    <xdr:to>
      <xdr:col>16</xdr:col>
      <xdr:colOff>42334</xdr:colOff>
      <xdr:row>1640</xdr:row>
      <xdr:rowOff>63501</xdr:rowOff>
    </xdr:to>
    <xdr:cxnSp macro="">
      <xdr:nvCxnSpPr>
        <xdr:cNvPr id="4567" name="Straight Arrow Connector 4566">
          <a:extLst>
            <a:ext uri="{FF2B5EF4-FFF2-40B4-BE49-F238E27FC236}">
              <a16:creationId xmlns:a16="http://schemas.microsoft.com/office/drawing/2014/main" id="{00000000-0008-0000-1200-0000D7110000}"/>
            </a:ext>
          </a:extLst>
        </xdr:cNvPr>
        <xdr:cNvCxnSpPr/>
      </xdr:nvCxnSpPr>
      <xdr:spPr>
        <a:xfrm>
          <a:off x="11281833" y="304831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568" name="Straight Arrow Connector 4567">
          <a:extLst>
            <a:ext uri="{FF2B5EF4-FFF2-40B4-BE49-F238E27FC236}">
              <a16:creationId xmlns:a16="http://schemas.microsoft.com/office/drawing/2014/main" id="{00000000-0008-0000-1200-0000D8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69" name="Straight Arrow Connector 4568">
          <a:extLst>
            <a:ext uri="{FF2B5EF4-FFF2-40B4-BE49-F238E27FC236}">
              <a16:creationId xmlns:a16="http://schemas.microsoft.com/office/drawing/2014/main" id="{00000000-0008-0000-1200-0000D9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570" name="Straight Arrow Connector 4569">
          <a:extLst>
            <a:ext uri="{FF2B5EF4-FFF2-40B4-BE49-F238E27FC236}">
              <a16:creationId xmlns:a16="http://schemas.microsoft.com/office/drawing/2014/main" id="{00000000-0008-0000-1200-0000DA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71" name="Straight Arrow Connector 4570">
          <a:extLst>
            <a:ext uri="{FF2B5EF4-FFF2-40B4-BE49-F238E27FC236}">
              <a16:creationId xmlns:a16="http://schemas.microsoft.com/office/drawing/2014/main" id="{00000000-0008-0000-1200-0000DB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572" name="Straight Arrow Connector 4571">
          <a:extLst>
            <a:ext uri="{FF2B5EF4-FFF2-40B4-BE49-F238E27FC236}">
              <a16:creationId xmlns:a16="http://schemas.microsoft.com/office/drawing/2014/main" id="{00000000-0008-0000-1200-0000DC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73" name="Straight Arrow Connector 4572">
          <a:extLst>
            <a:ext uri="{FF2B5EF4-FFF2-40B4-BE49-F238E27FC236}">
              <a16:creationId xmlns:a16="http://schemas.microsoft.com/office/drawing/2014/main" id="{00000000-0008-0000-1200-0000DD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574" name="Straight Arrow Connector 4573">
          <a:extLst>
            <a:ext uri="{FF2B5EF4-FFF2-40B4-BE49-F238E27FC236}">
              <a16:creationId xmlns:a16="http://schemas.microsoft.com/office/drawing/2014/main" id="{00000000-0008-0000-1200-0000DE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75" name="Straight Arrow Connector 4574">
          <a:extLst>
            <a:ext uri="{FF2B5EF4-FFF2-40B4-BE49-F238E27FC236}">
              <a16:creationId xmlns:a16="http://schemas.microsoft.com/office/drawing/2014/main" id="{00000000-0008-0000-1200-0000DF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576" name="Straight Arrow Connector 4575">
          <a:extLst>
            <a:ext uri="{FF2B5EF4-FFF2-40B4-BE49-F238E27FC236}">
              <a16:creationId xmlns:a16="http://schemas.microsoft.com/office/drawing/2014/main" id="{00000000-0008-0000-1200-0000E0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77" name="Straight Arrow Connector 4576">
          <a:extLst>
            <a:ext uri="{FF2B5EF4-FFF2-40B4-BE49-F238E27FC236}">
              <a16:creationId xmlns:a16="http://schemas.microsoft.com/office/drawing/2014/main" id="{00000000-0008-0000-1200-0000E1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78" name="Straight Arrow Connector 4577">
          <a:extLst>
            <a:ext uri="{FF2B5EF4-FFF2-40B4-BE49-F238E27FC236}">
              <a16:creationId xmlns:a16="http://schemas.microsoft.com/office/drawing/2014/main" id="{00000000-0008-0000-1200-0000E2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79" name="Straight Arrow Connector 4578">
          <a:extLst>
            <a:ext uri="{FF2B5EF4-FFF2-40B4-BE49-F238E27FC236}">
              <a16:creationId xmlns:a16="http://schemas.microsoft.com/office/drawing/2014/main" id="{00000000-0008-0000-1200-0000E3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80" name="Straight Arrow Connector 4579">
          <a:extLst>
            <a:ext uri="{FF2B5EF4-FFF2-40B4-BE49-F238E27FC236}">
              <a16:creationId xmlns:a16="http://schemas.microsoft.com/office/drawing/2014/main" id="{00000000-0008-0000-1200-0000E4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1" name="Straight Arrow Connector 4580">
          <a:extLst>
            <a:ext uri="{FF2B5EF4-FFF2-40B4-BE49-F238E27FC236}">
              <a16:creationId xmlns:a16="http://schemas.microsoft.com/office/drawing/2014/main" id="{00000000-0008-0000-1200-0000E5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2" name="Straight Arrow Connector 4581">
          <a:extLst>
            <a:ext uri="{FF2B5EF4-FFF2-40B4-BE49-F238E27FC236}">
              <a16:creationId xmlns:a16="http://schemas.microsoft.com/office/drawing/2014/main" id="{00000000-0008-0000-1200-0000E6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3" name="Straight Arrow Connector 4582">
          <a:extLst>
            <a:ext uri="{FF2B5EF4-FFF2-40B4-BE49-F238E27FC236}">
              <a16:creationId xmlns:a16="http://schemas.microsoft.com/office/drawing/2014/main" id="{00000000-0008-0000-1200-0000E7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84" name="Straight Arrow Connector 4583">
          <a:extLst>
            <a:ext uri="{FF2B5EF4-FFF2-40B4-BE49-F238E27FC236}">
              <a16:creationId xmlns:a16="http://schemas.microsoft.com/office/drawing/2014/main" id="{00000000-0008-0000-1200-0000E8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5" name="Straight Arrow Connector 4584">
          <a:extLst>
            <a:ext uri="{FF2B5EF4-FFF2-40B4-BE49-F238E27FC236}">
              <a16:creationId xmlns:a16="http://schemas.microsoft.com/office/drawing/2014/main" id="{00000000-0008-0000-1200-0000E9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6" name="Straight Arrow Connector 4585">
          <a:extLst>
            <a:ext uri="{FF2B5EF4-FFF2-40B4-BE49-F238E27FC236}">
              <a16:creationId xmlns:a16="http://schemas.microsoft.com/office/drawing/2014/main" id="{00000000-0008-0000-1200-0000EA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7" name="Straight Arrow Connector 4586">
          <a:extLst>
            <a:ext uri="{FF2B5EF4-FFF2-40B4-BE49-F238E27FC236}">
              <a16:creationId xmlns:a16="http://schemas.microsoft.com/office/drawing/2014/main" id="{00000000-0008-0000-1200-0000EB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88" name="Straight Arrow Connector 4587">
          <a:extLst>
            <a:ext uri="{FF2B5EF4-FFF2-40B4-BE49-F238E27FC236}">
              <a16:creationId xmlns:a16="http://schemas.microsoft.com/office/drawing/2014/main" id="{00000000-0008-0000-1200-0000EC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89" name="Straight Arrow Connector 4588">
          <a:extLst>
            <a:ext uri="{FF2B5EF4-FFF2-40B4-BE49-F238E27FC236}">
              <a16:creationId xmlns:a16="http://schemas.microsoft.com/office/drawing/2014/main" id="{00000000-0008-0000-1200-0000ED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0" name="Straight Arrow Connector 4589">
          <a:extLst>
            <a:ext uri="{FF2B5EF4-FFF2-40B4-BE49-F238E27FC236}">
              <a16:creationId xmlns:a16="http://schemas.microsoft.com/office/drawing/2014/main" id="{00000000-0008-0000-1200-0000EE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91" name="Straight Arrow Connector 4590">
          <a:extLst>
            <a:ext uri="{FF2B5EF4-FFF2-40B4-BE49-F238E27FC236}">
              <a16:creationId xmlns:a16="http://schemas.microsoft.com/office/drawing/2014/main" id="{00000000-0008-0000-1200-0000EF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2" name="Straight Arrow Connector 4591">
          <a:extLst>
            <a:ext uri="{FF2B5EF4-FFF2-40B4-BE49-F238E27FC236}">
              <a16:creationId xmlns:a16="http://schemas.microsoft.com/office/drawing/2014/main" id="{00000000-0008-0000-1200-0000F0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93" name="Straight Arrow Connector 4592">
          <a:extLst>
            <a:ext uri="{FF2B5EF4-FFF2-40B4-BE49-F238E27FC236}">
              <a16:creationId xmlns:a16="http://schemas.microsoft.com/office/drawing/2014/main" id="{00000000-0008-0000-1200-0000F1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4" name="Straight Arrow Connector 4593">
          <a:extLst>
            <a:ext uri="{FF2B5EF4-FFF2-40B4-BE49-F238E27FC236}">
              <a16:creationId xmlns:a16="http://schemas.microsoft.com/office/drawing/2014/main" id="{00000000-0008-0000-1200-0000F2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95" name="Straight Arrow Connector 4594">
          <a:extLst>
            <a:ext uri="{FF2B5EF4-FFF2-40B4-BE49-F238E27FC236}">
              <a16:creationId xmlns:a16="http://schemas.microsoft.com/office/drawing/2014/main" id="{00000000-0008-0000-1200-0000F3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6" name="Straight Arrow Connector 4595">
          <a:extLst>
            <a:ext uri="{FF2B5EF4-FFF2-40B4-BE49-F238E27FC236}">
              <a16:creationId xmlns:a16="http://schemas.microsoft.com/office/drawing/2014/main" id="{00000000-0008-0000-1200-0000F4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7" name="Straight Arrow Connector 4596">
          <a:extLst>
            <a:ext uri="{FF2B5EF4-FFF2-40B4-BE49-F238E27FC236}">
              <a16:creationId xmlns:a16="http://schemas.microsoft.com/office/drawing/2014/main" id="{00000000-0008-0000-1200-0000F5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598" name="Straight Arrow Connector 4597">
          <a:extLst>
            <a:ext uri="{FF2B5EF4-FFF2-40B4-BE49-F238E27FC236}">
              <a16:creationId xmlns:a16="http://schemas.microsoft.com/office/drawing/2014/main" id="{00000000-0008-0000-1200-0000F6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599" name="Straight Arrow Connector 4598">
          <a:extLst>
            <a:ext uri="{FF2B5EF4-FFF2-40B4-BE49-F238E27FC236}">
              <a16:creationId xmlns:a16="http://schemas.microsoft.com/office/drawing/2014/main" id="{00000000-0008-0000-1200-0000F7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0" name="Straight Arrow Connector 4599">
          <a:extLst>
            <a:ext uri="{FF2B5EF4-FFF2-40B4-BE49-F238E27FC236}">
              <a16:creationId xmlns:a16="http://schemas.microsoft.com/office/drawing/2014/main" id="{00000000-0008-0000-1200-0000F8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01" name="Straight Arrow Connector 4600">
          <a:extLst>
            <a:ext uri="{FF2B5EF4-FFF2-40B4-BE49-F238E27FC236}">
              <a16:creationId xmlns:a16="http://schemas.microsoft.com/office/drawing/2014/main" id="{00000000-0008-0000-1200-0000F9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2" name="Straight Arrow Connector 4601">
          <a:extLst>
            <a:ext uri="{FF2B5EF4-FFF2-40B4-BE49-F238E27FC236}">
              <a16:creationId xmlns:a16="http://schemas.microsoft.com/office/drawing/2014/main" id="{00000000-0008-0000-1200-0000FA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03" name="Straight Arrow Connector 4602">
          <a:extLst>
            <a:ext uri="{FF2B5EF4-FFF2-40B4-BE49-F238E27FC236}">
              <a16:creationId xmlns:a16="http://schemas.microsoft.com/office/drawing/2014/main" id="{00000000-0008-0000-1200-0000FB11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4" name="Straight Arrow Connector 4603">
          <a:extLst>
            <a:ext uri="{FF2B5EF4-FFF2-40B4-BE49-F238E27FC236}">
              <a16:creationId xmlns:a16="http://schemas.microsoft.com/office/drawing/2014/main" id="{00000000-0008-0000-1200-0000FC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05" name="Straight Arrow Connector 4604">
          <a:extLst>
            <a:ext uri="{FF2B5EF4-FFF2-40B4-BE49-F238E27FC236}">
              <a16:creationId xmlns:a16="http://schemas.microsoft.com/office/drawing/2014/main" id="{00000000-0008-0000-1200-0000FD11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06" name="Straight Arrow Connector 4605">
          <a:extLst>
            <a:ext uri="{FF2B5EF4-FFF2-40B4-BE49-F238E27FC236}">
              <a16:creationId xmlns:a16="http://schemas.microsoft.com/office/drawing/2014/main" id="{00000000-0008-0000-1200-0000FE11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7" name="Straight Arrow Connector 4606">
          <a:extLst>
            <a:ext uri="{FF2B5EF4-FFF2-40B4-BE49-F238E27FC236}">
              <a16:creationId xmlns:a16="http://schemas.microsoft.com/office/drawing/2014/main" id="{00000000-0008-0000-1200-0000FF11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8" name="Straight Arrow Connector 4607">
          <a:extLst>
            <a:ext uri="{FF2B5EF4-FFF2-40B4-BE49-F238E27FC236}">
              <a16:creationId xmlns:a16="http://schemas.microsoft.com/office/drawing/2014/main" id="{00000000-0008-0000-1200-000000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09" name="Straight Arrow Connector 4608">
          <a:extLst>
            <a:ext uri="{FF2B5EF4-FFF2-40B4-BE49-F238E27FC236}">
              <a16:creationId xmlns:a16="http://schemas.microsoft.com/office/drawing/2014/main" id="{00000000-0008-0000-1200-000001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0" name="Straight Arrow Connector 4609">
          <a:extLst>
            <a:ext uri="{FF2B5EF4-FFF2-40B4-BE49-F238E27FC236}">
              <a16:creationId xmlns:a16="http://schemas.microsoft.com/office/drawing/2014/main" id="{00000000-0008-0000-1200-000002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1" name="Straight Arrow Connector 4610">
          <a:extLst>
            <a:ext uri="{FF2B5EF4-FFF2-40B4-BE49-F238E27FC236}">
              <a16:creationId xmlns:a16="http://schemas.microsoft.com/office/drawing/2014/main" id="{00000000-0008-0000-1200-000003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2" name="Straight Arrow Connector 4611">
          <a:extLst>
            <a:ext uri="{FF2B5EF4-FFF2-40B4-BE49-F238E27FC236}">
              <a16:creationId xmlns:a16="http://schemas.microsoft.com/office/drawing/2014/main" id="{00000000-0008-0000-1200-000004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3" name="Straight Arrow Connector 4612">
          <a:extLst>
            <a:ext uri="{FF2B5EF4-FFF2-40B4-BE49-F238E27FC236}">
              <a16:creationId xmlns:a16="http://schemas.microsoft.com/office/drawing/2014/main" id="{00000000-0008-0000-1200-000005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4" name="Straight Arrow Connector 4613">
          <a:extLst>
            <a:ext uri="{FF2B5EF4-FFF2-40B4-BE49-F238E27FC236}">
              <a16:creationId xmlns:a16="http://schemas.microsoft.com/office/drawing/2014/main" id="{00000000-0008-0000-1200-000006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15" name="Straight Arrow Connector 4614">
          <a:extLst>
            <a:ext uri="{FF2B5EF4-FFF2-40B4-BE49-F238E27FC236}">
              <a16:creationId xmlns:a16="http://schemas.microsoft.com/office/drawing/2014/main" id="{00000000-0008-0000-1200-000007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6" name="Straight Arrow Connector 4615">
          <a:extLst>
            <a:ext uri="{FF2B5EF4-FFF2-40B4-BE49-F238E27FC236}">
              <a16:creationId xmlns:a16="http://schemas.microsoft.com/office/drawing/2014/main" id="{00000000-0008-0000-1200-000008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17" name="Straight Arrow Connector 4616">
          <a:extLst>
            <a:ext uri="{FF2B5EF4-FFF2-40B4-BE49-F238E27FC236}">
              <a16:creationId xmlns:a16="http://schemas.microsoft.com/office/drawing/2014/main" id="{00000000-0008-0000-1200-000009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18" name="Straight Arrow Connector 4617">
          <a:extLst>
            <a:ext uri="{FF2B5EF4-FFF2-40B4-BE49-F238E27FC236}">
              <a16:creationId xmlns:a16="http://schemas.microsoft.com/office/drawing/2014/main" id="{00000000-0008-0000-1200-00000A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19" name="Straight Arrow Connector 4618">
          <a:extLst>
            <a:ext uri="{FF2B5EF4-FFF2-40B4-BE49-F238E27FC236}">
              <a16:creationId xmlns:a16="http://schemas.microsoft.com/office/drawing/2014/main" id="{00000000-0008-0000-1200-00000B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0" name="Straight Arrow Connector 4619">
          <a:extLst>
            <a:ext uri="{FF2B5EF4-FFF2-40B4-BE49-F238E27FC236}">
              <a16:creationId xmlns:a16="http://schemas.microsoft.com/office/drawing/2014/main" id="{00000000-0008-0000-1200-00000C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21" name="Straight Arrow Connector 4620">
          <a:extLst>
            <a:ext uri="{FF2B5EF4-FFF2-40B4-BE49-F238E27FC236}">
              <a16:creationId xmlns:a16="http://schemas.microsoft.com/office/drawing/2014/main" id="{00000000-0008-0000-1200-00000D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2" name="Straight Arrow Connector 4621">
          <a:extLst>
            <a:ext uri="{FF2B5EF4-FFF2-40B4-BE49-F238E27FC236}">
              <a16:creationId xmlns:a16="http://schemas.microsoft.com/office/drawing/2014/main" id="{00000000-0008-0000-1200-00000E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3" name="Straight Arrow Connector 4622">
          <a:extLst>
            <a:ext uri="{FF2B5EF4-FFF2-40B4-BE49-F238E27FC236}">
              <a16:creationId xmlns:a16="http://schemas.microsoft.com/office/drawing/2014/main" id="{00000000-0008-0000-1200-00000F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4" name="Straight Arrow Connector 4623">
          <a:extLst>
            <a:ext uri="{FF2B5EF4-FFF2-40B4-BE49-F238E27FC236}">
              <a16:creationId xmlns:a16="http://schemas.microsoft.com/office/drawing/2014/main" id="{00000000-0008-0000-1200-000010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25" name="Straight Arrow Connector 4624">
          <a:extLst>
            <a:ext uri="{FF2B5EF4-FFF2-40B4-BE49-F238E27FC236}">
              <a16:creationId xmlns:a16="http://schemas.microsoft.com/office/drawing/2014/main" id="{00000000-0008-0000-1200-000011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6" name="Straight Arrow Connector 4625">
          <a:extLst>
            <a:ext uri="{FF2B5EF4-FFF2-40B4-BE49-F238E27FC236}">
              <a16:creationId xmlns:a16="http://schemas.microsoft.com/office/drawing/2014/main" id="{00000000-0008-0000-1200-000012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27" name="Straight Arrow Connector 4626">
          <a:extLst>
            <a:ext uri="{FF2B5EF4-FFF2-40B4-BE49-F238E27FC236}">
              <a16:creationId xmlns:a16="http://schemas.microsoft.com/office/drawing/2014/main" id="{00000000-0008-0000-1200-000013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28" name="Straight Arrow Connector 4627">
          <a:extLst>
            <a:ext uri="{FF2B5EF4-FFF2-40B4-BE49-F238E27FC236}">
              <a16:creationId xmlns:a16="http://schemas.microsoft.com/office/drawing/2014/main" id="{00000000-0008-0000-1200-000014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29" name="Straight Arrow Connector 4628">
          <a:extLst>
            <a:ext uri="{FF2B5EF4-FFF2-40B4-BE49-F238E27FC236}">
              <a16:creationId xmlns:a16="http://schemas.microsoft.com/office/drawing/2014/main" id="{00000000-0008-0000-1200-000015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30" name="Straight Arrow Connector 4629">
          <a:extLst>
            <a:ext uri="{FF2B5EF4-FFF2-40B4-BE49-F238E27FC236}">
              <a16:creationId xmlns:a16="http://schemas.microsoft.com/office/drawing/2014/main" id="{00000000-0008-0000-1200-000016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31" name="Straight Arrow Connector 4630">
          <a:extLst>
            <a:ext uri="{FF2B5EF4-FFF2-40B4-BE49-F238E27FC236}">
              <a16:creationId xmlns:a16="http://schemas.microsoft.com/office/drawing/2014/main" id="{00000000-0008-0000-1200-000017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32" name="Straight Arrow Connector 4631">
          <a:extLst>
            <a:ext uri="{FF2B5EF4-FFF2-40B4-BE49-F238E27FC236}">
              <a16:creationId xmlns:a16="http://schemas.microsoft.com/office/drawing/2014/main" id="{00000000-0008-0000-1200-000018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33" name="Straight Arrow Connector 4632">
          <a:extLst>
            <a:ext uri="{FF2B5EF4-FFF2-40B4-BE49-F238E27FC236}">
              <a16:creationId xmlns:a16="http://schemas.microsoft.com/office/drawing/2014/main" id="{00000000-0008-0000-1200-000019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34" name="Straight Arrow Connector 4633">
          <a:extLst>
            <a:ext uri="{FF2B5EF4-FFF2-40B4-BE49-F238E27FC236}">
              <a16:creationId xmlns:a16="http://schemas.microsoft.com/office/drawing/2014/main" id="{00000000-0008-0000-1200-00001A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35" name="Straight Arrow Connector 4634">
          <a:extLst>
            <a:ext uri="{FF2B5EF4-FFF2-40B4-BE49-F238E27FC236}">
              <a16:creationId xmlns:a16="http://schemas.microsoft.com/office/drawing/2014/main" id="{00000000-0008-0000-1200-00001B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36" name="Straight Arrow Connector 4635">
          <a:extLst>
            <a:ext uri="{FF2B5EF4-FFF2-40B4-BE49-F238E27FC236}">
              <a16:creationId xmlns:a16="http://schemas.microsoft.com/office/drawing/2014/main" id="{00000000-0008-0000-1200-00001C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37" name="Straight Arrow Connector 4636">
          <a:extLst>
            <a:ext uri="{FF2B5EF4-FFF2-40B4-BE49-F238E27FC236}">
              <a16:creationId xmlns:a16="http://schemas.microsoft.com/office/drawing/2014/main" id="{00000000-0008-0000-1200-00001D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38" name="Straight Arrow Connector 4637">
          <a:extLst>
            <a:ext uri="{FF2B5EF4-FFF2-40B4-BE49-F238E27FC236}">
              <a16:creationId xmlns:a16="http://schemas.microsoft.com/office/drawing/2014/main" id="{00000000-0008-0000-1200-00001E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39" name="Straight Arrow Connector 4638">
          <a:extLst>
            <a:ext uri="{FF2B5EF4-FFF2-40B4-BE49-F238E27FC236}">
              <a16:creationId xmlns:a16="http://schemas.microsoft.com/office/drawing/2014/main" id="{00000000-0008-0000-1200-00001F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0" name="Straight Arrow Connector 4639">
          <a:extLst>
            <a:ext uri="{FF2B5EF4-FFF2-40B4-BE49-F238E27FC236}">
              <a16:creationId xmlns:a16="http://schemas.microsoft.com/office/drawing/2014/main" id="{00000000-0008-0000-1200-000020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41" name="Straight Arrow Connector 4640">
          <a:extLst>
            <a:ext uri="{FF2B5EF4-FFF2-40B4-BE49-F238E27FC236}">
              <a16:creationId xmlns:a16="http://schemas.microsoft.com/office/drawing/2014/main" id="{00000000-0008-0000-1200-000021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2" name="Straight Arrow Connector 4641">
          <a:extLst>
            <a:ext uri="{FF2B5EF4-FFF2-40B4-BE49-F238E27FC236}">
              <a16:creationId xmlns:a16="http://schemas.microsoft.com/office/drawing/2014/main" id="{00000000-0008-0000-1200-000022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43" name="Straight Arrow Connector 4642">
          <a:extLst>
            <a:ext uri="{FF2B5EF4-FFF2-40B4-BE49-F238E27FC236}">
              <a16:creationId xmlns:a16="http://schemas.microsoft.com/office/drawing/2014/main" id="{00000000-0008-0000-1200-000023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4" name="Straight Arrow Connector 4643">
          <a:extLst>
            <a:ext uri="{FF2B5EF4-FFF2-40B4-BE49-F238E27FC236}">
              <a16:creationId xmlns:a16="http://schemas.microsoft.com/office/drawing/2014/main" id="{00000000-0008-0000-1200-000024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45" name="Straight Arrow Connector 4644">
          <a:extLst>
            <a:ext uri="{FF2B5EF4-FFF2-40B4-BE49-F238E27FC236}">
              <a16:creationId xmlns:a16="http://schemas.microsoft.com/office/drawing/2014/main" id="{00000000-0008-0000-1200-000025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6" name="Straight Arrow Connector 4645">
          <a:extLst>
            <a:ext uri="{FF2B5EF4-FFF2-40B4-BE49-F238E27FC236}">
              <a16:creationId xmlns:a16="http://schemas.microsoft.com/office/drawing/2014/main" id="{00000000-0008-0000-1200-000026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47" name="Straight Arrow Connector 4646">
          <a:extLst>
            <a:ext uri="{FF2B5EF4-FFF2-40B4-BE49-F238E27FC236}">
              <a16:creationId xmlns:a16="http://schemas.microsoft.com/office/drawing/2014/main" id="{00000000-0008-0000-1200-000027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8" name="Straight Arrow Connector 4647">
          <a:extLst>
            <a:ext uri="{FF2B5EF4-FFF2-40B4-BE49-F238E27FC236}">
              <a16:creationId xmlns:a16="http://schemas.microsoft.com/office/drawing/2014/main" id="{00000000-0008-0000-1200-000028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49" name="Straight Arrow Connector 4648">
          <a:extLst>
            <a:ext uri="{FF2B5EF4-FFF2-40B4-BE49-F238E27FC236}">
              <a16:creationId xmlns:a16="http://schemas.microsoft.com/office/drawing/2014/main" id="{00000000-0008-0000-1200-000029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50" name="Straight Arrow Connector 4649">
          <a:extLst>
            <a:ext uri="{FF2B5EF4-FFF2-40B4-BE49-F238E27FC236}">
              <a16:creationId xmlns:a16="http://schemas.microsoft.com/office/drawing/2014/main" id="{00000000-0008-0000-1200-00002A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51" name="Straight Arrow Connector 4650">
          <a:extLst>
            <a:ext uri="{FF2B5EF4-FFF2-40B4-BE49-F238E27FC236}">
              <a16:creationId xmlns:a16="http://schemas.microsoft.com/office/drawing/2014/main" id="{00000000-0008-0000-1200-00002B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52" name="Straight Arrow Connector 4651">
          <a:extLst>
            <a:ext uri="{FF2B5EF4-FFF2-40B4-BE49-F238E27FC236}">
              <a16:creationId xmlns:a16="http://schemas.microsoft.com/office/drawing/2014/main" id="{00000000-0008-0000-1200-00002C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53" name="Straight Arrow Connector 4652">
          <a:extLst>
            <a:ext uri="{FF2B5EF4-FFF2-40B4-BE49-F238E27FC236}">
              <a16:creationId xmlns:a16="http://schemas.microsoft.com/office/drawing/2014/main" id="{00000000-0008-0000-1200-00002D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54" name="Straight Arrow Connector 4653">
          <a:extLst>
            <a:ext uri="{FF2B5EF4-FFF2-40B4-BE49-F238E27FC236}">
              <a16:creationId xmlns:a16="http://schemas.microsoft.com/office/drawing/2014/main" id="{00000000-0008-0000-1200-00002E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55" name="Straight Arrow Connector 4654">
          <a:extLst>
            <a:ext uri="{FF2B5EF4-FFF2-40B4-BE49-F238E27FC236}">
              <a16:creationId xmlns:a16="http://schemas.microsoft.com/office/drawing/2014/main" id="{00000000-0008-0000-1200-00002F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56" name="Straight Arrow Connector 4655">
          <a:extLst>
            <a:ext uri="{FF2B5EF4-FFF2-40B4-BE49-F238E27FC236}">
              <a16:creationId xmlns:a16="http://schemas.microsoft.com/office/drawing/2014/main" id="{00000000-0008-0000-1200-000030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57" name="Straight Arrow Connector 4656">
          <a:extLst>
            <a:ext uri="{FF2B5EF4-FFF2-40B4-BE49-F238E27FC236}">
              <a16:creationId xmlns:a16="http://schemas.microsoft.com/office/drawing/2014/main" id="{00000000-0008-0000-1200-000031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58" name="Straight Arrow Connector 4657">
          <a:extLst>
            <a:ext uri="{FF2B5EF4-FFF2-40B4-BE49-F238E27FC236}">
              <a16:creationId xmlns:a16="http://schemas.microsoft.com/office/drawing/2014/main" id="{00000000-0008-0000-1200-000032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59" name="Straight Arrow Connector 4658">
          <a:extLst>
            <a:ext uri="{FF2B5EF4-FFF2-40B4-BE49-F238E27FC236}">
              <a16:creationId xmlns:a16="http://schemas.microsoft.com/office/drawing/2014/main" id="{00000000-0008-0000-1200-000033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0" name="Straight Arrow Connector 4659">
          <a:extLst>
            <a:ext uri="{FF2B5EF4-FFF2-40B4-BE49-F238E27FC236}">
              <a16:creationId xmlns:a16="http://schemas.microsoft.com/office/drawing/2014/main" id="{00000000-0008-0000-1200-000034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1" name="Straight Arrow Connector 4660">
          <a:extLst>
            <a:ext uri="{FF2B5EF4-FFF2-40B4-BE49-F238E27FC236}">
              <a16:creationId xmlns:a16="http://schemas.microsoft.com/office/drawing/2014/main" id="{00000000-0008-0000-1200-000035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2" name="Straight Arrow Connector 4661">
          <a:extLst>
            <a:ext uri="{FF2B5EF4-FFF2-40B4-BE49-F238E27FC236}">
              <a16:creationId xmlns:a16="http://schemas.microsoft.com/office/drawing/2014/main" id="{00000000-0008-0000-1200-000036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3" name="Straight Arrow Connector 4662">
          <a:extLst>
            <a:ext uri="{FF2B5EF4-FFF2-40B4-BE49-F238E27FC236}">
              <a16:creationId xmlns:a16="http://schemas.microsoft.com/office/drawing/2014/main" id="{00000000-0008-0000-1200-000037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4" name="Straight Arrow Connector 4663">
          <a:extLst>
            <a:ext uri="{FF2B5EF4-FFF2-40B4-BE49-F238E27FC236}">
              <a16:creationId xmlns:a16="http://schemas.microsoft.com/office/drawing/2014/main" id="{00000000-0008-0000-1200-000038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5" name="Straight Arrow Connector 4664">
          <a:extLst>
            <a:ext uri="{FF2B5EF4-FFF2-40B4-BE49-F238E27FC236}">
              <a16:creationId xmlns:a16="http://schemas.microsoft.com/office/drawing/2014/main" id="{00000000-0008-0000-1200-000039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66" name="Straight Arrow Connector 4665">
          <a:extLst>
            <a:ext uri="{FF2B5EF4-FFF2-40B4-BE49-F238E27FC236}">
              <a16:creationId xmlns:a16="http://schemas.microsoft.com/office/drawing/2014/main" id="{00000000-0008-0000-1200-00003A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7" name="Straight Arrow Connector 4666">
          <a:extLst>
            <a:ext uri="{FF2B5EF4-FFF2-40B4-BE49-F238E27FC236}">
              <a16:creationId xmlns:a16="http://schemas.microsoft.com/office/drawing/2014/main" id="{00000000-0008-0000-1200-00003B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68" name="Straight Arrow Connector 4667">
          <a:extLst>
            <a:ext uri="{FF2B5EF4-FFF2-40B4-BE49-F238E27FC236}">
              <a16:creationId xmlns:a16="http://schemas.microsoft.com/office/drawing/2014/main" id="{00000000-0008-0000-1200-00003C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69" name="Straight Arrow Connector 4668">
          <a:extLst>
            <a:ext uri="{FF2B5EF4-FFF2-40B4-BE49-F238E27FC236}">
              <a16:creationId xmlns:a16="http://schemas.microsoft.com/office/drawing/2014/main" id="{00000000-0008-0000-1200-00003D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70" name="Straight Arrow Connector 4669">
          <a:extLst>
            <a:ext uri="{FF2B5EF4-FFF2-40B4-BE49-F238E27FC236}">
              <a16:creationId xmlns:a16="http://schemas.microsoft.com/office/drawing/2014/main" id="{00000000-0008-0000-1200-00003E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71" name="Straight Arrow Connector 4670">
          <a:extLst>
            <a:ext uri="{FF2B5EF4-FFF2-40B4-BE49-F238E27FC236}">
              <a16:creationId xmlns:a16="http://schemas.microsoft.com/office/drawing/2014/main" id="{00000000-0008-0000-1200-00003F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72" name="Straight Arrow Connector 4671">
          <a:extLst>
            <a:ext uri="{FF2B5EF4-FFF2-40B4-BE49-F238E27FC236}">
              <a16:creationId xmlns:a16="http://schemas.microsoft.com/office/drawing/2014/main" id="{00000000-0008-0000-1200-000040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73" name="Straight Arrow Connector 4672">
          <a:extLst>
            <a:ext uri="{FF2B5EF4-FFF2-40B4-BE49-F238E27FC236}">
              <a16:creationId xmlns:a16="http://schemas.microsoft.com/office/drawing/2014/main" id="{00000000-0008-0000-1200-000041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74" name="Straight Arrow Connector 4673">
          <a:extLst>
            <a:ext uri="{FF2B5EF4-FFF2-40B4-BE49-F238E27FC236}">
              <a16:creationId xmlns:a16="http://schemas.microsoft.com/office/drawing/2014/main" id="{00000000-0008-0000-1200-000042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75" name="Straight Arrow Connector 4674">
          <a:extLst>
            <a:ext uri="{FF2B5EF4-FFF2-40B4-BE49-F238E27FC236}">
              <a16:creationId xmlns:a16="http://schemas.microsoft.com/office/drawing/2014/main" id="{00000000-0008-0000-1200-000043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76" name="Straight Arrow Connector 4675">
          <a:extLst>
            <a:ext uri="{FF2B5EF4-FFF2-40B4-BE49-F238E27FC236}">
              <a16:creationId xmlns:a16="http://schemas.microsoft.com/office/drawing/2014/main" id="{00000000-0008-0000-1200-000044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77" name="Straight Arrow Connector 4676">
          <a:extLst>
            <a:ext uri="{FF2B5EF4-FFF2-40B4-BE49-F238E27FC236}">
              <a16:creationId xmlns:a16="http://schemas.microsoft.com/office/drawing/2014/main" id="{00000000-0008-0000-1200-000045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78" name="Straight Arrow Connector 4677">
          <a:extLst>
            <a:ext uri="{FF2B5EF4-FFF2-40B4-BE49-F238E27FC236}">
              <a16:creationId xmlns:a16="http://schemas.microsoft.com/office/drawing/2014/main" id="{00000000-0008-0000-1200-000046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79" name="Straight Arrow Connector 4678">
          <a:extLst>
            <a:ext uri="{FF2B5EF4-FFF2-40B4-BE49-F238E27FC236}">
              <a16:creationId xmlns:a16="http://schemas.microsoft.com/office/drawing/2014/main" id="{00000000-0008-0000-1200-000047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80" name="Straight Arrow Connector 4679">
          <a:extLst>
            <a:ext uri="{FF2B5EF4-FFF2-40B4-BE49-F238E27FC236}">
              <a16:creationId xmlns:a16="http://schemas.microsoft.com/office/drawing/2014/main" id="{00000000-0008-0000-1200-000048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81" name="Straight Arrow Connector 4680">
          <a:extLst>
            <a:ext uri="{FF2B5EF4-FFF2-40B4-BE49-F238E27FC236}">
              <a16:creationId xmlns:a16="http://schemas.microsoft.com/office/drawing/2014/main" id="{00000000-0008-0000-1200-000049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1663</xdr:row>
      <xdr:rowOff>31750</xdr:rowOff>
    </xdr:from>
    <xdr:to>
      <xdr:col>16</xdr:col>
      <xdr:colOff>42334</xdr:colOff>
      <xdr:row>1670</xdr:row>
      <xdr:rowOff>63501</xdr:rowOff>
    </xdr:to>
    <xdr:cxnSp macro="">
      <xdr:nvCxnSpPr>
        <xdr:cNvPr id="4682" name="Straight Arrow Connector 4681">
          <a:extLst>
            <a:ext uri="{FF2B5EF4-FFF2-40B4-BE49-F238E27FC236}">
              <a16:creationId xmlns:a16="http://schemas.microsoft.com/office/drawing/2014/main" id="{00000000-0008-0000-1200-00004A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83" name="Straight Arrow Connector 4682">
          <a:extLst>
            <a:ext uri="{FF2B5EF4-FFF2-40B4-BE49-F238E27FC236}">
              <a16:creationId xmlns:a16="http://schemas.microsoft.com/office/drawing/2014/main" id="{00000000-0008-0000-1200-00004B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84" name="Straight Arrow Connector 4683">
          <a:extLst>
            <a:ext uri="{FF2B5EF4-FFF2-40B4-BE49-F238E27FC236}">
              <a16:creationId xmlns:a16="http://schemas.microsoft.com/office/drawing/2014/main" id="{00000000-0008-0000-1200-00004C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85" name="Straight Arrow Connector 4684">
          <a:extLst>
            <a:ext uri="{FF2B5EF4-FFF2-40B4-BE49-F238E27FC236}">
              <a16:creationId xmlns:a16="http://schemas.microsoft.com/office/drawing/2014/main" id="{00000000-0008-0000-1200-00004D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1663</xdr:row>
      <xdr:rowOff>31750</xdr:rowOff>
    </xdr:from>
    <xdr:to>
      <xdr:col>16</xdr:col>
      <xdr:colOff>42334</xdr:colOff>
      <xdr:row>1670</xdr:row>
      <xdr:rowOff>63501</xdr:rowOff>
    </xdr:to>
    <xdr:cxnSp macro="">
      <xdr:nvCxnSpPr>
        <xdr:cNvPr id="4686" name="Straight Arrow Connector 4685">
          <a:extLst>
            <a:ext uri="{FF2B5EF4-FFF2-40B4-BE49-F238E27FC236}">
              <a16:creationId xmlns:a16="http://schemas.microsoft.com/office/drawing/2014/main" id="{00000000-0008-0000-1200-00004E120000}"/>
            </a:ext>
          </a:extLst>
        </xdr:cNvPr>
        <xdr:cNvCxnSpPr/>
      </xdr:nvCxnSpPr>
      <xdr:spPr>
        <a:xfrm>
          <a:off x="11281833" y="310546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1676</xdr:row>
      <xdr:rowOff>31750</xdr:rowOff>
    </xdr:from>
    <xdr:to>
      <xdr:col>16</xdr:col>
      <xdr:colOff>21167</xdr:colOff>
      <xdr:row>1683</xdr:row>
      <xdr:rowOff>95250</xdr:rowOff>
    </xdr:to>
    <xdr:cxnSp macro="">
      <xdr:nvCxnSpPr>
        <xdr:cNvPr id="4687" name="Straight Arrow Connector 4686">
          <a:extLst>
            <a:ext uri="{FF2B5EF4-FFF2-40B4-BE49-F238E27FC236}">
              <a16:creationId xmlns:a16="http://schemas.microsoft.com/office/drawing/2014/main" id="{00000000-0008-0000-1200-00004F120000}"/>
            </a:ext>
          </a:extLst>
        </xdr:cNvPr>
        <xdr:cNvCxnSpPr/>
      </xdr:nvCxnSpPr>
      <xdr:spPr>
        <a:xfrm>
          <a:off x="11324166" y="313213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88" name="Straight Arrow Connector 4687">
          <a:extLst>
            <a:ext uri="{FF2B5EF4-FFF2-40B4-BE49-F238E27FC236}">
              <a16:creationId xmlns:a16="http://schemas.microsoft.com/office/drawing/2014/main" id="{00000000-0008-0000-1200-000050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1689</xdr:row>
      <xdr:rowOff>31750</xdr:rowOff>
    </xdr:from>
    <xdr:to>
      <xdr:col>16</xdr:col>
      <xdr:colOff>42334</xdr:colOff>
      <xdr:row>1696</xdr:row>
      <xdr:rowOff>63501</xdr:rowOff>
    </xdr:to>
    <xdr:cxnSp macro="">
      <xdr:nvCxnSpPr>
        <xdr:cNvPr id="4689" name="Straight Arrow Connector 4688">
          <a:extLst>
            <a:ext uri="{FF2B5EF4-FFF2-40B4-BE49-F238E27FC236}">
              <a16:creationId xmlns:a16="http://schemas.microsoft.com/office/drawing/2014/main" id="{00000000-0008-0000-1200-000051120000}"/>
            </a:ext>
          </a:extLst>
        </xdr:cNvPr>
        <xdr:cNvCxnSpPr/>
      </xdr:nvCxnSpPr>
      <xdr:spPr>
        <a:xfrm>
          <a:off x="11281833" y="315690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0" name="Straight Arrow Connector 4689">
          <a:extLst>
            <a:ext uri="{FF2B5EF4-FFF2-40B4-BE49-F238E27FC236}">
              <a16:creationId xmlns:a16="http://schemas.microsoft.com/office/drawing/2014/main" id="{00000000-0008-0000-1200-00005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1" name="Straight Arrow Connector 4690">
          <a:extLst>
            <a:ext uri="{FF2B5EF4-FFF2-40B4-BE49-F238E27FC236}">
              <a16:creationId xmlns:a16="http://schemas.microsoft.com/office/drawing/2014/main" id="{00000000-0008-0000-1200-00005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2" name="Straight Arrow Connector 4691">
          <a:extLst>
            <a:ext uri="{FF2B5EF4-FFF2-40B4-BE49-F238E27FC236}">
              <a16:creationId xmlns:a16="http://schemas.microsoft.com/office/drawing/2014/main" id="{00000000-0008-0000-1200-00005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3" name="Straight Arrow Connector 4692">
          <a:extLst>
            <a:ext uri="{FF2B5EF4-FFF2-40B4-BE49-F238E27FC236}">
              <a16:creationId xmlns:a16="http://schemas.microsoft.com/office/drawing/2014/main" id="{00000000-0008-0000-1200-000055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4" name="Straight Arrow Connector 4693">
          <a:extLst>
            <a:ext uri="{FF2B5EF4-FFF2-40B4-BE49-F238E27FC236}">
              <a16:creationId xmlns:a16="http://schemas.microsoft.com/office/drawing/2014/main" id="{00000000-0008-0000-1200-00005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5" name="Straight Arrow Connector 4694">
          <a:extLst>
            <a:ext uri="{FF2B5EF4-FFF2-40B4-BE49-F238E27FC236}">
              <a16:creationId xmlns:a16="http://schemas.microsoft.com/office/drawing/2014/main" id="{00000000-0008-0000-1200-00005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6" name="Straight Arrow Connector 4695">
          <a:extLst>
            <a:ext uri="{FF2B5EF4-FFF2-40B4-BE49-F238E27FC236}">
              <a16:creationId xmlns:a16="http://schemas.microsoft.com/office/drawing/2014/main" id="{00000000-0008-0000-1200-00005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697" name="Straight Arrow Connector 4696">
          <a:extLst>
            <a:ext uri="{FF2B5EF4-FFF2-40B4-BE49-F238E27FC236}">
              <a16:creationId xmlns:a16="http://schemas.microsoft.com/office/drawing/2014/main" id="{00000000-0008-0000-1200-000059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8" name="Straight Arrow Connector 4697">
          <a:extLst>
            <a:ext uri="{FF2B5EF4-FFF2-40B4-BE49-F238E27FC236}">
              <a16:creationId xmlns:a16="http://schemas.microsoft.com/office/drawing/2014/main" id="{00000000-0008-0000-1200-00005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699" name="Straight Arrow Connector 4698">
          <a:extLst>
            <a:ext uri="{FF2B5EF4-FFF2-40B4-BE49-F238E27FC236}">
              <a16:creationId xmlns:a16="http://schemas.microsoft.com/office/drawing/2014/main" id="{00000000-0008-0000-1200-00005B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0" name="Straight Arrow Connector 4699">
          <a:extLst>
            <a:ext uri="{FF2B5EF4-FFF2-40B4-BE49-F238E27FC236}">
              <a16:creationId xmlns:a16="http://schemas.microsoft.com/office/drawing/2014/main" id="{00000000-0008-0000-1200-00005C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01" name="Straight Arrow Connector 4700">
          <a:extLst>
            <a:ext uri="{FF2B5EF4-FFF2-40B4-BE49-F238E27FC236}">
              <a16:creationId xmlns:a16="http://schemas.microsoft.com/office/drawing/2014/main" id="{00000000-0008-0000-1200-00005D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2" name="Straight Arrow Connector 4701">
          <a:extLst>
            <a:ext uri="{FF2B5EF4-FFF2-40B4-BE49-F238E27FC236}">
              <a16:creationId xmlns:a16="http://schemas.microsoft.com/office/drawing/2014/main" id="{00000000-0008-0000-1200-00005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03" name="Straight Arrow Connector 4702">
          <a:extLst>
            <a:ext uri="{FF2B5EF4-FFF2-40B4-BE49-F238E27FC236}">
              <a16:creationId xmlns:a16="http://schemas.microsoft.com/office/drawing/2014/main" id="{00000000-0008-0000-1200-00005F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4" name="Straight Arrow Connector 4703">
          <a:extLst>
            <a:ext uri="{FF2B5EF4-FFF2-40B4-BE49-F238E27FC236}">
              <a16:creationId xmlns:a16="http://schemas.microsoft.com/office/drawing/2014/main" id="{00000000-0008-0000-1200-00006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05" name="Straight Arrow Connector 4704">
          <a:extLst>
            <a:ext uri="{FF2B5EF4-FFF2-40B4-BE49-F238E27FC236}">
              <a16:creationId xmlns:a16="http://schemas.microsoft.com/office/drawing/2014/main" id="{00000000-0008-0000-1200-000061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6" name="Straight Arrow Connector 4705">
          <a:extLst>
            <a:ext uri="{FF2B5EF4-FFF2-40B4-BE49-F238E27FC236}">
              <a16:creationId xmlns:a16="http://schemas.microsoft.com/office/drawing/2014/main" id="{00000000-0008-0000-1200-00006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7" name="Straight Arrow Connector 4706">
          <a:extLst>
            <a:ext uri="{FF2B5EF4-FFF2-40B4-BE49-F238E27FC236}">
              <a16:creationId xmlns:a16="http://schemas.microsoft.com/office/drawing/2014/main" id="{00000000-0008-0000-1200-00006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08" name="Straight Arrow Connector 4707">
          <a:extLst>
            <a:ext uri="{FF2B5EF4-FFF2-40B4-BE49-F238E27FC236}">
              <a16:creationId xmlns:a16="http://schemas.microsoft.com/office/drawing/2014/main" id="{00000000-0008-0000-1200-00006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09" name="Straight Arrow Connector 4708">
          <a:extLst>
            <a:ext uri="{FF2B5EF4-FFF2-40B4-BE49-F238E27FC236}">
              <a16:creationId xmlns:a16="http://schemas.microsoft.com/office/drawing/2014/main" id="{00000000-0008-0000-1200-000065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0" name="Straight Arrow Connector 4709">
          <a:extLst>
            <a:ext uri="{FF2B5EF4-FFF2-40B4-BE49-F238E27FC236}">
              <a16:creationId xmlns:a16="http://schemas.microsoft.com/office/drawing/2014/main" id="{00000000-0008-0000-1200-00006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1" name="Straight Arrow Connector 4710">
          <a:extLst>
            <a:ext uri="{FF2B5EF4-FFF2-40B4-BE49-F238E27FC236}">
              <a16:creationId xmlns:a16="http://schemas.microsoft.com/office/drawing/2014/main" id="{00000000-0008-0000-1200-00006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2" name="Straight Arrow Connector 4711">
          <a:extLst>
            <a:ext uri="{FF2B5EF4-FFF2-40B4-BE49-F238E27FC236}">
              <a16:creationId xmlns:a16="http://schemas.microsoft.com/office/drawing/2014/main" id="{00000000-0008-0000-1200-00006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3" name="Straight Arrow Connector 4712">
          <a:extLst>
            <a:ext uri="{FF2B5EF4-FFF2-40B4-BE49-F238E27FC236}">
              <a16:creationId xmlns:a16="http://schemas.microsoft.com/office/drawing/2014/main" id="{00000000-0008-0000-1200-00006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14" name="Straight Arrow Connector 4713">
          <a:extLst>
            <a:ext uri="{FF2B5EF4-FFF2-40B4-BE49-F238E27FC236}">
              <a16:creationId xmlns:a16="http://schemas.microsoft.com/office/drawing/2014/main" id="{00000000-0008-0000-1200-00006A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5" name="Straight Arrow Connector 4714">
          <a:extLst>
            <a:ext uri="{FF2B5EF4-FFF2-40B4-BE49-F238E27FC236}">
              <a16:creationId xmlns:a16="http://schemas.microsoft.com/office/drawing/2014/main" id="{00000000-0008-0000-1200-00006B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16" name="Straight Arrow Connector 4715">
          <a:extLst>
            <a:ext uri="{FF2B5EF4-FFF2-40B4-BE49-F238E27FC236}">
              <a16:creationId xmlns:a16="http://schemas.microsoft.com/office/drawing/2014/main" id="{00000000-0008-0000-1200-00006C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7" name="Straight Arrow Connector 4716">
          <a:extLst>
            <a:ext uri="{FF2B5EF4-FFF2-40B4-BE49-F238E27FC236}">
              <a16:creationId xmlns:a16="http://schemas.microsoft.com/office/drawing/2014/main" id="{00000000-0008-0000-1200-00006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18" name="Straight Arrow Connector 4717">
          <a:extLst>
            <a:ext uri="{FF2B5EF4-FFF2-40B4-BE49-F238E27FC236}">
              <a16:creationId xmlns:a16="http://schemas.microsoft.com/office/drawing/2014/main" id="{00000000-0008-0000-1200-00006E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19" name="Straight Arrow Connector 4718">
          <a:extLst>
            <a:ext uri="{FF2B5EF4-FFF2-40B4-BE49-F238E27FC236}">
              <a16:creationId xmlns:a16="http://schemas.microsoft.com/office/drawing/2014/main" id="{00000000-0008-0000-1200-00006F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20" name="Straight Arrow Connector 4719">
          <a:extLst>
            <a:ext uri="{FF2B5EF4-FFF2-40B4-BE49-F238E27FC236}">
              <a16:creationId xmlns:a16="http://schemas.microsoft.com/office/drawing/2014/main" id="{00000000-0008-0000-1200-000070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1" name="Straight Arrow Connector 4720">
          <a:extLst>
            <a:ext uri="{FF2B5EF4-FFF2-40B4-BE49-F238E27FC236}">
              <a16:creationId xmlns:a16="http://schemas.microsoft.com/office/drawing/2014/main" id="{00000000-0008-0000-1200-000071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2" name="Straight Arrow Connector 4721">
          <a:extLst>
            <a:ext uri="{FF2B5EF4-FFF2-40B4-BE49-F238E27FC236}">
              <a16:creationId xmlns:a16="http://schemas.microsoft.com/office/drawing/2014/main" id="{00000000-0008-0000-1200-00007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3" name="Straight Arrow Connector 4722">
          <a:extLst>
            <a:ext uri="{FF2B5EF4-FFF2-40B4-BE49-F238E27FC236}">
              <a16:creationId xmlns:a16="http://schemas.microsoft.com/office/drawing/2014/main" id="{00000000-0008-0000-1200-00007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24" name="Straight Arrow Connector 4723">
          <a:extLst>
            <a:ext uri="{FF2B5EF4-FFF2-40B4-BE49-F238E27FC236}">
              <a16:creationId xmlns:a16="http://schemas.microsoft.com/office/drawing/2014/main" id="{00000000-0008-0000-1200-000074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5" name="Straight Arrow Connector 4724">
          <a:extLst>
            <a:ext uri="{FF2B5EF4-FFF2-40B4-BE49-F238E27FC236}">
              <a16:creationId xmlns:a16="http://schemas.microsoft.com/office/drawing/2014/main" id="{00000000-0008-0000-1200-000075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26" name="Straight Arrow Connector 4725">
          <a:extLst>
            <a:ext uri="{FF2B5EF4-FFF2-40B4-BE49-F238E27FC236}">
              <a16:creationId xmlns:a16="http://schemas.microsoft.com/office/drawing/2014/main" id="{00000000-0008-0000-1200-000076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7" name="Straight Arrow Connector 4726">
          <a:extLst>
            <a:ext uri="{FF2B5EF4-FFF2-40B4-BE49-F238E27FC236}">
              <a16:creationId xmlns:a16="http://schemas.microsoft.com/office/drawing/2014/main" id="{00000000-0008-0000-1200-00007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28" name="Straight Arrow Connector 4727">
          <a:extLst>
            <a:ext uri="{FF2B5EF4-FFF2-40B4-BE49-F238E27FC236}">
              <a16:creationId xmlns:a16="http://schemas.microsoft.com/office/drawing/2014/main" id="{00000000-0008-0000-1200-000078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29" name="Straight Arrow Connector 4728">
          <a:extLst>
            <a:ext uri="{FF2B5EF4-FFF2-40B4-BE49-F238E27FC236}">
              <a16:creationId xmlns:a16="http://schemas.microsoft.com/office/drawing/2014/main" id="{00000000-0008-0000-1200-00007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30" name="Straight Arrow Connector 4729">
          <a:extLst>
            <a:ext uri="{FF2B5EF4-FFF2-40B4-BE49-F238E27FC236}">
              <a16:creationId xmlns:a16="http://schemas.microsoft.com/office/drawing/2014/main" id="{00000000-0008-0000-1200-00007A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31" name="Straight Arrow Connector 4730">
          <a:extLst>
            <a:ext uri="{FF2B5EF4-FFF2-40B4-BE49-F238E27FC236}">
              <a16:creationId xmlns:a16="http://schemas.microsoft.com/office/drawing/2014/main" id="{00000000-0008-0000-1200-00007B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32" name="Straight Arrow Connector 4731">
          <a:extLst>
            <a:ext uri="{FF2B5EF4-FFF2-40B4-BE49-F238E27FC236}">
              <a16:creationId xmlns:a16="http://schemas.microsoft.com/office/drawing/2014/main" id="{00000000-0008-0000-1200-00007C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33" name="Straight Arrow Connector 4732">
          <a:extLst>
            <a:ext uri="{FF2B5EF4-FFF2-40B4-BE49-F238E27FC236}">
              <a16:creationId xmlns:a16="http://schemas.microsoft.com/office/drawing/2014/main" id="{00000000-0008-0000-1200-00007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34" name="Straight Arrow Connector 4733">
          <a:extLst>
            <a:ext uri="{FF2B5EF4-FFF2-40B4-BE49-F238E27FC236}">
              <a16:creationId xmlns:a16="http://schemas.microsoft.com/office/drawing/2014/main" id="{00000000-0008-0000-1200-00007E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35" name="Straight Arrow Connector 4734">
          <a:extLst>
            <a:ext uri="{FF2B5EF4-FFF2-40B4-BE49-F238E27FC236}">
              <a16:creationId xmlns:a16="http://schemas.microsoft.com/office/drawing/2014/main" id="{00000000-0008-0000-1200-00007F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36" name="Straight Arrow Connector 4735">
          <a:extLst>
            <a:ext uri="{FF2B5EF4-FFF2-40B4-BE49-F238E27FC236}">
              <a16:creationId xmlns:a16="http://schemas.microsoft.com/office/drawing/2014/main" id="{00000000-0008-0000-1200-000080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37" name="Straight Arrow Connector 4736">
          <a:extLst>
            <a:ext uri="{FF2B5EF4-FFF2-40B4-BE49-F238E27FC236}">
              <a16:creationId xmlns:a16="http://schemas.microsoft.com/office/drawing/2014/main" id="{00000000-0008-0000-1200-000081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38" name="Straight Arrow Connector 4737">
          <a:extLst>
            <a:ext uri="{FF2B5EF4-FFF2-40B4-BE49-F238E27FC236}">
              <a16:creationId xmlns:a16="http://schemas.microsoft.com/office/drawing/2014/main" id="{00000000-0008-0000-1200-000082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39" name="Straight Arrow Connector 4738">
          <a:extLst>
            <a:ext uri="{FF2B5EF4-FFF2-40B4-BE49-F238E27FC236}">
              <a16:creationId xmlns:a16="http://schemas.microsoft.com/office/drawing/2014/main" id="{00000000-0008-0000-1200-00008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40" name="Straight Arrow Connector 4739">
          <a:extLst>
            <a:ext uri="{FF2B5EF4-FFF2-40B4-BE49-F238E27FC236}">
              <a16:creationId xmlns:a16="http://schemas.microsoft.com/office/drawing/2014/main" id="{00000000-0008-0000-1200-000084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1" name="Straight Arrow Connector 4740">
          <a:extLst>
            <a:ext uri="{FF2B5EF4-FFF2-40B4-BE49-F238E27FC236}">
              <a16:creationId xmlns:a16="http://schemas.microsoft.com/office/drawing/2014/main" id="{00000000-0008-0000-1200-000085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42" name="Straight Arrow Connector 4741">
          <a:extLst>
            <a:ext uri="{FF2B5EF4-FFF2-40B4-BE49-F238E27FC236}">
              <a16:creationId xmlns:a16="http://schemas.microsoft.com/office/drawing/2014/main" id="{00000000-0008-0000-1200-000086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3" name="Straight Arrow Connector 4742">
          <a:extLst>
            <a:ext uri="{FF2B5EF4-FFF2-40B4-BE49-F238E27FC236}">
              <a16:creationId xmlns:a16="http://schemas.microsoft.com/office/drawing/2014/main" id="{00000000-0008-0000-1200-00008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44" name="Straight Arrow Connector 4743">
          <a:extLst>
            <a:ext uri="{FF2B5EF4-FFF2-40B4-BE49-F238E27FC236}">
              <a16:creationId xmlns:a16="http://schemas.microsoft.com/office/drawing/2014/main" id="{00000000-0008-0000-1200-000088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5" name="Straight Arrow Connector 4744">
          <a:extLst>
            <a:ext uri="{FF2B5EF4-FFF2-40B4-BE49-F238E27FC236}">
              <a16:creationId xmlns:a16="http://schemas.microsoft.com/office/drawing/2014/main" id="{00000000-0008-0000-1200-00008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6" name="Straight Arrow Connector 4745">
          <a:extLst>
            <a:ext uri="{FF2B5EF4-FFF2-40B4-BE49-F238E27FC236}">
              <a16:creationId xmlns:a16="http://schemas.microsoft.com/office/drawing/2014/main" id="{00000000-0008-0000-1200-00008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7" name="Straight Arrow Connector 4746">
          <a:extLst>
            <a:ext uri="{FF2B5EF4-FFF2-40B4-BE49-F238E27FC236}">
              <a16:creationId xmlns:a16="http://schemas.microsoft.com/office/drawing/2014/main" id="{00000000-0008-0000-1200-00008B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48" name="Straight Arrow Connector 4747">
          <a:extLst>
            <a:ext uri="{FF2B5EF4-FFF2-40B4-BE49-F238E27FC236}">
              <a16:creationId xmlns:a16="http://schemas.microsoft.com/office/drawing/2014/main" id="{00000000-0008-0000-1200-00008C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49" name="Straight Arrow Connector 4748">
          <a:extLst>
            <a:ext uri="{FF2B5EF4-FFF2-40B4-BE49-F238E27FC236}">
              <a16:creationId xmlns:a16="http://schemas.microsoft.com/office/drawing/2014/main" id="{00000000-0008-0000-1200-00008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0" name="Straight Arrow Connector 4749">
          <a:extLst>
            <a:ext uri="{FF2B5EF4-FFF2-40B4-BE49-F238E27FC236}">
              <a16:creationId xmlns:a16="http://schemas.microsoft.com/office/drawing/2014/main" id="{00000000-0008-0000-1200-00008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1" name="Straight Arrow Connector 4750">
          <a:extLst>
            <a:ext uri="{FF2B5EF4-FFF2-40B4-BE49-F238E27FC236}">
              <a16:creationId xmlns:a16="http://schemas.microsoft.com/office/drawing/2014/main" id="{00000000-0008-0000-1200-00008F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2" name="Straight Arrow Connector 4751">
          <a:extLst>
            <a:ext uri="{FF2B5EF4-FFF2-40B4-BE49-F238E27FC236}">
              <a16:creationId xmlns:a16="http://schemas.microsoft.com/office/drawing/2014/main" id="{00000000-0008-0000-1200-00009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53" name="Straight Arrow Connector 4752">
          <a:extLst>
            <a:ext uri="{FF2B5EF4-FFF2-40B4-BE49-F238E27FC236}">
              <a16:creationId xmlns:a16="http://schemas.microsoft.com/office/drawing/2014/main" id="{00000000-0008-0000-1200-000091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4" name="Straight Arrow Connector 4753">
          <a:extLst>
            <a:ext uri="{FF2B5EF4-FFF2-40B4-BE49-F238E27FC236}">
              <a16:creationId xmlns:a16="http://schemas.microsoft.com/office/drawing/2014/main" id="{00000000-0008-0000-1200-00009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55" name="Straight Arrow Connector 4754">
          <a:extLst>
            <a:ext uri="{FF2B5EF4-FFF2-40B4-BE49-F238E27FC236}">
              <a16:creationId xmlns:a16="http://schemas.microsoft.com/office/drawing/2014/main" id="{00000000-0008-0000-1200-000093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6" name="Straight Arrow Connector 4755">
          <a:extLst>
            <a:ext uri="{FF2B5EF4-FFF2-40B4-BE49-F238E27FC236}">
              <a16:creationId xmlns:a16="http://schemas.microsoft.com/office/drawing/2014/main" id="{00000000-0008-0000-1200-00009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57" name="Straight Arrow Connector 4756">
          <a:extLst>
            <a:ext uri="{FF2B5EF4-FFF2-40B4-BE49-F238E27FC236}">
              <a16:creationId xmlns:a16="http://schemas.microsoft.com/office/drawing/2014/main" id="{00000000-0008-0000-1200-000095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58" name="Straight Arrow Connector 4757">
          <a:extLst>
            <a:ext uri="{FF2B5EF4-FFF2-40B4-BE49-F238E27FC236}">
              <a16:creationId xmlns:a16="http://schemas.microsoft.com/office/drawing/2014/main" id="{00000000-0008-0000-1200-00009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59" name="Straight Arrow Connector 4758">
          <a:extLst>
            <a:ext uri="{FF2B5EF4-FFF2-40B4-BE49-F238E27FC236}">
              <a16:creationId xmlns:a16="http://schemas.microsoft.com/office/drawing/2014/main" id="{00000000-0008-0000-1200-000097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0" name="Straight Arrow Connector 4759">
          <a:extLst>
            <a:ext uri="{FF2B5EF4-FFF2-40B4-BE49-F238E27FC236}">
              <a16:creationId xmlns:a16="http://schemas.microsoft.com/office/drawing/2014/main" id="{00000000-0008-0000-1200-00009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1" name="Straight Arrow Connector 4760">
          <a:extLst>
            <a:ext uri="{FF2B5EF4-FFF2-40B4-BE49-F238E27FC236}">
              <a16:creationId xmlns:a16="http://schemas.microsoft.com/office/drawing/2014/main" id="{00000000-0008-0000-1200-00009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2" name="Straight Arrow Connector 4761">
          <a:extLst>
            <a:ext uri="{FF2B5EF4-FFF2-40B4-BE49-F238E27FC236}">
              <a16:creationId xmlns:a16="http://schemas.microsoft.com/office/drawing/2014/main" id="{00000000-0008-0000-1200-00009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63" name="Straight Arrow Connector 4762">
          <a:extLst>
            <a:ext uri="{FF2B5EF4-FFF2-40B4-BE49-F238E27FC236}">
              <a16:creationId xmlns:a16="http://schemas.microsoft.com/office/drawing/2014/main" id="{00000000-0008-0000-1200-00009B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4" name="Straight Arrow Connector 4763">
          <a:extLst>
            <a:ext uri="{FF2B5EF4-FFF2-40B4-BE49-F238E27FC236}">
              <a16:creationId xmlns:a16="http://schemas.microsoft.com/office/drawing/2014/main" id="{00000000-0008-0000-1200-00009C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65" name="Straight Arrow Connector 4764">
          <a:extLst>
            <a:ext uri="{FF2B5EF4-FFF2-40B4-BE49-F238E27FC236}">
              <a16:creationId xmlns:a16="http://schemas.microsoft.com/office/drawing/2014/main" id="{00000000-0008-0000-1200-00009D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6" name="Straight Arrow Connector 4765">
          <a:extLst>
            <a:ext uri="{FF2B5EF4-FFF2-40B4-BE49-F238E27FC236}">
              <a16:creationId xmlns:a16="http://schemas.microsoft.com/office/drawing/2014/main" id="{00000000-0008-0000-1200-00009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67" name="Straight Arrow Connector 4766">
          <a:extLst>
            <a:ext uri="{FF2B5EF4-FFF2-40B4-BE49-F238E27FC236}">
              <a16:creationId xmlns:a16="http://schemas.microsoft.com/office/drawing/2014/main" id="{00000000-0008-0000-1200-00009F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68" name="Straight Arrow Connector 4767">
          <a:extLst>
            <a:ext uri="{FF2B5EF4-FFF2-40B4-BE49-F238E27FC236}">
              <a16:creationId xmlns:a16="http://schemas.microsoft.com/office/drawing/2014/main" id="{00000000-0008-0000-1200-0000A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69" name="Straight Arrow Connector 4768">
          <a:extLst>
            <a:ext uri="{FF2B5EF4-FFF2-40B4-BE49-F238E27FC236}">
              <a16:creationId xmlns:a16="http://schemas.microsoft.com/office/drawing/2014/main" id="{00000000-0008-0000-1200-0000A1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70" name="Straight Arrow Connector 4769">
          <a:extLst>
            <a:ext uri="{FF2B5EF4-FFF2-40B4-BE49-F238E27FC236}">
              <a16:creationId xmlns:a16="http://schemas.microsoft.com/office/drawing/2014/main" id="{00000000-0008-0000-1200-0000A2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1" name="Straight Arrow Connector 4770">
          <a:extLst>
            <a:ext uri="{FF2B5EF4-FFF2-40B4-BE49-F238E27FC236}">
              <a16:creationId xmlns:a16="http://schemas.microsoft.com/office/drawing/2014/main" id="{00000000-0008-0000-1200-0000A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2" name="Straight Arrow Connector 4771">
          <a:extLst>
            <a:ext uri="{FF2B5EF4-FFF2-40B4-BE49-F238E27FC236}">
              <a16:creationId xmlns:a16="http://schemas.microsoft.com/office/drawing/2014/main" id="{00000000-0008-0000-1200-0000A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3" name="Straight Arrow Connector 4772">
          <a:extLst>
            <a:ext uri="{FF2B5EF4-FFF2-40B4-BE49-F238E27FC236}">
              <a16:creationId xmlns:a16="http://schemas.microsoft.com/office/drawing/2014/main" id="{00000000-0008-0000-1200-0000A5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4" name="Straight Arrow Connector 4773">
          <a:extLst>
            <a:ext uri="{FF2B5EF4-FFF2-40B4-BE49-F238E27FC236}">
              <a16:creationId xmlns:a16="http://schemas.microsoft.com/office/drawing/2014/main" id="{00000000-0008-0000-1200-0000A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5" name="Straight Arrow Connector 4774">
          <a:extLst>
            <a:ext uri="{FF2B5EF4-FFF2-40B4-BE49-F238E27FC236}">
              <a16:creationId xmlns:a16="http://schemas.microsoft.com/office/drawing/2014/main" id="{00000000-0008-0000-1200-0000A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6" name="Straight Arrow Connector 4775">
          <a:extLst>
            <a:ext uri="{FF2B5EF4-FFF2-40B4-BE49-F238E27FC236}">
              <a16:creationId xmlns:a16="http://schemas.microsoft.com/office/drawing/2014/main" id="{00000000-0008-0000-1200-0000A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7" name="Straight Arrow Connector 4776">
          <a:extLst>
            <a:ext uri="{FF2B5EF4-FFF2-40B4-BE49-F238E27FC236}">
              <a16:creationId xmlns:a16="http://schemas.microsoft.com/office/drawing/2014/main" id="{00000000-0008-0000-1200-0000A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78" name="Straight Arrow Connector 4777">
          <a:extLst>
            <a:ext uri="{FF2B5EF4-FFF2-40B4-BE49-F238E27FC236}">
              <a16:creationId xmlns:a16="http://schemas.microsoft.com/office/drawing/2014/main" id="{00000000-0008-0000-1200-0000A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79" name="Straight Arrow Connector 4778">
          <a:extLst>
            <a:ext uri="{FF2B5EF4-FFF2-40B4-BE49-F238E27FC236}">
              <a16:creationId xmlns:a16="http://schemas.microsoft.com/office/drawing/2014/main" id="{00000000-0008-0000-1200-0000AB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0" name="Straight Arrow Connector 4779">
          <a:extLst>
            <a:ext uri="{FF2B5EF4-FFF2-40B4-BE49-F238E27FC236}">
              <a16:creationId xmlns:a16="http://schemas.microsoft.com/office/drawing/2014/main" id="{00000000-0008-0000-1200-0000AC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81" name="Straight Arrow Connector 4780">
          <a:extLst>
            <a:ext uri="{FF2B5EF4-FFF2-40B4-BE49-F238E27FC236}">
              <a16:creationId xmlns:a16="http://schemas.microsoft.com/office/drawing/2014/main" id="{00000000-0008-0000-1200-0000AD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2" name="Straight Arrow Connector 4781">
          <a:extLst>
            <a:ext uri="{FF2B5EF4-FFF2-40B4-BE49-F238E27FC236}">
              <a16:creationId xmlns:a16="http://schemas.microsoft.com/office/drawing/2014/main" id="{00000000-0008-0000-1200-0000A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83" name="Straight Arrow Connector 4782">
          <a:extLst>
            <a:ext uri="{FF2B5EF4-FFF2-40B4-BE49-F238E27FC236}">
              <a16:creationId xmlns:a16="http://schemas.microsoft.com/office/drawing/2014/main" id="{00000000-0008-0000-1200-0000AF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4" name="Straight Arrow Connector 4783">
          <a:extLst>
            <a:ext uri="{FF2B5EF4-FFF2-40B4-BE49-F238E27FC236}">
              <a16:creationId xmlns:a16="http://schemas.microsoft.com/office/drawing/2014/main" id="{00000000-0008-0000-1200-0000B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85" name="Straight Arrow Connector 4784">
          <a:extLst>
            <a:ext uri="{FF2B5EF4-FFF2-40B4-BE49-F238E27FC236}">
              <a16:creationId xmlns:a16="http://schemas.microsoft.com/office/drawing/2014/main" id="{00000000-0008-0000-1200-0000B1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6" name="Straight Arrow Connector 4785">
          <a:extLst>
            <a:ext uri="{FF2B5EF4-FFF2-40B4-BE49-F238E27FC236}">
              <a16:creationId xmlns:a16="http://schemas.microsoft.com/office/drawing/2014/main" id="{00000000-0008-0000-1200-0000B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7" name="Straight Arrow Connector 4786">
          <a:extLst>
            <a:ext uri="{FF2B5EF4-FFF2-40B4-BE49-F238E27FC236}">
              <a16:creationId xmlns:a16="http://schemas.microsoft.com/office/drawing/2014/main" id="{00000000-0008-0000-1200-0000B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88" name="Straight Arrow Connector 4787">
          <a:extLst>
            <a:ext uri="{FF2B5EF4-FFF2-40B4-BE49-F238E27FC236}">
              <a16:creationId xmlns:a16="http://schemas.microsoft.com/office/drawing/2014/main" id="{00000000-0008-0000-1200-0000B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89" name="Straight Arrow Connector 4788">
          <a:extLst>
            <a:ext uri="{FF2B5EF4-FFF2-40B4-BE49-F238E27FC236}">
              <a16:creationId xmlns:a16="http://schemas.microsoft.com/office/drawing/2014/main" id="{00000000-0008-0000-1200-0000B5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90" name="Straight Arrow Connector 4789">
          <a:extLst>
            <a:ext uri="{FF2B5EF4-FFF2-40B4-BE49-F238E27FC236}">
              <a16:creationId xmlns:a16="http://schemas.microsoft.com/office/drawing/2014/main" id="{00000000-0008-0000-1200-0000B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91" name="Straight Arrow Connector 4790">
          <a:extLst>
            <a:ext uri="{FF2B5EF4-FFF2-40B4-BE49-F238E27FC236}">
              <a16:creationId xmlns:a16="http://schemas.microsoft.com/office/drawing/2014/main" id="{00000000-0008-0000-1200-0000B7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92" name="Straight Arrow Connector 4791">
          <a:extLst>
            <a:ext uri="{FF2B5EF4-FFF2-40B4-BE49-F238E27FC236}">
              <a16:creationId xmlns:a16="http://schemas.microsoft.com/office/drawing/2014/main" id="{00000000-0008-0000-1200-0000B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793" name="Straight Arrow Connector 4792">
          <a:extLst>
            <a:ext uri="{FF2B5EF4-FFF2-40B4-BE49-F238E27FC236}">
              <a16:creationId xmlns:a16="http://schemas.microsoft.com/office/drawing/2014/main" id="{00000000-0008-0000-1200-0000B9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94" name="Straight Arrow Connector 4793">
          <a:extLst>
            <a:ext uri="{FF2B5EF4-FFF2-40B4-BE49-F238E27FC236}">
              <a16:creationId xmlns:a16="http://schemas.microsoft.com/office/drawing/2014/main" id="{00000000-0008-0000-1200-0000B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95" name="Straight Arrow Connector 4794">
          <a:extLst>
            <a:ext uri="{FF2B5EF4-FFF2-40B4-BE49-F238E27FC236}">
              <a16:creationId xmlns:a16="http://schemas.microsoft.com/office/drawing/2014/main" id="{00000000-0008-0000-1200-0000BB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796" name="Straight Arrow Connector 4795">
          <a:extLst>
            <a:ext uri="{FF2B5EF4-FFF2-40B4-BE49-F238E27FC236}">
              <a16:creationId xmlns:a16="http://schemas.microsoft.com/office/drawing/2014/main" id="{00000000-0008-0000-1200-0000BC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97" name="Straight Arrow Connector 4796">
          <a:extLst>
            <a:ext uri="{FF2B5EF4-FFF2-40B4-BE49-F238E27FC236}">
              <a16:creationId xmlns:a16="http://schemas.microsoft.com/office/drawing/2014/main" id="{00000000-0008-0000-1200-0000BD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798" name="Straight Arrow Connector 4797">
          <a:extLst>
            <a:ext uri="{FF2B5EF4-FFF2-40B4-BE49-F238E27FC236}">
              <a16:creationId xmlns:a16="http://schemas.microsoft.com/office/drawing/2014/main" id="{00000000-0008-0000-1200-0000B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799" name="Straight Arrow Connector 4798">
          <a:extLst>
            <a:ext uri="{FF2B5EF4-FFF2-40B4-BE49-F238E27FC236}">
              <a16:creationId xmlns:a16="http://schemas.microsoft.com/office/drawing/2014/main" id="{00000000-0008-0000-1200-0000BF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00" name="Straight Arrow Connector 4799">
          <a:extLst>
            <a:ext uri="{FF2B5EF4-FFF2-40B4-BE49-F238E27FC236}">
              <a16:creationId xmlns:a16="http://schemas.microsoft.com/office/drawing/2014/main" id="{00000000-0008-0000-1200-0000C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01" name="Straight Arrow Connector 4800">
          <a:extLst>
            <a:ext uri="{FF2B5EF4-FFF2-40B4-BE49-F238E27FC236}">
              <a16:creationId xmlns:a16="http://schemas.microsoft.com/office/drawing/2014/main" id="{00000000-0008-0000-1200-0000C1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02" name="Straight Arrow Connector 4801">
          <a:extLst>
            <a:ext uri="{FF2B5EF4-FFF2-40B4-BE49-F238E27FC236}">
              <a16:creationId xmlns:a16="http://schemas.microsoft.com/office/drawing/2014/main" id="{00000000-0008-0000-1200-0000C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03" name="Straight Arrow Connector 4802">
          <a:extLst>
            <a:ext uri="{FF2B5EF4-FFF2-40B4-BE49-F238E27FC236}">
              <a16:creationId xmlns:a16="http://schemas.microsoft.com/office/drawing/2014/main" id="{00000000-0008-0000-1200-0000C3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04" name="Straight Arrow Connector 4803">
          <a:extLst>
            <a:ext uri="{FF2B5EF4-FFF2-40B4-BE49-F238E27FC236}">
              <a16:creationId xmlns:a16="http://schemas.microsoft.com/office/drawing/2014/main" id="{00000000-0008-0000-1200-0000C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05" name="Straight Arrow Connector 4804">
          <a:extLst>
            <a:ext uri="{FF2B5EF4-FFF2-40B4-BE49-F238E27FC236}">
              <a16:creationId xmlns:a16="http://schemas.microsoft.com/office/drawing/2014/main" id="{00000000-0008-0000-1200-0000C5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06" name="Straight Arrow Connector 4805">
          <a:extLst>
            <a:ext uri="{FF2B5EF4-FFF2-40B4-BE49-F238E27FC236}">
              <a16:creationId xmlns:a16="http://schemas.microsoft.com/office/drawing/2014/main" id="{00000000-0008-0000-1200-0000C6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07" name="Straight Arrow Connector 4806">
          <a:extLst>
            <a:ext uri="{FF2B5EF4-FFF2-40B4-BE49-F238E27FC236}">
              <a16:creationId xmlns:a16="http://schemas.microsoft.com/office/drawing/2014/main" id="{00000000-0008-0000-1200-0000C7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08" name="Straight Arrow Connector 4807">
          <a:extLst>
            <a:ext uri="{FF2B5EF4-FFF2-40B4-BE49-F238E27FC236}">
              <a16:creationId xmlns:a16="http://schemas.microsoft.com/office/drawing/2014/main" id="{00000000-0008-0000-1200-0000C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09" name="Straight Arrow Connector 4808">
          <a:extLst>
            <a:ext uri="{FF2B5EF4-FFF2-40B4-BE49-F238E27FC236}">
              <a16:creationId xmlns:a16="http://schemas.microsoft.com/office/drawing/2014/main" id="{00000000-0008-0000-1200-0000C9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0" name="Straight Arrow Connector 4809">
          <a:extLst>
            <a:ext uri="{FF2B5EF4-FFF2-40B4-BE49-F238E27FC236}">
              <a16:creationId xmlns:a16="http://schemas.microsoft.com/office/drawing/2014/main" id="{00000000-0008-0000-1200-0000C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11" name="Straight Arrow Connector 4810">
          <a:extLst>
            <a:ext uri="{FF2B5EF4-FFF2-40B4-BE49-F238E27FC236}">
              <a16:creationId xmlns:a16="http://schemas.microsoft.com/office/drawing/2014/main" id="{00000000-0008-0000-1200-0000CB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2" name="Straight Arrow Connector 4811">
          <a:extLst>
            <a:ext uri="{FF2B5EF4-FFF2-40B4-BE49-F238E27FC236}">
              <a16:creationId xmlns:a16="http://schemas.microsoft.com/office/drawing/2014/main" id="{00000000-0008-0000-1200-0000CC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3" name="Straight Arrow Connector 4812">
          <a:extLst>
            <a:ext uri="{FF2B5EF4-FFF2-40B4-BE49-F238E27FC236}">
              <a16:creationId xmlns:a16="http://schemas.microsoft.com/office/drawing/2014/main" id="{00000000-0008-0000-1200-0000C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4" name="Straight Arrow Connector 4813">
          <a:extLst>
            <a:ext uri="{FF2B5EF4-FFF2-40B4-BE49-F238E27FC236}">
              <a16:creationId xmlns:a16="http://schemas.microsoft.com/office/drawing/2014/main" id="{00000000-0008-0000-1200-0000CE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15" name="Straight Arrow Connector 4814">
          <a:extLst>
            <a:ext uri="{FF2B5EF4-FFF2-40B4-BE49-F238E27FC236}">
              <a16:creationId xmlns:a16="http://schemas.microsoft.com/office/drawing/2014/main" id="{00000000-0008-0000-1200-0000CF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6" name="Straight Arrow Connector 4815">
          <a:extLst>
            <a:ext uri="{FF2B5EF4-FFF2-40B4-BE49-F238E27FC236}">
              <a16:creationId xmlns:a16="http://schemas.microsoft.com/office/drawing/2014/main" id="{00000000-0008-0000-1200-0000D0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17" name="Straight Arrow Connector 4816">
          <a:extLst>
            <a:ext uri="{FF2B5EF4-FFF2-40B4-BE49-F238E27FC236}">
              <a16:creationId xmlns:a16="http://schemas.microsoft.com/office/drawing/2014/main" id="{00000000-0008-0000-1200-0000D1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18" name="Straight Arrow Connector 4817">
          <a:extLst>
            <a:ext uri="{FF2B5EF4-FFF2-40B4-BE49-F238E27FC236}">
              <a16:creationId xmlns:a16="http://schemas.microsoft.com/office/drawing/2014/main" id="{00000000-0008-0000-1200-0000D2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19" name="Straight Arrow Connector 4818">
          <a:extLst>
            <a:ext uri="{FF2B5EF4-FFF2-40B4-BE49-F238E27FC236}">
              <a16:creationId xmlns:a16="http://schemas.microsoft.com/office/drawing/2014/main" id="{00000000-0008-0000-1200-0000D3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0" name="Straight Arrow Connector 4819">
          <a:extLst>
            <a:ext uri="{FF2B5EF4-FFF2-40B4-BE49-F238E27FC236}">
              <a16:creationId xmlns:a16="http://schemas.microsoft.com/office/drawing/2014/main" id="{00000000-0008-0000-1200-0000D4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21" name="Straight Arrow Connector 4820">
          <a:extLst>
            <a:ext uri="{FF2B5EF4-FFF2-40B4-BE49-F238E27FC236}">
              <a16:creationId xmlns:a16="http://schemas.microsoft.com/office/drawing/2014/main" id="{00000000-0008-0000-1200-0000D5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22" name="Straight Arrow Connector 4821">
          <a:extLst>
            <a:ext uri="{FF2B5EF4-FFF2-40B4-BE49-F238E27FC236}">
              <a16:creationId xmlns:a16="http://schemas.microsoft.com/office/drawing/2014/main" id="{00000000-0008-0000-1200-0000D6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3" name="Straight Arrow Connector 4822">
          <a:extLst>
            <a:ext uri="{FF2B5EF4-FFF2-40B4-BE49-F238E27FC236}">
              <a16:creationId xmlns:a16="http://schemas.microsoft.com/office/drawing/2014/main" id="{00000000-0008-0000-1200-0000D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4" name="Straight Arrow Connector 4823">
          <a:extLst>
            <a:ext uri="{FF2B5EF4-FFF2-40B4-BE49-F238E27FC236}">
              <a16:creationId xmlns:a16="http://schemas.microsoft.com/office/drawing/2014/main" id="{00000000-0008-0000-1200-0000D8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5" name="Straight Arrow Connector 4824">
          <a:extLst>
            <a:ext uri="{FF2B5EF4-FFF2-40B4-BE49-F238E27FC236}">
              <a16:creationId xmlns:a16="http://schemas.microsoft.com/office/drawing/2014/main" id="{00000000-0008-0000-1200-0000D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6" name="Straight Arrow Connector 4825">
          <a:extLst>
            <a:ext uri="{FF2B5EF4-FFF2-40B4-BE49-F238E27FC236}">
              <a16:creationId xmlns:a16="http://schemas.microsoft.com/office/drawing/2014/main" id="{00000000-0008-0000-1200-0000DA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7" name="Straight Arrow Connector 4826">
          <a:extLst>
            <a:ext uri="{FF2B5EF4-FFF2-40B4-BE49-F238E27FC236}">
              <a16:creationId xmlns:a16="http://schemas.microsoft.com/office/drawing/2014/main" id="{00000000-0008-0000-1200-0000DB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8" name="Straight Arrow Connector 4827">
          <a:extLst>
            <a:ext uri="{FF2B5EF4-FFF2-40B4-BE49-F238E27FC236}">
              <a16:creationId xmlns:a16="http://schemas.microsoft.com/office/drawing/2014/main" id="{00000000-0008-0000-1200-0000DC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29" name="Straight Arrow Connector 4828">
          <a:extLst>
            <a:ext uri="{FF2B5EF4-FFF2-40B4-BE49-F238E27FC236}">
              <a16:creationId xmlns:a16="http://schemas.microsoft.com/office/drawing/2014/main" id="{00000000-0008-0000-1200-0000D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30" name="Straight Arrow Connector 4829">
          <a:extLst>
            <a:ext uri="{FF2B5EF4-FFF2-40B4-BE49-F238E27FC236}">
              <a16:creationId xmlns:a16="http://schemas.microsoft.com/office/drawing/2014/main" id="{00000000-0008-0000-1200-0000DE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31" name="Straight Arrow Connector 4830">
          <a:extLst>
            <a:ext uri="{FF2B5EF4-FFF2-40B4-BE49-F238E27FC236}">
              <a16:creationId xmlns:a16="http://schemas.microsoft.com/office/drawing/2014/main" id="{00000000-0008-0000-1200-0000DF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32" name="Straight Arrow Connector 4831">
          <a:extLst>
            <a:ext uri="{FF2B5EF4-FFF2-40B4-BE49-F238E27FC236}">
              <a16:creationId xmlns:a16="http://schemas.microsoft.com/office/drawing/2014/main" id="{00000000-0008-0000-1200-0000E0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33" name="Straight Arrow Connector 4832">
          <a:extLst>
            <a:ext uri="{FF2B5EF4-FFF2-40B4-BE49-F238E27FC236}">
              <a16:creationId xmlns:a16="http://schemas.microsoft.com/office/drawing/2014/main" id="{00000000-0008-0000-1200-0000E1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34" name="Straight Arrow Connector 4833">
          <a:extLst>
            <a:ext uri="{FF2B5EF4-FFF2-40B4-BE49-F238E27FC236}">
              <a16:creationId xmlns:a16="http://schemas.microsoft.com/office/drawing/2014/main" id="{00000000-0008-0000-1200-0000E2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35" name="Straight Arrow Connector 4834">
          <a:extLst>
            <a:ext uri="{FF2B5EF4-FFF2-40B4-BE49-F238E27FC236}">
              <a16:creationId xmlns:a16="http://schemas.microsoft.com/office/drawing/2014/main" id="{00000000-0008-0000-1200-0000E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36" name="Straight Arrow Connector 4835">
          <a:extLst>
            <a:ext uri="{FF2B5EF4-FFF2-40B4-BE49-F238E27FC236}">
              <a16:creationId xmlns:a16="http://schemas.microsoft.com/office/drawing/2014/main" id="{00000000-0008-0000-1200-0000E4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37" name="Straight Arrow Connector 4836">
          <a:extLst>
            <a:ext uri="{FF2B5EF4-FFF2-40B4-BE49-F238E27FC236}">
              <a16:creationId xmlns:a16="http://schemas.microsoft.com/office/drawing/2014/main" id="{00000000-0008-0000-1200-0000E5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38" name="Straight Arrow Connector 4837">
          <a:extLst>
            <a:ext uri="{FF2B5EF4-FFF2-40B4-BE49-F238E27FC236}">
              <a16:creationId xmlns:a16="http://schemas.microsoft.com/office/drawing/2014/main" id="{00000000-0008-0000-1200-0000E6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39" name="Straight Arrow Connector 4838">
          <a:extLst>
            <a:ext uri="{FF2B5EF4-FFF2-40B4-BE49-F238E27FC236}">
              <a16:creationId xmlns:a16="http://schemas.microsoft.com/office/drawing/2014/main" id="{00000000-0008-0000-1200-0000E7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40" name="Straight Arrow Connector 4839">
          <a:extLst>
            <a:ext uri="{FF2B5EF4-FFF2-40B4-BE49-F238E27FC236}">
              <a16:creationId xmlns:a16="http://schemas.microsoft.com/office/drawing/2014/main" id="{00000000-0008-0000-1200-0000E8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41" name="Straight Arrow Connector 4840">
          <a:extLst>
            <a:ext uri="{FF2B5EF4-FFF2-40B4-BE49-F238E27FC236}">
              <a16:creationId xmlns:a16="http://schemas.microsoft.com/office/drawing/2014/main" id="{00000000-0008-0000-1200-0000E9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42" name="Straight Arrow Connector 4841">
          <a:extLst>
            <a:ext uri="{FF2B5EF4-FFF2-40B4-BE49-F238E27FC236}">
              <a16:creationId xmlns:a16="http://schemas.microsoft.com/office/drawing/2014/main" id="{00000000-0008-0000-1200-0000EA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43" name="Straight Arrow Connector 4842">
          <a:extLst>
            <a:ext uri="{FF2B5EF4-FFF2-40B4-BE49-F238E27FC236}">
              <a16:creationId xmlns:a16="http://schemas.microsoft.com/office/drawing/2014/main" id="{00000000-0008-0000-1200-0000EB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44" name="Straight Arrow Connector 4843">
          <a:extLst>
            <a:ext uri="{FF2B5EF4-FFF2-40B4-BE49-F238E27FC236}">
              <a16:creationId xmlns:a16="http://schemas.microsoft.com/office/drawing/2014/main" id="{00000000-0008-0000-1200-0000EC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45" name="Straight Arrow Connector 4844">
          <a:extLst>
            <a:ext uri="{FF2B5EF4-FFF2-40B4-BE49-F238E27FC236}">
              <a16:creationId xmlns:a16="http://schemas.microsoft.com/office/drawing/2014/main" id="{00000000-0008-0000-1200-0000ED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1719</xdr:row>
      <xdr:rowOff>31750</xdr:rowOff>
    </xdr:from>
    <xdr:to>
      <xdr:col>16</xdr:col>
      <xdr:colOff>42334</xdr:colOff>
      <xdr:row>1726</xdr:row>
      <xdr:rowOff>63501</xdr:rowOff>
    </xdr:to>
    <xdr:cxnSp macro="">
      <xdr:nvCxnSpPr>
        <xdr:cNvPr id="4846" name="Straight Arrow Connector 4845">
          <a:extLst>
            <a:ext uri="{FF2B5EF4-FFF2-40B4-BE49-F238E27FC236}">
              <a16:creationId xmlns:a16="http://schemas.microsoft.com/office/drawing/2014/main" id="{00000000-0008-0000-1200-0000EE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47" name="Straight Arrow Connector 4846">
          <a:extLst>
            <a:ext uri="{FF2B5EF4-FFF2-40B4-BE49-F238E27FC236}">
              <a16:creationId xmlns:a16="http://schemas.microsoft.com/office/drawing/2014/main" id="{00000000-0008-0000-1200-0000EF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48" name="Straight Arrow Connector 4847">
          <a:extLst>
            <a:ext uri="{FF2B5EF4-FFF2-40B4-BE49-F238E27FC236}">
              <a16:creationId xmlns:a16="http://schemas.microsoft.com/office/drawing/2014/main" id="{00000000-0008-0000-1200-0000F0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49" name="Straight Arrow Connector 4848">
          <a:extLst>
            <a:ext uri="{FF2B5EF4-FFF2-40B4-BE49-F238E27FC236}">
              <a16:creationId xmlns:a16="http://schemas.microsoft.com/office/drawing/2014/main" id="{00000000-0008-0000-1200-0000F1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1719</xdr:row>
      <xdr:rowOff>31750</xdr:rowOff>
    </xdr:from>
    <xdr:to>
      <xdr:col>16</xdr:col>
      <xdr:colOff>42334</xdr:colOff>
      <xdr:row>1726</xdr:row>
      <xdr:rowOff>63501</xdr:rowOff>
    </xdr:to>
    <xdr:cxnSp macro="">
      <xdr:nvCxnSpPr>
        <xdr:cNvPr id="4850" name="Straight Arrow Connector 4849">
          <a:extLst>
            <a:ext uri="{FF2B5EF4-FFF2-40B4-BE49-F238E27FC236}">
              <a16:creationId xmlns:a16="http://schemas.microsoft.com/office/drawing/2014/main" id="{00000000-0008-0000-1200-0000F2120000}"/>
            </a:ext>
          </a:extLst>
        </xdr:cNvPr>
        <xdr:cNvCxnSpPr/>
      </xdr:nvCxnSpPr>
      <xdr:spPr>
        <a:xfrm>
          <a:off x="11281833" y="321405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1732</xdr:row>
      <xdr:rowOff>31750</xdr:rowOff>
    </xdr:from>
    <xdr:to>
      <xdr:col>16</xdr:col>
      <xdr:colOff>21167</xdr:colOff>
      <xdr:row>1739</xdr:row>
      <xdr:rowOff>95250</xdr:rowOff>
    </xdr:to>
    <xdr:cxnSp macro="">
      <xdr:nvCxnSpPr>
        <xdr:cNvPr id="4851" name="Straight Arrow Connector 4850">
          <a:extLst>
            <a:ext uri="{FF2B5EF4-FFF2-40B4-BE49-F238E27FC236}">
              <a16:creationId xmlns:a16="http://schemas.microsoft.com/office/drawing/2014/main" id="{00000000-0008-0000-1200-0000F3120000}"/>
            </a:ext>
          </a:extLst>
        </xdr:cNvPr>
        <xdr:cNvCxnSpPr/>
      </xdr:nvCxnSpPr>
      <xdr:spPr>
        <a:xfrm>
          <a:off x="11324166" y="3240722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52" name="Straight Arrow Connector 4851">
          <a:extLst>
            <a:ext uri="{FF2B5EF4-FFF2-40B4-BE49-F238E27FC236}">
              <a16:creationId xmlns:a16="http://schemas.microsoft.com/office/drawing/2014/main" id="{00000000-0008-0000-1200-0000F4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1745</xdr:row>
      <xdr:rowOff>31750</xdr:rowOff>
    </xdr:from>
    <xdr:to>
      <xdr:col>16</xdr:col>
      <xdr:colOff>42334</xdr:colOff>
      <xdr:row>1752</xdr:row>
      <xdr:rowOff>63501</xdr:rowOff>
    </xdr:to>
    <xdr:cxnSp macro="">
      <xdr:nvCxnSpPr>
        <xdr:cNvPr id="4853" name="Straight Arrow Connector 4852">
          <a:extLst>
            <a:ext uri="{FF2B5EF4-FFF2-40B4-BE49-F238E27FC236}">
              <a16:creationId xmlns:a16="http://schemas.microsoft.com/office/drawing/2014/main" id="{00000000-0008-0000-1200-0000F5120000}"/>
            </a:ext>
          </a:extLst>
        </xdr:cNvPr>
        <xdr:cNvCxnSpPr/>
      </xdr:nvCxnSpPr>
      <xdr:spPr>
        <a:xfrm>
          <a:off x="11281833" y="326548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854" name="Straight Arrow Connector 4853">
          <a:extLst>
            <a:ext uri="{FF2B5EF4-FFF2-40B4-BE49-F238E27FC236}">
              <a16:creationId xmlns:a16="http://schemas.microsoft.com/office/drawing/2014/main" id="{00000000-0008-0000-1200-0000F612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55" name="Straight Arrow Connector 4854">
          <a:extLst>
            <a:ext uri="{FF2B5EF4-FFF2-40B4-BE49-F238E27FC236}">
              <a16:creationId xmlns:a16="http://schemas.microsoft.com/office/drawing/2014/main" id="{00000000-0008-0000-1200-0000F712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856" name="Straight Arrow Connector 4855">
          <a:extLst>
            <a:ext uri="{FF2B5EF4-FFF2-40B4-BE49-F238E27FC236}">
              <a16:creationId xmlns:a16="http://schemas.microsoft.com/office/drawing/2014/main" id="{00000000-0008-0000-1200-0000F812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57" name="Straight Arrow Connector 4856">
          <a:extLst>
            <a:ext uri="{FF2B5EF4-FFF2-40B4-BE49-F238E27FC236}">
              <a16:creationId xmlns:a16="http://schemas.microsoft.com/office/drawing/2014/main" id="{00000000-0008-0000-1200-0000F912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858" name="Straight Arrow Connector 4857">
          <a:extLst>
            <a:ext uri="{FF2B5EF4-FFF2-40B4-BE49-F238E27FC236}">
              <a16:creationId xmlns:a16="http://schemas.microsoft.com/office/drawing/2014/main" id="{00000000-0008-0000-1200-0000FA12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59" name="Straight Arrow Connector 4858">
          <a:extLst>
            <a:ext uri="{FF2B5EF4-FFF2-40B4-BE49-F238E27FC236}">
              <a16:creationId xmlns:a16="http://schemas.microsoft.com/office/drawing/2014/main" id="{00000000-0008-0000-1200-0000FB12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860" name="Straight Arrow Connector 4859">
          <a:extLst>
            <a:ext uri="{FF2B5EF4-FFF2-40B4-BE49-F238E27FC236}">
              <a16:creationId xmlns:a16="http://schemas.microsoft.com/office/drawing/2014/main" id="{00000000-0008-0000-1200-0000FC12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61" name="Straight Arrow Connector 4860">
          <a:extLst>
            <a:ext uri="{FF2B5EF4-FFF2-40B4-BE49-F238E27FC236}">
              <a16:creationId xmlns:a16="http://schemas.microsoft.com/office/drawing/2014/main" id="{00000000-0008-0000-1200-0000FD12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862" name="Straight Arrow Connector 4861">
          <a:extLst>
            <a:ext uri="{FF2B5EF4-FFF2-40B4-BE49-F238E27FC236}">
              <a16:creationId xmlns:a16="http://schemas.microsoft.com/office/drawing/2014/main" id="{00000000-0008-0000-1200-0000FE12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63" name="Straight Arrow Connector 4862">
          <a:extLst>
            <a:ext uri="{FF2B5EF4-FFF2-40B4-BE49-F238E27FC236}">
              <a16:creationId xmlns:a16="http://schemas.microsoft.com/office/drawing/2014/main" id="{00000000-0008-0000-1200-0000FF12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64" name="Straight Arrow Connector 4863">
          <a:extLst>
            <a:ext uri="{FF2B5EF4-FFF2-40B4-BE49-F238E27FC236}">
              <a16:creationId xmlns:a16="http://schemas.microsoft.com/office/drawing/2014/main" id="{00000000-0008-0000-1200-000000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65" name="Straight Arrow Connector 4864">
          <a:extLst>
            <a:ext uri="{FF2B5EF4-FFF2-40B4-BE49-F238E27FC236}">
              <a16:creationId xmlns:a16="http://schemas.microsoft.com/office/drawing/2014/main" id="{00000000-0008-0000-1200-00000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66" name="Straight Arrow Connector 4865">
          <a:extLst>
            <a:ext uri="{FF2B5EF4-FFF2-40B4-BE49-F238E27FC236}">
              <a16:creationId xmlns:a16="http://schemas.microsoft.com/office/drawing/2014/main" id="{00000000-0008-0000-1200-00000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67" name="Straight Arrow Connector 4866">
          <a:extLst>
            <a:ext uri="{FF2B5EF4-FFF2-40B4-BE49-F238E27FC236}">
              <a16:creationId xmlns:a16="http://schemas.microsoft.com/office/drawing/2014/main" id="{00000000-0008-0000-1200-00000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68" name="Straight Arrow Connector 4867">
          <a:extLst>
            <a:ext uri="{FF2B5EF4-FFF2-40B4-BE49-F238E27FC236}">
              <a16:creationId xmlns:a16="http://schemas.microsoft.com/office/drawing/2014/main" id="{00000000-0008-0000-1200-000004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69" name="Straight Arrow Connector 4868">
          <a:extLst>
            <a:ext uri="{FF2B5EF4-FFF2-40B4-BE49-F238E27FC236}">
              <a16:creationId xmlns:a16="http://schemas.microsoft.com/office/drawing/2014/main" id="{00000000-0008-0000-1200-00000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0" name="Straight Arrow Connector 4869">
          <a:extLst>
            <a:ext uri="{FF2B5EF4-FFF2-40B4-BE49-F238E27FC236}">
              <a16:creationId xmlns:a16="http://schemas.microsoft.com/office/drawing/2014/main" id="{00000000-0008-0000-1200-00000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1" name="Straight Arrow Connector 4870">
          <a:extLst>
            <a:ext uri="{FF2B5EF4-FFF2-40B4-BE49-F238E27FC236}">
              <a16:creationId xmlns:a16="http://schemas.microsoft.com/office/drawing/2014/main" id="{00000000-0008-0000-1200-00000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72" name="Straight Arrow Connector 4871">
          <a:extLst>
            <a:ext uri="{FF2B5EF4-FFF2-40B4-BE49-F238E27FC236}">
              <a16:creationId xmlns:a16="http://schemas.microsoft.com/office/drawing/2014/main" id="{00000000-0008-0000-1200-000008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3" name="Straight Arrow Connector 4872">
          <a:extLst>
            <a:ext uri="{FF2B5EF4-FFF2-40B4-BE49-F238E27FC236}">
              <a16:creationId xmlns:a16="http://schemas.microsoft.com/office/drawing/2014/main" id="{00000000-0008-0000-1200-00000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4" name="Straight Arrow Connector 4873">
          <a:extLst>
            <a:ext uri="{FF2B5EF4-FFF2-40B4-BE49-F238E27FC236}">
              <a16:creationId xmlns:a16="http://schemas.microsoft.com/office/drawing/2014/main" id="{00000000-0008-0000-1200-00000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5" name="Straight Arrow Connector 4874">
          <a:extLst>
            <a:ext uri="{FF2B5EF4-FFF2-40B4-BE49-F238E27FC236}">
              <a16:creationId xmlns:a16="http://schemas.microsoft.com/office/drawing/2014/main" id="{00000000-0008-0000-1200-00000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76" name="Straight Arrow Connector 4875">
          <a:extLst>
            <a:ext uri="{FF2B5EF4-FFF2-40B4-BE49-F238E27FC236}">
              <a16:creationId xmlns:a16="http://schemas.microsoft.com/office/drawing/2014/main" id="{00000000-0008-0000-1200-00000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7" name="Straight Arrow Connector 4876">
          <a:extLst>
            <a:ext uri="{FF2B5EF4-FFF2-40B4-BE49-F238E27FC236}">
              <a16:creationId xmlns:a16="http://schemas.microsoft.com/office/drawing/2014/main" id="{00000000-0008-0000-1200-00000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8" name="Straight Arrow Connector 4877">
          <a:extLst>
            <a:ext uri="{FF2B5EF4-FFF2-40B4-BE49-F238E27FC236}">
              <a16:creationId xmlns:a16="http://schemas.microsoft.com/office/drawing/2014/main" id="{00000000-0008-0000-1200-00000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79" name="Straight Arrow Connector 4878">
          <a:extLst>
            <a:ext uri="{FF2B5EF4-FFF2-40B4-BE49-F238E27FC236}">
              <a16:creationId xmlns:a16="http://schemas.microsoft.com/office/drawing/2014/main" id="{00000000-0008-0000-1200-00000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80" name="Straight Arrow Connector 4879">
          <a:extLst>
            <a:ext uri="{FF2B5EF4-FFF2-40B4-BE49-F238E27FC236}">
              <a16:creationId xmlns:a16="http://schemas.microsoft.com/office/drawing/2014/main" id="{00000000-0008-0000-1200-000010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1" name="Straight Arrow Connector 4880">
          <a:extLst>
            <a:ext uri="{FF2B5EF4-FFF2-40B4-BE49-F238E27FC236}">
              <a16:creationId xmlns:a16="http://schemas.microsoft.com/office/drawing/2014/main" id="{00000000-0008-0000-1200-00001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82" name="Straight Arrow Connector 4881">
          <a:extLst>
            <a:ext uri="{FF2B5EF4-FFF2-40B4-BE49-F238E27FC236}">
              <a16:creationId xmlns:a16="http://schemas.microsoft.com/office/drawing/2014/main" id="{00000000-0008-0000-1200-00001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3" name="Straight Arrow Connector 4882">
          <a:extLst>
            <a:ext uri="{FF2B5EF4-FFF2-40B4-BE49-F238E27FC236}">
              <a16:creationId xmlns:a16="http://schemas.microsoft.com/office/drawing/2014/main" id="{00000000-0008-0000-1200-00001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84" name="Straight Arrow Connector 4883">
          <a:extLst>
            <a:ext uri="{FF2B5EF4-FFF2-40B4-BE49-F238E27FC236}">
              <a16:creationId xmlns:a16="http://schemas.microsoft.com/office/drawing/2014/main" id="{00000000-0008-0000-1200-000014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5" name="Straight Arrow Connector 4884">
          <a:extLst>
            <a:ext uri="{FF2B5EF4-FFF2-40B4-BE49-F238E27FC236}">
              <a16:creationId xmlns:a16="http://schemas.microsoft.com/office/drawing/2014/main" id="{00000000-0008-0000-1200-00001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6" name="Straight Arrow Connector 4885">
          <a:extLst>
            <a:ext uri="{FF2B5EF4-FFF2-40B4-BE49-F238E27FC236}">
              <a16:creationId xmlns:a16="http://schemas.microsoft.com/office/drawing/2014/main" id="{00000000-0008-0000-1200-00001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7" name="Straight Arrow Connector 4886">
          <a:extLst>
            <a:ext uri="{FF2B5EF4-FFF2-40B4-BE49-F238E27FC236}">
              <a16:creationId xmlns:a16="http://schemas.microsoft.com/office/drawing/2014/main" id="{00000000-0008-0000-1200-00001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88" name="Straight Arrow Connector 4887">
          <a:extLst>
            <a:ext uri="{FF2B5EF4-FFF2-40B4-BE49-F238E27FC236}">
              <a16:creationId xmlns:a16="http://schemas.microsoft.com/office/drawing/2014/main" id="{00000000-0008-0000-1200-000018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89" name="Straight Arrow Connector 4888">
          <a:extLst>
            <a:ext uri="{FF2B5EF4-FFF2-40B4-BE49-F238E27FC236}">
              <a16:creationId xmlns:a16="http://schemas.microsoft.com/office/drawing/2014/main" id="{00000000-0008-0000-1200-00001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0" name="Straight Arrow Connector 4889">
          <a:extLst>
            <a:ext uri="{FF2B5EF4-FFF2-40B4-BE49-F238E27FC236}">
              <a16:creationId xmlns:a16="http://schemas.microsoft.com/office/drawing/2014/main" id="{00000000-0008-0000-1200-00001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1" name="Straight Arrow Connector 4890">
          <a:extLst>
            <a:ext uri="{FF2B5EF4-FFF2-40B4-BE49-F238E27FC236}">
              <a16:creationId xmlns:a16="http://schemas.microsoft.com/office/drawing/2014/main" id="{00000000-0008-0000-1200-00001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2" name="Straight Arrow Connector 4891">
          <a:extLst>
            <a:ext uri="{FF2B5EF4-FFF2-40B4-BE49-F238E27FC236}">
              <a16:creationId xmlns:a16="http://schemas.microsoft.com/office/drawing/2014/main" id="{00000000-0008-0000-1200-00001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93" name="Straight Arrow Connector 4892">
          <a:extLst>
            <a:ext uri="{FF2B5EF4-FFF2-40B4-BE49-F238E27FC236}">
              <a16:creationId xmlns:a16="http://schemas.microsoft.com/office/drawing/2014/main" id="{00000000-0008-0000-1200-00001D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4" name="Straight Arrow Connector 4893">
          <a:extLst>
            <a:ext uri="{FF2B5EF4-FFF2-40B4-BE49-F238E27FC236}">
              <a16:creationId xmlns:a16="http://schemas.microsoft.com/office/drawing/2014/main" id="{00000000-0008-0000-1200-00001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95" name="Straight Arrow Connector 4894">
          <a:extLst>
            <a:ext uri="{FF2B5EF4-FFF2-40B4-BE49-F238E27FC236}">
              <a16:creationId xmlns:a16="http://schemas.microsoft.com/office/drawing/2014/main" id="{00000000-0008-0000-1200-00001F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6" name="Straight Arrow Connector 4895">
          <a:extLst>
            <a:ext uri="{FF2B5EF4-FFF2-40B4-BE49-F238E27FC236}">
              <a16:creationId xmlns:a16="http://schemas.microsoft.com/office/drawing/2014/main" id="{00000000-0008-0000-1200-00002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97" name="Straight Arrow Connector 4896">
          <a:extLst>
            <a:ext uri="{FF2B5EF4-FFF2-40B4-BE49-F238E27FC236}">
              <a16:creationId xmlns:a16="http://schemas.microsoft.com/office/drawing/2014/main" id="{00000000-0008-0000-1200-000021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898" name="Straight Arrow Connector 4897">
          <a:extLst>
            <a:ext uri="{FF2B5EF4-FFF2-40B4-BE49-F238E27FC236}">
              <a16:creationId xmlns:a16="http://schemas.microsoft.com/office/drawing/2014/main" id="{00000000-0008-0000-1200-000022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899" name="Straight Arrow Connector 4898">
          <a:extLst>
            <a:ext uri="{FF2B5EF4-FFF2-40B4-BE49-F238E27FC236}">
              <a16:creationId xmlns:a16="http://schemas.microsoft.com/office/drawing/2014/main" id="{00000000-0008-0000-1200-000023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0" name="Straight Arrow Connector 4899">
          <a:extLst>
            <a:ext uri="{FF2B5EF4-FFF2-40B4-BE49-F238E27FC236}">
              <a16:creationId xmlns:a16="http://schemas.microsoft.com/office/drawing/2014/main" id="{00000000-0008-0000-1200-00002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1" name="Straight Arrow Connector 4900">
          <a:extLst>
            <a:ext uri="{FF2B5EF4-FFF2-40B4-BE49-F238E27FC236}">
              <a16:creationId xmlns:a16="http://schemas.microsoft.com/office/drawing/2014/main" id="{00000000-0008-0000-1200-00002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2" name="Straight Arrow Connector 4901">
          <a:extLst>
            <a:ext uri="{FF2B5EF4-FFF2-40B4-BE49-F238E27FC236}">
              <a16:creationId xmlns:a16="http://schemas.microsoft.com/office/drawing/2014/main" id="{00000000-0008-0000-1200-00002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03" name="Straight Arrow Connector 4902">
          <a:extLst>
            <a:ext uri="{FF2B5EF4-FFF2-40B4-BE49-F238E27FC236}">
              <a16:creationId xmlns:a16="http://schemas.microsoft.com/office/drawing/2014/main" id="{00000000-0008-0000-1200-000027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4" name="Straight Arrow Connector 4903">
          <a:extLst>
            <a:ext uri="{FF2B5EF4-FFF2-40B4-BE49-F238E27FC236}">
              <a16:creationId xmlns:a16="http://schemas.microsoft.com/office/drawing/2014/main" id="{00000000-0008-0000-1200-00002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05" name="Straight Arrow Connector 4904">
          <a:extLst>
            <a:ext uri="{FF2B5EF4-FFF2-40B4-BE49-F238E27FC236}">
              <a16:creationId xmlns:a16="http://schemas.microsoft.com/office/drawing/2014/main" id="{00000000-0008-0000-1200-000029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6" name="Straight Arrow Connector 4905">
          <a:extLst>
            <a:ext uri="{FF2B5EF4-FFF2-40B4-BE49-F238E27FC236}">
              <a16:creationId xmlns:a16="http://schemas.microsoft.com/office/drawing/2014/main" id="{00000000-0008-0000-1200-00002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07" name="Straight Arrow Connector 4906">
          <a:extLst>
            <a:ext uri="{FF2B5EF4-FFF2-40B4-BE49-F238E27FC236}">
              <a16:creationId xmlns:a16="http://schemas.microsoft.com/office/drawing/2014/main" id="{00000000-0008-0000-1200-00002B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08" name="Straight Arrow Connector 4907">
          <a:extLst>
            <a:ext uri="{FF2B5EF4-FFF2-40B4-BE49-F238E27FC236}">
              <a16:creationId xmlns:a16="http://schemas.microsoft.com/office/drawing/2014/main" id="{00000000-0008-0000-1200-00002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09" name="Straight Arrow Connector 4908">
          <a:extLst>
            <a:ext uri="{FF2B5EF4-FFF2-40B4-BE49-F238E27FC236}">
              <a16:creationId xmlns:a16="http://schemas.microsoft.com/office/drawing/2014/main" id="{00000000-0008-0000-1200-00002D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10" name="Straight Arrow Connector 4909">
          <a:extLst>
            <a:ext uri="{FF2B5EF4-FFF2-40B4-BE49-F238E27FC236}">
              <a16:creationId xmlns:a16="http://schemas.microsoft.com/office/drawing/2014/main" id="{00000000-0008-0000-1200-00002E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1" name="Straight Arrow Connector 4910">
          <a:extLst>
            <a:ext uri="{FF2B5EF4-FFF2-40B4-BE49-F238E27FC236}">
              <a16:creationId xmlns:a16="http://schemas.microsoft.com/office/drawing/2014/main" id="{00000000-0008-0000-1200-00002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2" name="Straight Arrow Connector 4911">
          <a:extLst>
            <a:ext uri="{FF2B5EF4-FFF2-40B4-BE49-F238E27FC236}">
              <a16:creationId xmlns:a16="http://schemas.microsoft.com/office/drawing/2014/main" id="{00000000-0008-0000-1200-00003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3" name="Straight Arrow Connector 4912">
          <a:extLst>
            <a:ext uri="{FF2B5EF4-FFF2-40B4-BE49-F238E27FC236}">
              <a16:creationId xmlns:a16="http://schemas.microsoft.com/office/drawing/2014/main" id="{00000000-0008-0000-1200-00003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4" name="Straight Arrow Connector 4913">
          <a:extLst>
            <a:ext uri="{FF2B5EF4-FFF2-40B4-BE49-F238E27FC236}">
              <a16:creationId xmlns:a16="http://schemas.microsoft.com/office/drawing/2014/main" id="{00000000-0008-0000-1200-000032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5" name="Straight Arrow Connector 4914">
          <a:extLst>
            <a:ext uri="{FF2B5EF4-FFF2-40B4-BE49-F238E27FC236}">
              <a16:creationId xmlns:a16="http://schemas.microsoft.com/office/drawing/2014/main" id="{00000000-0008-0000-1200-00003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6" name="Straight Arrow Connector 4915">
          <a:extLst>
            <a:ext uri="{FF2B5EF4-FFF2-40B4-BE49-F238E27FC236}">
              <a16:creationId xmlns:a16="http://schemas.microsoft.com/office/drawing/2014/main" id="{00000000-0008-0000-1200-00003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7" name="Straight Arrow Connector 4916">
          <a:extLst>
            <a:ext uri="{FF2B5EF4-FFF2-40B4-BE49-F238E27FC236}">
              <a16:creationId xmlns:a16="http://schemas.microsoft.com/office/drawing/2014/main" id="{00000000-0008-0000-1200-00003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18" name="Straight Arrow Connector 4917">
          <a:extLst>
            <a:ext uri="{FF2B5EF4-FFF2-40B4-BE49-F238E27FC236}">
              <a16:creationId xmlns:a16="http://schemas.microsoft.com/office/drawing/2014/main" id="{00000000-0008-0000-1200-000036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19" name="Straight Arrow Connector 4918">
          <a:extLst>
            <a:ext uri="{FF2B5EF4-FFF2-40B4-BE49-F238E27FC236}">
              <a16:creationId xmlns:a16="http://schemas.microsoft.com/office/drawing/2014/main" id="{00000000-0008-0000-1200-00003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0" name="Straight Arrow Connector 4919">
          <a:extLst>
            <a:ext uri="{FF2B5EF4-FFF2-40B4-BE49-F238E27FC236}">
              <a16:creationId xmlns:a16="http://schemas.microsoft.com/office/drawing/2014/main" id="{00000000-0008-0000-1200-00003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1" name="Straight Arrow Connector 4920">
          <a:extLst>
            <a:ext uri="{FF2B5EF4-FFF2-40B4-BE49-F238E27FC236}">
              <a16:creationId xmlns:a16="http://schemas.microsoft.com/office/drawing/2014/main" id="{00000000-0008-0000-1200-00003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22" name="Straight Arrow Connector 4921">
          <a:extLst>
            <a:ext uri="{FF2B5EF4-FFF2-40B4-BE49-F238E27FC236}">
              <a16:creationId xmlns:a16="http://schemas.microsoft.com/office/drawing/2014/main" id="{00000000-0008-0000-1200-00003A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3" name="Straight Arrow Connector 4922">
          <a:extLst>
            <a:ext uri="{FF2B5EF4-FFF2-40B4-BE49-F238E27FC236}">
              <a16:creationId xmlns:a16="http://schemas.microsoft.com/office/drawing/2014/main" id="{00000000-0008-0000-1200-00003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24" name="Straight Arrow Connector 4923">
          <a:extLst>
            <a:ext uri="{FF2B5EF4-FFF2-40B4-BE49-F238E27FC236}">
              <a16:creationId xmlns:a16="http://schemas.microsoft.com/office/drawing/2014/main" id="{00000000-0008-0000-1200-00003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5" name="Straight Arrow Connector 4924">
          <a:extLst>
            <a:ext uri="{FF2B5EF4-FFF2-40B4-BE49-F238E27FC236}">
              <a16:creationId xmlns:a16="http://schemas.microsoft.com/office/drawing/2014/main" id="{00000000-0008-0000-1200-00003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26" name="Straight Arrow Connector 4925">
          <a:extLst>
            <a:ext uri="{FF2B5EF4-FFF2-40B4-BE49-F238E27FC236}">
              <a16:creationId xmlns:a16="http://schemas.microsoft.com/office/drawing/2014/main" id="{00000000-0008-0000-1200-00003E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7" name="Straight Arrow Connector 4926">
          <a:extLst>
            <a:ext uri="{FF2B5EF4-FFF2-40B4-BE49-F238E27FC236}">
              <a16:creationId xmlns:a16="http://schemas.microsoft.com/office/drawing/2014/main" id="{00000000-0008-0000-1200-00003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8" name="Straight Arrow Connector 4927">
          <a:extLst>
            <a:ext uri="{FF2B5EF4-FFF2-40B4-BE49-F238E27FC236}">
              <a16:creationId xmlns:a16="http://schemas.microsoft.com/office/drawing/2014/main" id="{00000000-0008-0000-1200-00004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29" name="Straight Arrow Connector 4928">
          <a:extLst>
            <a:ext uri="{FF2B5EF4-FFF2-40B4-BE49-F238E27FC236}">
              <a16:creationId xmlns:a16="http://schemas.microsoft.com/office/drawing/2014/main" id="{00000000-0008-0000-1200-00004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30" name="Straight Arrow Connector 4929">
          <a:extLst>
            <a:ext uri="{FF2B5EF4-FFF2-40B4-BE49-F238E27FC236}">
              <a16:creationId xmlns:a16="http://schemas.microsoft.com/office/drawing/2014/main" id="{00000000-0008-0000-1200-00004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1" name="Straight Arrow Connector 4930">
          <a:extLst>
            <a:ext uri="{FF2B5EF4-FFF2-40B4-BE49-F238E27FC236}">
              <a16:creationId xmlns:a16="http://schemas.microsoft.com/office/drawing/2014/main" id="{00000000-0008-0000-1200-00004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2" name="Straight Arrow Connector 4931">
          <a:extLst>
            <a:ext uri="{FF2B5EF4-FFF2-40B4-BE49-F238E27FC236}">
              <a16:creationId xmlns:a16="http://schemas.microsoft.com/office/drawing/2014/main" id="{00000000-0008-0000-1200-00004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3" name="Straight Arrow Connector 4932">
          <a:extLst>
            <a:ext uri="{FF2B5EF4-FFF2-40B4-BE49-F238E27FC236}">
              <a16:creationId xmlns:a16="http://schemas.microsoft.com/office/drawing/2014/main" id="{00000000-0008-0000-1200-00004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4" name="Straight Arrow Connector 4933">
          <a:extLst>
            <a:ext uri="{FF2B5EF4-FFF2-40B4-BE49-F238E27FC236}">
              <a16:creationId xmlns:a16="http://schemas.microsoft.com/office/drawing/2014/main" id="{00000000-0008-0000-1200-00004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35" name="Straight Arrow Connector 4934">
          <a:extLst>
            <a:ext uri="{FF2B5EF4-FFF2-40B4-BE49-F238E27FC236}">
              <a16:creationId xmlns:a16="http://schemas.microsoft.com/office/drawing/2014/main" id="{00000000-0008-0000-1200-000047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6" name="Straight Arrow Connector 4935">
          <a:extLst>
            <a:ext uri="{FF2B5EF4-FFF2-40B4-BE49-F238E27FC236}">
              <a16:creationId xmlns:a16="http://schemas.microsoft.com/office/drawing/2014/main" id="{00000000-0008-0000-1200-00004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37" name="Straight Arrow Connector 4936">
          <a:extLst>
            <a:ext uri="{FF2B5EF4-FFF2-40B4-BE49-F238E27FC236}">
              <a16:creationId xmlns:a16="http://schemas.microsoft.com/office/drawing/2014/main" id="{00000000-0008-0000-1200-000049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38" name="Straight Arrow Connector 4937">
          <a:extLst>
            <a:ext uri="{FF2B5EF4-FFF2-40B4-BE49-F238E27FC236}">
              <a16:creationId xmlns:a16="http://schemas.microsoft.com/office/drawing/2014/main" id="{00000000-0008-0000-1200-00004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39" name="Straight Arrow Connector 4938">
          <a:extLst>
            <a:ext uri="{FF2B5EF4-FFF2-40B4-BE49-F238E27FC236}">
              <a16:creationId xmlns:a16="http://schemas.microsoft.com/office/drawing/2014/main" id="{00000000-0008-0000-1200-00004B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0" name="Straight Arrow Connector 4939">
          <a:extLst>
            <a:ext uri="{FF2B5EF4-FFF2-40B4-BE49-F238E27FC236}">
              <a16:creationId xmlns:a16="http://schemas.microsoft.com/office/drawing/2014/main" id="{00000000-0008-0000-1200-00004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41" name="Straight Arrow Connector 4940">
          <a:extLst>
            <a:ext uri="{FF2B5EF4-FFF2-40B4-BE49-F238E27FC236}">
              <a16:creationId xmlns:a16="http://schemas.microsoft.com/office/drawing/2014/main" id="{00000000-0008-0000-1200-00004D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2" name="Straight Arrow Connector 4941">
          <a:extLst>
            <a:ext uri="{FF2B5EF4-FFF2-40B4-BE49-F238E27FC236}">
              <a16:creationId xmlns:a16="http://schemas.microsoft.com/office/drawing/2014/main" id="{00000000-0008-0000-1200-00004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3" name="Straight Arrow Connector 4942">
          <a:extLst>
            <a:ext uri="{FF2B5EF4-FFF2-40B4-BE49-F238E27FC236}">
              <a16:creationId xmlns:a16="http://schemas.microsoft.com/office/drawing/2014/main" id="{00000000-0008-0000-1200-00004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4" name="Straight Arrow Connector 4943">
          <a:extLst>
            <a:ext uri="{FF2B5EF4-FFF2-40B4-BE49-F238E27FC236}">
              <a16:creationId xmlns:a16="http://schemas.microsoft.com/office/drawing/2014/main" id="{00000000-0008-0000-1200-00005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45" name="Straight Arrow Connector 4944">
          <a:extLst>
            <a:ext uri="{FF2B5EF4-FFF2-40B4-BE49-F238E27FC236}">
              <a16:creationId xmlns:a16="http://schemas.microsoft.com/office/drawing/2014/main" id="{00000000-0008-0000-1200-000051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6" name="Straight Arrow Connector 4945">
          <a:extLst>
            <a:ext uri="{FF2B5EF4-FFF2-40B4-BE49-F238E27FC236}">
              <a16:creationId xmlns:a16="http://schemas.microsoft.com/office/drawing/2014/main" id="{00000000-0008-0000-1200-000052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47" name="Straight Arrow Connector 4946">
          <a:extLst>
            <a:ext uri="{FF2B5EF4-FFF2-40B4-BE49-F238E27FC236}">
              <a16:creationId xmlns:a16="http://schemas.microsoft.com/office/drawing/2014/main" id="{00000000-0008-0000-1200-000053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48" name="Straight Arrow Connector 4947">
          <a:extLst>
            <a:ext uri="{FF2B5EF4-FFF2-40B4-BE49-F238E27FC236}">
              <a16:creationId xmlns:a16="http://schemas.microsoft.com/office/drawing/2014/main" id="{00000000-0008-0000-1200-00005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49" name="Straight Arrow Connector 4948">
          <a:extLst>
            <a:ext uri="{FF2B5EF4-FFF2-40B4-BE49-F238E27FC236}">
              <a16:creationId xmlns:a16="http://schemas.microsoft.com/office/drawing/2014/main" id="{00000000-0008-0000-1200-000055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50" name="Straight Arrow Connector 4949">
          <a:extLst>
            <a:ext uri="{FF2B5EF4-FFF2-40B4-BE49-F238E27FC236}">
              <a16:creationId xmlns:a16="http://schemas.microsoft.com/office/drawing/2014/main" id="{00000000-0008-0000-1200-00005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51" name="Straight Arrow Connector 4950">
          <a:extLst>
            <a:ext uri="{FF2B5EF4-FFF2-40B4-BE49-F238E27FC236}">
              <a16:creationId xmlns:a16="http://schemas.microsoft.com/office/drawing/2014/main" id="{00000000-0008-0000-1200-000057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52" name="Straight Arrow Connector 4951">
          <a:extLst>
            <a:ext uri="{FF2B5EF4-FFF2-40B4-BE49-F238E27FC236}">
              <a16:creationId xmlns:a16="http://schemas.microsoft.com/office/drawing/2014/main" id="{00000000-0008-0000-1200-000058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953" name="Straight Arrow Connector 4952">
          <a:extLst>
            <a:ext uri="{FF2B5EF4-FFF2-40B4-BE49-F238E27FC236}">
              <a16:creationId xmlns:a16="http://schemas.microsoft.com/office/drawing/2014/main" id="{00000000-0008-0000-1200-000059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54" name="Straight Arrow Connector 4953">
          <a:extLst>
            <a:ext uri="{FF2B5EF4-FFF2-40B4-BE49-F238E27FC236}">
              <a16:creationId xmlns:a16="http://schemas.microsoft.com/office/drawing/2014/main" id="{00000000-0008-0000-1200-00005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955" name="Straight Arrow Connector 4954">
          <a:extLst>
            <a:ext uri="{FF2B5EF4-FFF2-40B4-BE49-F238E27FC236}">
              <a16:creationId xmlns:a16="http://schemas.microsoft.com/office/drawing/2014/main" id="{00000000-0008-0000-1200-00005B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56" name="Straight Arrow Connector 4955">
          <a:extLst>
            <a:ext uri="{FF2B5EF4-FFF2-40B4-BE49-F238E27FC236}">
              <a16:creationId xmlns:a16="http://schemas.microsoft.com/office/drawing/2014/main" id="{00000000-0008-0000-1200-00005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957" name="Straight Arrow Connector 4956">
          <a:extLst>
            <a:ext uri="{FF2B5EF4-FFF2-40B4-BE49-F238E27FC236}">
              <a16:creationId xmlns:a16="http://schemas.microsoft.com/office/drawing/2014/main" id="{00000000-0008-0000-1200-00005D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58" name="Straight Arrow Connector 4957">
          <a:extLst>
            <a:ext uri="{FF2B5EF4-FFF2-40B4-BE49-F238E27FC236}">
              <a16:creationId xmlns:a16="http://schemas.microsoft.com/office/drawing/2014/main" id="{00000000-0008-0000-1200-00005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959" name="Straight Arrow Connector 4958">
          <a:extLst>
            <a:ext uri="{FF2B5EF4-FFF2-40B4-BE49-F238E27FC236}">
              <a16:creationId xmlns:a16="http://schemas.microsoft.com/office/drawing/2014/main" id="{00000000-0008-0000-1200-00005F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0" name="Straight Arrow Connector 4959">
          <a:extLst>
            <a:ext uri="{FF2B5EF4-FFF2-40B4-BE49-F238E27FC236}">
              <a16:creationId xmlns:a16="http://schemas.microsoft.com/office/drawing/2014/main" id="{00000000-0008-0000-1200-00006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4961" name="Straight Arrow Connector 4960">
          <a:extLst>
            <a:ext uri="{FF2B5EF4-FFF2-40B4-BE49-F238E27FC236}">
              <a16:creationId xmlns:a16="http://schemas.microsoft.com/office/drawing/2014/main" id="{00000000-0008-0000-1200-000061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2" name="Straight Arrow Connector 4961">
          <a:extLst>
            <a:ext uri="{FF2B5EF4-FFF2-40B4-BE49-F238E27FC236}">
              <a16:creationId xmlns:a16="http://schemas.microsoft.com/office/drawing/2014/main" id="{00000000-0008-0000-1200-000062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63" name="Straight Arrow Connector 4962">
          <a:extLst>
            <a:ext uri="{FF2B5EF4-FFF2-40B4-BE49-F238E27FC236}">
              <a16:creationId xmlns:a16="http://schemas.microsoft.com/office/drawing/2014/main" id="{00000000-0008-0000-1200-000063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4" name="Straight Arrow Connector 4963">
          <a:extLst>
            <a:ext uri="{FF2B5EF4-FFF2-40B4-BE49-F238E27FC236}">
              <a16:creationId xmlns:a16="http://schemas.microsoft.com/office/drawing/2014/main" id="{00000000-0008-0000-1200-00006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65" name="Straight Arrow Connector 4964">
          <a:extLst>
            <a:ext uri="{FF2B5EF4-FFF2-40B4-BE49-F238E27FC236}">
              <a16:creationId xmlns:a16="http://schemas.microsoft.com/office/drawing/2014/main" id="{00000000-0008-0000-1200-000065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6" name="Straight Arrow Connector 4965">
          <a:extLst>
            <a:ext uri="{FF2B5EF4-FFF2-40B4-BE49-F238E27FC236}">
              <a16:creationId xmlns:a16="http://schemas.microsoft.com/office/drawing/2014/main" id="{00000000-0008-0000-1200-00006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7" name="Straight Arrow Connector 4966">
          <a:extLst>
            <a:ext uri="{FF2B5EF4-FFF2-40B4-BE49-F238E27FC236}">
              <a16:creationId xmlns:a16="http://schemas.microsoft.com/office/drawing/2014/main" id="{00000000-0008-0000-1200-00006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68" name="Straight Arrow Connector 4967">
          <a:extLst>
            <a:ext uri="{FF2B5EF4-FFF2-40B4-BE49-F238E27FC236}">
              <a16:creationId xmlns:a16="http://schemas.microsoft.com/office/drawing/2014/main" id="{00000000-0008-0000-1200-00006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69" name="Straight Arrow Connector 4968">
          <a:extLst>
            <a:ext uri="{FF2B5EF4-FFF2-40B4-BE49-F238E27FC236}">
              <a16:creationId xmlns:a16="http://schemas.microsoft.com/office/drawing/2014/main" id="{00000000-0008-0000-1200-000069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0" name="Straight Arrow Connector 4969">
          <a:extLst>
            <a:ext uri="{FF2B5EF4-FFF2-40B4-BE49-F238E27FC236}">
              <a16:creationId xmlns:a16="http://schemas.microsoft.com/office/drawing/2014/main" id="{00000000-0008-0000-1200-00006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1" name="Straight Arrow Connector 4970">
          <a:extLst>
            <a:ext uri="{FF2B5EF4-FFF2-40B4-BE49-F238E27FC236}">
              <a16:creationId xmlns:a16="http://schemas.microsoft.com/office/drawing/2014/main" id="{00000000-0008-0000-1200-00006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2" name="Straight Arrow Connector 4971">
          <a:extLst>
            <a:ext uri="{FF2B5EF4-FFF2-40B4-BE49-F238E27FC236}">
              <a16:creationId xmlns:a16="http://schemas.microsoft.com/office/drawing/2014/main" id="{00000000-0008-0000-1200-00006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3" name="Straight Arrow Connector 4972">
          <a:extLst>
            <a:ext uri="{FF2B5EF4-FFF2-40B4-BE49-F238E27FC236}">
              <a16:creationId xmlns:a16="http://schemas.microsoft.com/office/drawing/2014/main" id="{00000000-0008-0000-1200-00006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74" name="Straight Arrow Connector 4973">
          <a:extLst>
            <a:ext uri="{FF2B5EF4-FFF2-40B4-BE49-F238E27FC236}">
              <a16:creationId xmlns:a16="http://schemas.microsoft.com/office/drawing/2014/main" id="{00000000-0008-0000-1200-00006E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5" name="Straight Arrow Connector 4974">
          <a:extLst>
            <a:ext uri="{FF2B5EF4-FFF2-40B4-BE49-F238E27FC236}">
              <a16:creationId xmlns:a16="http://schemas.microsoft.com/office/drawing/2014/main" id="{00000000-0008-0000-1200-00006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76" name="Straight Arrow Connector 4975">
          <a:extLst>
            <a:ext uri="{FF2B5EF4-FFF2-40B4-BE49-F238E27FC236}">
              <a16:creationId xmlns:a16="http://schemas.microsoft.com/office/drawing/2014/main" id="{00000000-0008-0000-1200-000070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7" name="Straight Arrow Connector 4976">
          <a:extLst>
            <a:ext uri="{FF2B5EF4-FFF2-40B4-BE49-F238E27FC236}">
              <a16:creationId xmlns:a16="http://schemas.microsoft.com/office/drawing/2014/main" id="{00000000-0008-0000-1200-00007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78" name="Straight Arrow Connector 4977">
          <a:extLst>
            <a:ext uri="{FF2B5EF4-FFF2-40B4-BE49-F238E27FC236}">
              <a16:creationId xmlns:a16="http://schemas.microsoft.com/office/drawing/2014/main" id="{00000000-0008-0000-1200-00007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79" name="Straight Arrow Connector 4978">
          <a:extLst>
            <a:ext uri="{FF2B5EF4-FFF2-40B4-BE49-F238E27FC236}">
              <a16:creationId xmlns:a16="http://schemas.microsoft.com/office/drawing/2014/main" id="{00000000-0008-0000-1200-00007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80" name="Straight Arrow Connector 4979">
          <a:extLst>
            <a:ext uri="{FF2B5EF4-FFF2-40B4-BE49-F238E27FC236}">
              <a16:creationId xmlns:a16="http://schemas.microsoft.com/office/drawing/2014/main" id="{00000000-0008-0000-1200-000074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1" name="Straight Arrow Connector 4980">
          <a:extLst>
            <a:ext uri="{FF2B5EF4-FFF2-40B4-BE49-F238E27FC236}">
              <a16:creationId xmlns:a16="http://schemas.microsoft.com/office/drawing/2014/main" id="{00000000-0008-0000-1200-00007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2" name="Straight Arrow Connector 4981">
          <a:extLst>
            <a:ext uri="{FF2B5EF4-FFF2-40B4-BE49-F238E27FC236}">
              <a16:creationId xmlns:a16="http://schemas.microsoft.com/office/drawing/2014/main" id="{00000000-0008-0000-1200-00007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3" name="Straight Arrow Connector 4982">
          <a:extLst>
            <a:ext uri="{FF2B5EF4-FFF2-40B4-BE49-F238E27FC236}">
              <a16:creationId xmlns:a16="http://schemas.microsoft.com/office/drawing/2014/main" id="{00000000-0008-0000-1200-00007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84" name="Straight Arrow Connector 4983">
          <a:extLst>
            <a:ext uri="{FF2B5EF4-FFF2-40B4-BE49-F238E27FC236}">
              <a16:creationId xmlns:a16="http://schemas.microsoft.com/office/drawing/2014/main" id="{00000000-0008-0000-1200-000078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5" name="Straight Arrow Connector 4984">
          <a:extLst>
            <a:ext uri="{FF2B5EF4-FFF2-40B4-BE49-F238E27FC236}">
              <a16:creationId xmlns:a16="http://schemas.microsoft.com/office/drawing/2014/main" id="{00000000-0008-0000-1200-00007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86" name="Straight Arrow Connector 4985">
          <a:extLst>
            <a:ext uri="{FF2B5EF4-FFF2-40B4-BE49-F238E27FC236}">
              <a16:creationId xmlns:a16="http://schemas.microsoft.com/office/drawing/2014/main" id="{00000000-0008-0000-1200-00007A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7" name="Straight Arrow Connector 4986">
          <a:extLst>
            <a:ext uri="{FF2B5EF4-FFF2-40B4-BE49-F238E27FC236}">
              <a16:creationId xmlns:a16="http://schemas.microsoft.com/office/drawing/2014/main" id="{00000000-0008-0000-1200-00007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4988" name="Straight Arrow Connector 4987">
          <a:extLst>
            <a:ext uri="{FF2B5EF4-FFF2-40B4-BE49-F238E27FC236}">
              <a16:creationId xmlns:a16="http://schemas.microsoft.com/office/drawing/2014/main" id="{00000000-0008-0000-1200-00007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89" name="Straight Arrow Connector 4988">
          <a:extLst>
            <a:ext uri="{FF2B5EF4-FFF2-40B4-BE49-F238E27FC236}">
              <a16:creationId xmlns:a16="http://schemas.microsoft.com/office/drawing/2014/main" id="{00000000-0008-0000-1200-00007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90" name="Straight Arrow Connector 4989">
          <a:extLst>
            <a:ext uri="{FF2B5EF4-FFF2-40B4-BE49-F238E27FC236}">
              <a16:creationId xmlns:a16="http://schemas.microsoft.com/office/drawing/2014/main" id="{00000000-0008-0000-1200-00007E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4991" name="Straight Arrow Connector 4990">
          <a:extLst>
            <a:ext uri="{FF2B5EF4-FFF2-40B4-BE49-F238E27FC236}">
              <a16:creationId xmlns:a16="http://schemas.microsoft.com/office/drawing/2014/main" id="{00000000-0008-0000-1200-00007F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2" name="Straight Arrow Connector 4991">
          <a:extLst>
            <a:ext uri="{FF2B5EF4-FFF2-40B4-BE49-F238E27FC236}">
              <a16:creationId xmlns:a16="http://schemas.microsoft.com/office/drawing/2014/main" id="{00000000-0008-0000-1200-00008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3" name="Straight Arrow Connector 4992">
          <a:extLst>
            <a:ext uri="{FF2B5EF4-FFF2-40B4-BE49-F238E27FC236}">
              <a16:creationId xmlns:a16="http://schemas.microsoft.com/office/drawing/2014/main" id="{00000000-0008-0000-1200-00008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4" name="Straight Arrow Connector 4993">
          <a:extLst>
            <a:ext uri="{FF2B5EF4-FFF2-40B4-BE49-F238E27FC236}">
              <a16:creationId xmlns:a16="http://schemas.microsoft.com/office/drawing/2014/main" id="{00000000-0008-0000-1200-000082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5" name="Straight Arrow Connector 4994">
          <a:extLst>
            <a:ext uri="{FF2B5EF4-FFF2-40B4-BE49-F238E27FC236}">
              <a16:creationId xmlns:a16="http://schemas.microsoft.com/office/drawing/2014/main" id="{00000000-0008-0000-1200-00008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6" name="Straight Arrow Connector 4995">
          <a:extLst>
            <a:ext uri="{FF2B5EF4-FFF2-40B4-BE49-F238E27FC236}">
              <a16:creationId xmlns:a16="http://schemas.microsoft.com/office/drawing/2014/main" id="{00000000-0008-0000-1200-00008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7" name="Straight Arrow Connector 4996">
          <a:extLst>
            <a:ext uri="{FF2B5EF4-FFF2-40B4-BE49-F238E27FC236}">
              <a16:creationId xmlns:a16="http://schemas.microsoft.com/office/drawing/2014/main" id="{00000000-0008-0000-1200-00008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8" name="Straight Arrow Connector 4997">
          <a:extLst>
            <a:ext uri="{FF2B5EF4-FFF2-40B4-BE49-F238E27FC236}">
              <a16:creationId xmlns:a16="http://schemas.microsoft.com/office/drawing/2014/main" id="{00000000-0008-0000-1200-00008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4999" name="Straight Arrow Connector 4998">
          <a:extLst>
            <a:ext uri="{FF2B5EF4-FFF2-40B4-BE49-F238E27FC236}">
              <a16:creationId xmlns:a16="http://schemas.microsoft.com/office/drawing/2014/main" id="{00000000-0008-0000-1200-00008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00" name="Straight Arrow Connector 4999">
          <a:extLst>
            <a:ext uri="{FF2B5EF4-FFF2-40B4-BE49-F238E27FC236}">
              <a16:creationId xmlns:a16="http://schemas.microsoft.com/office/drawing/2014/main" id="{00000000-0008-0000-1200-000088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1" name="Straight Arrow Connector 5000">
          <a:extLst>
            <a:ext uri="{FF2B5EF4-FFF2-40B4-BE49-F238E27FC236}">
              <a16:creationId xmlns:a16="http://schemas.microsoft.com/office/drawing/2014/main" id="{00000000-0008-0000-1200-00008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02" name="Straight Arrow Connector 5001">
          <a:extLst>
            <a:ext uri="{FF2B5EF4-FFF2-40B4-BE49-F238E27FC236}">
              <a16:creationId xmlns:a16="http://schemas.microsoft.com/office/drawing/2014/main" id="{00000000-0008-0000-1200-00008A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3" name="Straight Arrow Connector 5002">
          <a:extLst>
            <a:ext uri="{FF2B5EF4-FFF2-40B4-BE49-F238E27FC236}">
              <a16:creationId xmlns:a16="http://schemas.microsoft.com/office/drawing/2014/main" id="{00000000-0008-0000-1200-00008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04" name="Straight Arrow Connector 5003">
          <a:extLst>
            <a:ext uri="{FF2B5EF4-FFF2-40B4-BE49-F238E27FC236}">
              <a16:creationId xmlns:a16="http://schemas.microsoft.com/office/drawing/2014/main" id="{00000000-0008-0000-1200-00008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5" name="Straight Arrow Connector 5004">
          <a:extLst>
            <a:ext uri="{FF2B5EF4-FFF2-40B4-BE49-F238E27FC236}">
              <a16:creationId xmlns:a16="http://schemas.microsoft.com/office/drawing/2014/main" id="{00000000-0008-0000-1200-00008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06" name="Straight Arrow Connector 5005">
          <a:extLst>
            <a:ext uri="{FF2B5EF4-FFF2-40B4-BE49-F238E27FC236}">
              <a16:creationId xmlns:a16="http://schemas.microsoft.com/office/drawing/2014/main" id="{00000000-0008-0000-1200-00008E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7" name="Straight Arrow Connector 5006">
          <a:extLst>
            <a:ext uri="{FF2B5EF4-FFF2-40B4-BE49-F238E27FC236}">
              <a16:creationId xmlns:a16="http://schemas.microsoft.com/office/drawing/2014/main" id="{00000000-0008-0000-1200-00008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8" name="Straight Arrow Connector 5007">
          <a:extLst>
            <a:ext uri="{FF2B5EF4-FFF2-40B4-BE49-F238E27FC236}">
              <a16:creationId xmlns:a16="http://schemas.microsoft.com/office/drawing/2014/main" id="{00000000-0008-0000-1200-00009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09" name="Straight Arrow Connector 5008">
          <a:extLst>
            <a:ext uri="{FF2B5EF4-FFF2-40B4-BE49-F238E27FC236}">
              <a16:creationId xmlns:a16="http://schemas.microsoft.com/office/drawing/2014/main" id="{00000000-0008-0000-1200-00009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10" name="Straight Arrow Connector 5009">
          <a:extLst>
            <a:ext uri="{FF2B5EF4-FFF2-40B4-BE49-F238E27FC236}">
              <a16:creationId xmlns:a16="http://schemas.microsoft.com/office/drawing/2014/main" id="{00000000-0008-0000-1200-00009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11" name="Straight Arrow Connector 5010">
          <a:extLst>
            <a:ext uri="{FF2B5EF4-FFF2-40B4-BE49-F238E27FC236}">
              <a16:creationId xmlns:a16="http://schemas.microsoft.com/office/drawing/2014/main" id="{00000000-0008-0000-1200-00009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12" name="Straight Arrow Connector 5011">
          <a:extLst>
            <a:ext uri="{FF2B5EF4-FFF2-40B4-BE49-F238E27FC236}">
              <a16:creationId xmlns:a16="http://schemas.microsoft.com/office/drawing/2014/main" id="{00000000-0008-0000-1200-000094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13" name="Straight Arrow Connector 5012">
          <a:extLst>
            <a:ext uri="{FF2B5EF4-FFF2-40B4-BE49-F238E27FC236}">
              <a16:creationId xmlns:a16="http://schemas.microsoft.com/office/drawing/2014/main" id="{00000000-0008-0000-1200-00009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14" name="Straight Arrow Connector 5013">
          <a:extLst>
            <a:ext uri="{FF2B5EF4-FFF2-40B4-BE49-F238E27FC236}">
              <a16:creationId xmlns:a16="http://schemas.microsoft.com/office/drawing/2014/main" id="{00000000-0008-0000-1200-000096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15" name="Straight Arrow Connector 5014">
          <a:extLst>
            <a:ext uri="{FF2B5EF4-FFF2-40B4-BE49-F238E27FC236}">
              <a16:creationId xmlns:a16="http://schemas.microsoft.com/office/drawing/2014/main" id="{00000000-0008-0000-1200-00009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16" name="Straight Arrow Connector 5015">
          <a:extLst>
            <a:ext uri="{FF2B5EF4-FFF2-40B4-BE49-F238E27FC236}">
              <a16:creationId xmlns:a16="http://schemas.microsoft.com/office/drawing/2014/main" id="{00000000-0008-0000-1200-000098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17" name="Straight Arrow Connector 5016">
          <a:extLst>
            <a:ext uri="{FF2B5EF4-FFF2-40B4-BE49-F238E27FC236}">
              <a16:creationId xmlns:a16="http://schemas.microsoft.com/office/drawing/2014/main" id="{00000000-0008-0000-1200-000099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18" name="Straight Arrow Connector 5017">
          <a:extLst>
            <a:ext uri="{FF2B5EF4-FFF2-40B4-BE49-F238E27FC236}">
              <a16:creationId xmlns:a16="http://schemas.microsoft.com/office/drawing/2014/main" id="{00000000-0008-0000-1200-00009A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19" name="Straight Arrow Connector 5018">
          <a:extLst>
            <a:ext uri="{FF2B5EF4-FFF2-40B4-BE49-F238E27FC236}">
              <a16:creationId xmlns:a16="http://schemas.microsoft.com/office/drawing/2014/main" id="{00000000-0008-0000-1200-00009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20" name="Straight Arrow Connector 5019">
          <a:extLst>
            <a:ext uri="{FF2B5EF4-FFF2-40B4-BE49-F238E27FC236}">
              <a16:creationId xmlns:a16="http://schemas.microsoft.com/office/drawing/2014/main" id="{00000000-0008-0000-1200-00009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21" name="Straight Arrow Connector 5020">
          <a:extLst>
            <a:ext uri="{FF2B5EF4-FFF2-40B4-BE49-F238E27FC236}">
              <a16:creationId xmlns:a16="http://schemas.microsoft.com/office/drawing/2014/main" id="{00000000-0008-0000-1200-00009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22" name="Straight Arrow Connector 5021">
          <a:extLst>
            <a:ext uri="{FF2B5EF4-FFF2-40B4-BE49-F238E27FC236}">
              <a16:creationId xmlns:a16="http://schemas.microsoft.com/office/drawing/2014/main" id="{00000000-0008-0000-1200-00009E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23" name="Straight Arrow Connector 5022">
          <a:extLst>
            <a:ext uri="{FF2B5EF4-FFF2-40B4-BE49-F238E27FC236}">
              <a16:creationId xmlns:a16="http://schemas.microsoft.com/office/drawing/2014/main" id="{00000000-0008-0000-1200-00009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24" name="Straight Arrow Connector 5023">
          <a:extLst>
            <a:ext uri="{FF2B5EF4-FFF2-40B4-BE49-F238E27FC236}">
              <a16:creationId xmlns:a16="http://schemas.microsoft.com/office/drawing/2014/main" id="{00000000-0008-0000-1200-0000A0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25" name="Straight Arrow Connector 5024">
          <a:extLst>
            <a:ext uri="{FF2B5EF4-FFF2-40B4-BE49-F238E27FC236}">
              <a16:creationId xmlns:a16="http://schemas.microsoft.com/office/drawing/2014/main" id="{00000000-0008-0000-1200-0000A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26" name="Straight Arrow Connector 5025">
          <a:extLst>
            <a:ext uri="{FF2B5EF4-FFF2-40B4-BE49-F238E27FC236}">
              <a16:creationId xmlns:a16="http://schemas.microsoft.com/office/drawing/2014/main" id="{00000000-0008-0000-1200-0000A2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27" name="Straight Arrow Connector 5026">
          <a:extLst>
            <a:ext uri="{FF2B5EF4-FFF2-40B4-BE49-F238E27FC236}">
              <a16:creationId xmlns:a16="http://schemas.microsoft.com/office/drawing/2014/main" id="{00000000-0008-0000-1200-0000A3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28" name="Straight Arrow Connector 5027">
          <a:extLst>
            <a:ext uri="{FF2B5EF4-FFF2-40B4-BE49-F238E27FC236}">
              <a16:creationId xmlns:a16="http://schemas.microsoft.com/office/drawing/2014/main" id="{00000000-0008-0000-1200-0000A4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29" name="Straight Arrow Connector 5028">
          <a:extLst>
            <a:ext uri="{FF2B5EF4-FFF2-40B4-BE49-F238E27FC236}">
              <a16:creationId xmlns:a16="http://schemas.microsoft.com/office/drawing/2014/main" id="{00000000-0008-0000-1200-0000A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30" name="Straight Arrow Connector 5029">
          <a:extLst>
            <a:ext uri="{FF2B5EF4-FFF2-40B4-BE49-F238E27FC236}">
              <a16:creationId xmlns:a16="http://schemas.microsoft.com/office/drawing/2014/main" id="{00000000-0008-0000-1200-0000A6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1" name="Straight Arrow Connector 5030">
          <a:extLst>
            <a:ext uri="{FF2B5EF4-FFF2-40B4-BE49-F238E27FC236}">
              <a16:creationId xmlns:a16="http://schemas.microsoft.com/office/drawing/2014/main" id="{00000000-0008-0000-1200-0000A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32" name="Straight Arrow Connector 5031">
          <a:extLst>
            <a:ext uri="{FF2B5EF4-FFF2-40B4-BE49-F238E27FC236}">
              <a16:creationId xmlns:a16="http://schemas.microsoft.com/office/drawing/2014/main" id="{00000000-0008-0000-1200-0000A8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3" name="Straight Arrow Connector 5032">
          <a:extLst>
            <a:ext uri="{FF2B5EF4-FFF2-40B4-BE49-F238E27FC236}">
              <a16:creationId xmlns:a16="http://schemas.microsoft.com/office/drawing/2014/main" id="{00000000-0008-0000-1200-0000A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4" name="Straight Arrow Connector 5033">
          <a:extLst>
            <a:ext uri="{FF2B5EF4-FFF2-40B4-BE49-F238E27FC236}">
              <a16:creationId xmlns:a16="http://schemas.microsoft.com/office/drawing/2014/main" id="{00000000-0008-0000-1200-0000A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5" name="Straight Arrow Connector 5034">
          <a:extLst>
            <a:ext uri="{FF2B5EF4-FFF2-40B4-BE49-F238E27FC236}">
              <a16:creationId xmlns:a16="http://schemas.microsoft.com/office/drawing/2014/main" id="{00000000-0008-0000-1200-0000AB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36" name="Straight Arrow Connector 5035">
          <a:extLst>
            <a:ext uri="{FF2B5EF4-FFF2-40B4-BE49-F238E27FC236}">
              <a16:creationId xmlns:a16="http://schemas.microsoft.com/office/drawing/2014/main" id="{00000000-0008-0000-1200-0000AC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7" name="Straight Arrow Connector 5036">
          <a:extLst>
            <a:ext uri="{FF2B5EF4-FFF2-40B4-BE49-F238E27FC236}">
              <a16:creationId xmlns:a16="http://schemas.microsoft.com/office/drawing/2014/main" id="{00000000-0008-0000-1200-0000AD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38" name="Straight Arrow Connector 5037">
          <a:extLst>
            <a:ext uri="{FF2B5EF4-FFF2-40B4-BE49-F238E27FC236}">
              <a16:creationId xmlns:a16="http://schemas.microsoft.com/office/drawing/2014/main" id="{00000000-0008-0000-1200-0000AE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39" name="Straight Arrow Connector 5038">
          <a:extLst>
            <a:ext uri="{FF2B5EF4-FFF2-40B4-BE49-F238E27FC236}">
              <a16:creationId xmlns:a16="http://schemas.microsoft.com/office/drawing/2014/main" id="{00000000-0008-0000-1200-0000AF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40" name="Straight Arrow Connector 5039">
          <a:extLst>
            <a:ext uri="{FF2B5EF4-FFF2-40B4-BE49-F238E27FC236}">
              <a16:creationId xmlns:a16="http://schemas.microsoft.com/office/drawing/2014/main" id="{00000000-0008-0000-1200-0000B0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1" name="Straight Arrow Connector 5040">
          <a:extLst>
            <a:ext uri="{FF2B5EF4-FFF2-40B4-BE49-F238E27FC236}">
              <a16:creationId xmlns:a16="http://schemas.microsoft.com/office/drawing/2014/main" id="{00000000-0008-0000-1200-0000B1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42" name="Straight Arrow Connector 5041">
          <a:extLst>
            <a:ext uri="{FF2B5EF4-FFF2-40B4-BE49-F238E27FC236}">
              <a16:creationId xmlns:a16="http://schemas.microsoft.com/office/drawing/2014/main" id="{00000000-0008-0000-1200-0000B2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43" name="Straight Arrow Connector 5042">
          <a:extLst>
            <a:ext uri="{FF2B5EF4-FFF2-40B4-BE49-F238E27FC236}">
              <a16:creationId xmlns:a16="http://schemas.microsoft.com/office/drawing/2014/main" id="{00000000-0008-0000-1200-0000B3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4" name="Straight Arrow Connector 5043">
          <a:extLst>
            <a:ext uri="{FF2B5EF4-FFF2-40B4-BE49-F238E27FC236}">
              <a16:creationId xmlns:a16="http://schemas.microsoft.com/office/drawing/2014/main" id="{00000000-0008-0000-1200-0000B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5" name="Straight Arrow Connector 5044">
          <a:extLst>
            <a:ext uri="{FF2B5EF4-FFF2-40B4-BE49-F238E27FC236}">
              <a16:creationId xmlns:a16="http://schemas.microsoft.com/office/drawing/2014/main" id="{00000000-0008-0000-1200-0000B5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6" name="Straight Arrow Connector 5045">
          <a:extLst>
            <a:ext uri="{FF2B5EF4-FFF2-40B4-BE49-F238E27FC236}">
              <a16:creationId xmlns:a16="http://schemas.microsoft.com/office/drawing/2014/main" id="{00000000-0008-0000-1200-0000B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7" name="Straight Arrow Connector 5046">
          <a:extLst>
            <a:ext uri="{FF2B5EF4-FFF2-40B4-BE49-F238E27FC236}">
              <a16:creationId xmlns:a16="http://schemas.microsoft.com/office/drawing/2014/main" id="{00000000-0008-0000-1200-0000B7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8" name="Straight Arrow Connector 5047">
          <a:extLst>
            <a:ext uri="{FF2B5EF4-FFF2-40B4-BE49-F238E27FC236}">
              <a16:creationId xmlns:a16="http://schemas.microsoft.com/office/drawing/2014/main" id="{00000000-0008-0000-1200-0000B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49" name="Straight Arrow Connector 5048">
          <a:extLst>
            <a:ext uri="{FF2B5EF4-FFF2-40B4-BE49-F238E27FC236}">
              <a16:creationId xmlns:a16="http://schemas.microsoft.com/office/drawing/2014/main" id="{00000000-0008-0000-1200-0000B9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50" name="Straight Arrow Connector 5049">
          <a:extLst>
            <a:ext uri="{FF2B5EF4-FFF2-40B4-BE49-F238E27FC236}">
              <a16:creationId xmlns:a16="http://schemas.microsoft.com/office/drawing/2014/main" id="{00000000-0008-0000-1200-0000B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51" name="Straight Arrow Connector 5050">
          <a:extLst>
            <a:ext uri="{FF2B5EF4-FFF2-40B4-BE49-F238E27FC236}">
              <a16:creationId xmlns:a16="http://schemas.microsoft.com/office/drawing/2014/main" id="{00000000-0008-0000-1200-0000BB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52" name="Straight Arrow Connector 5051">
          <a:extLst>
            <a:ext uri="{FF2B5EF4-FFF2-40B4-BE49-F238E27FC236}">
              <a16:creationId xmlns:a16="http://schemas.microsoft.com/office/drawing/2014/main" id="{00000000-0008-0000-1200-0000B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53" name="Straight Arrow Connector 5052">
          <a:extLst>
            <a:ext uri="{FF2B5EF4-FFF2-40B4-BE49-F238E27FC236}">
              <a16:creationId xmlns:a16="http://schemas.microsoft.com/office/drawing/2014/main" id="{00000000-0008-0000-1200-0000BD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54" name="Straight Arrow Connector 5053">
          <a:extLst>
            <a:ext uri="{FF2B5EF4-FFF2-40B4-BE49-F238E27FC236}">
              <a16:creationId xmlns:a16="http://schemas.microsoft.com/office/drawing/2014/main" id="{00000000-0008-0000-1200-0000B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55" name="Straight Arrow Connector 5054">
          <a:extLst>
            <a:ext uri="{FF2B5EF4-FFF2-40B4-BE49-F238E27FC236}">
              <a16:creationId xmlns:a16="http://schemas.microsoft.com/office/drawing/2014/main" id="{00000000-0008-0000-1200-0000BF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56" name="Straight Arrow Connector 5055">
          <a:extLst>
            <a:ext uri="{FF2B5EF4-FFF2-40B4-BE49-F238E27FC236}">
              <a16:creationId xmlns:a16="http://schemas.microsoft.com/office/drawing/2014/main" id="{00000000-0008-0000-1200-0000C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57" name="Straight Arrow Connector 5056">
          <a:extLst>
            <a:ext uri="{FF2B5EF4-FFF2-40B4-BE49-F238E27FC236}">
              <a16:creationId xmlns:a16="http://schemas.microsoft.com/office/drawing/2014/main" id="{00000000-0008-0000-1200-0000C1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58" name="Straight Arrow Connector 5057">
          <a:extLst>
            <a:ext uri="{FF2B5EF4-FFF2-40B4-BE49-F238E27FC236}">
              <a16:creationId xmlns:a16="http://schemas.microsoft.com/office/drawing/2014/main" id="{00000000-0008-0000-1200-0000C2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59" name="Straight Arrow Connector 5058">
          <a:extLst>
            <a:ext uri="{FF2B5EF4-FFF2-40B4-BE49-F238E27FC236}">
              <a16:creationId xmlns:a16="http://schemas.microsoft.com/office/drawing/2014/main" id="{00000000-0008-0000-1200-0000C3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60" name="Straight Arrow Connector 5059">
          <a:extLst>
            <a:ext uri="{FF2B5EF4-FFF2-40B4-BE49-F238E27FC236}">
              <a16:creationId xmlns:a16="http://schemas.microsoft.com/office/drawing/2014/main" id="{00000000-0008-0000-1200-0000C4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61" name="Straight Arrow Connector 5060">
          <a:extLst>
            <a:ext uri="{FF2B5EF4-FFF2-40B4-BE49-F238E27FC236}">
              <a16:creationId xmlns:a16="http://schemas.microsoft.com/office/drawing/2014/main" id="{00000000-0008-0000-1200-0000C5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62" name="Straight Arrow Connector 5061">
          <a:extLst>
            <a:ext uri="{FF2B5EF4-FFF2-40B4-BE49-F238E27FC236}">
              <a16:creationId xmlns:a16="http://schemas.microsoft.com/office/drawing/2014/main" id="{00000000-0008-0000-1200-0000C6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63" name="Straight Arrow Connector 5062">
          <a:extLst>
            <a:ext uri="{FF2B5EF4-FFF2-40B4-BE49-F238E27FC236}">
              <a16:creationId xmlns:a16="http://schemas.microsoft.com/office/drawing/2014/main" id="{00000000-0008-0000-1200-0000C7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64" name="Straight Arrow Connector 5063">
          <a:extLst>
            <a:ext uri="{FF2B5EF4-FFF2-40B4-BE49-F238E27FC236}">
              <a16:creationId xmlns:a16="http://schemas.microsoft.com/office/drawing/2014/main" id="{00000000-0008-0000-1200-0000C8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65" name="Straight Arrow Connector 5064">
          <a:extLst>
            <a:ext uri="{FF2B5EF4-FFF2-40B4-BE49-F238E27FC236}">
              <a16:creationId xmlns:a16="http://schemas.microsoft.com/office/drawing/2014/main" id="{00000000-0008-0000-1200-0000C9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66" name="Straight Arrow Connector 5065">
          <a:extLst>
            <a:ext uri="{FF2B5EF4-FFF2-40B4-BE49-F238E27FC236}">
              <a16:creationId xmlns:a16="http://schemas.microsoft.com/office/drawing/2014/main" id="{00000000-0008-0000-1200-0000CA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1143000</xdr:colOff>
      <xdr:row>1775</xdr:row>
      <xdr:rowOff>31750</xdr:rowOff>
    </xdr:from>
    <xdr:to>
      <xdr:col>16</xdr:col>
      <xdr:colOff>42334</xdr:colOff>
      <xdr:row>1782</xdr:row>
      <xdr:rowOff>63501</xdr:rowOff>
    </xdr:to>
    <xdr:cxnSp macro="">
      <xdr:nvCxnSpPr>
        <xdr:cNvPr id="5067" name="Straight Arrow Connector 5066">
          <a:extLst>
            <a:ext uri="{FF2B5EF4-FFF2-40B4-BE49-F238E27FC236}">
              <a16:creationId xmlns:a16="http://schemas.microsoft.com/office/drawing/2014/main" id="{00000000-0008-0000-1200-0000CB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68" name="Straight Arrow Connector 5067">
          <a:extLst>
            <a:ext uri="{FF2B5EF4-FFF2-40B4-BE49-F238E27FC236}">
              <a16:creationId xmlns:a16="http://schemas.microsoft.com/office/drawing/2014/main" id="{00000000-0008-0000-1200-0000CC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69" name="Straight Arrow Connector 5068">
          <a:extLst>
            <a:ext uri="{FF2B5EF4-FFF2-40B4-BE49-F238E27FC236}">
              <a16:creationId xmlns:a16="http://schemas.microsoft.com/office/drawing/2014/main" id="{00000000-0008-0000-1200-0000CD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70" name="Straight Arrow Connector 5069">
          <a:extLst>
            <a:ext uri="{FF2B5EF4-FFF2-40B4-BE49-F238E27FC236}">
              <a16:creationId xmlns:a16="http://schemas.microsoft.com/office/drawing/2014/main" id="{00000000-0008-0000-1200-0000CE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1775</xdr:row>
      <xdr:rowOff>31750</xdr:rowOff>
    </xdr:from>
    <xdr:to>
      <xdr:col>16</xdr:col>
      <xdr:colOff>42334</xdr:colOff>
      <xdr:row>1782</xdr:row>
      <xdr:rowOff>63501</xdr:rowOff>
    </xdr:to>
    <xdr:cxnSp macro="">
      <xdr:nvCxnSpPr>
        <xdr:cNvPr id="5071" name="Straight Arrow Connector 5070">
          <a:extLst>
            <a:ext uri="{FF2B5EF4-FFF2-40B4-BE49-F238E27FC236}">
              <a16:creationId xmlns:a16="http://schemas.microsoft.com/office/drawing/2014/main" id="{00000000-0008-0000-1200-0000CF130000}"/>
            </a:ext>
          </a:extLst>
        </xdr:cNvPr>
        <xdr:cNvCxnSpPr/>
      </xdr:nvCxnSpPr>
      <xdr:spPr>
        <a:xfrm>
          <a:off x="11281833" y="3322637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42333</xdr:colOff>
      <xdr:row>1788</xdr:row>
      <xdr:rowOff>31750</xdr:rowOff>
    </xdr:from>
    <xdr:to>
      <xdr:col>16</xdr:col>
      <xdr:colOff>21167</xdr:colOff>
      <xdr:row>1795</xdr:row>
      <xdr:rowOff>95250</xdr:rowOff>
    </xdr:to>
    <xdr:cxnSp macro="">
      <xdr:nvCxnSpPr>
        <xdr:cNvPr id="5072" name="Straight Arrow Connector 5071">
          <a:extLst>
            <a:ext uri="{FF2B5EF4-FFF2-40B4-BE49-F238E27FC236}">
              <a16:creationId xmlns:a16="http://schemas.microsoft.com/office/drawing/2014/main" id="{00000000-0008-0000-1200-0000D0130000}"/>
            </a:ext>
          </a:extLst>
        </xdr:cNvPr>
        <xdr:cNvCxnSpPr/>
      </xdr:nvCxnSpPr>
      <xdr:spPr>
        <a:xfrm>
          <a:off x="11324166" y="334930750"/>
          <a:ext cx="592668" cy="1397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73" name="Straight Arrow Connector 5072">
          <a:extLst>
            <a:ext uri="{FF2B5EF4-FFF2-40B4-BE49-F238E27FC236}">
              <a16:creationId xmlns:a16="http://schemas.microsoft.com/office/drawing/2014/main" id="{00000000-0008-0000-1200-0000D1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1801</xdr:row>
      <xdr:rowOff>31750</xdr:rowOff>
    </xdr:from>
    <xdr:to>
      <xdr:col>16</xdr:col>
      <xdr:colOff>42334</xdr:colOff>
      <xdr:row>1808</xdr:row>
      <xdr:rowOff>63501</xdr:rowOff>
    </xdr:to>
    <xdr:cxnSp macro="">
      <xdr:nvCxnSpPr>
        <xdr:cNvPr id="5074" name="Straight Arrow Connector 5073">
          <a:extLst>
            <a:ext uri="{FF2B5EF4-FFF2-40B4-BE49-F238E27FC236}">
              <a16:creationId xmlns:a16="http://schemas.microsoft.com/office/drawing/2014/main" id="{00000000-0008-0000-1200-0000D2130000}"/>
            </a:ext>
          </a:extLst>
        </xdr:cNvPr>
        <xdr:cNvCxnSpPr/>
      </xdr:nvCxnSpPr>
      <xdr:spPr>
        <a:xfrm>
          <a:off x="11281833" y="337407250"/>
          <a:ext cx="656168" cy="1365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601980</xdr:colOff>
      <xdr:row>12</xdr:row>
      <xdr:rowOff>152400</xdr:rowOff>
    </xdr:from>
    <xdr:to>
      <xdr:col>3</xdr:col>
      <xdr:colOff>7620</xdr:colOff>
      <xdr:row>21</xdr:row>
      <xdr:rowOff>0</xdr:rowOff>
    </xdr:to>
    <xdr:cxnSp macro="">
      <xdr:nvCxnSpPr>
        <xdr:cNvPr id="3" name="Straight Arrow Connector 2">
          <a:extLst>
            <a:ext uri="{FF2B5EF4-FFF2-40B4-BE49-F238E27FC236}">
              <a16:creationId xmlns:a16="http://schemas.microsoft.com/office/drawing/2014/main" id="{E6903FD1-B7E9-4502-8AE8-15A4AEC4D0A2}"/>
            </a:ext>
          </a:extLst>
        </xdr:cNvPr>
        <xdr:cNvCxnSpPr/>
      </xdr:nvCxnSpPr>
      <xdr:spPr>
        <a:xfrm flipV="1">
          <a:off x="2933700" y="1432560"/>
          <a:ext cx="624840" cy="9601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xdr:colOff>
      <xdr:row>21</xdr:row>
      <xdr:rowOff>0</xdr:rowOff>
    </xdr:from>
    <xdr:to>
      <xdr:col>3</xdr:col>
      <xdr:colOff>7620</xdr:colOff>
      <xdr:row>27</xdr:row>
      <xdr:rowOff>0</xdr:rowOff>
    </xdr:to>
    <xdr:cxnSp macro="">
      <xdr:nvCxnSpPr>
        <xdr:cNvPr id="5" name="Straight Arrow Connector 4">
          <a:extLst>
            <a:ext uri="{FF2B5EF4-FFF2-40B4-BE49-F238E27FC236}">
              <a16:creationId xmlns:a16="http://schemas.microsoft.com/office/drawing/2014/main" id="{4E6F8EC9-AD2C-4293-BC52-F46B3AB611E3}"/>
            </a:ext>
          </a:extLst>
        </xdr:cNvPr>
        <xdr:cNvCxnSpPr/>
      </xdr:nvCxnSpPr>
      <xdr:spPr>
        <a:xfrm>
          <a:off x="2948940" y="2575560"/>
          <a:ext cx="609600" cy="1645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9</xdr:row>
      <xdr:rowOff>160020</xdr:rowOff>
    </xdr:from>
    <xdr:to>
      <xdr:col>4</xdr:col>
      <xdr:colOff>601980</xdr:colOff>
      <xdr:row>12</xdr:row>
      <xdr:rowOff>0</xdr:rowOff>
    </xdr:to>
    <xdr:cxnSp macro="">
      <xdr:nvCxnSpPr>
        <xdr:cNvPr id="7" name="Straight Arrow Connector 6">
          <a:extLst>
            <a:ext uri="{FF2B5EF4-FFF2-40B4-BE49-F238E27FC236}">
              <a16:creationId xmlns:a16="http://schemas.microsoft.com/office/drawing/2014/main" id="{48FBD496-6C30-4F46-9834-3AC3DCCD3204}"/>
            </a:ext>
          </a:extLst>
        </xdr:cNvPr>
        <xdr:cNvCxnSpPr/>
      </xdr:nvCxnSpPr>
      <xdr:spPr>
        <a:xfrm flipV="1">
          <a:off x="4160520" y="89154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xdr:colOff>
      <xdr:row>12</xdr:row>
      <xdr:rowOff>99060</xdr:rowOff>
    </xdr:from>
    <xdr:to>
      <xdr:col>5</xdr:col>
      <xdr:colOff>22860</xdr:colOff>
      <xdr:row>15</xdr:row>
      <xdr:rowOff>22860</xdr:rowOff>
    </xdr:to>
    <xdr:cxnSp macro="">
      <xdr:nvCxnSpPr>
        <xdr:cNvPr id="10" name="Straight Arrow Connector 9">
          <a:extLst>
            <a:ext uri="{FF2B5EF4-FFF2-40B4-BE49-F238E27FC236}">
              <a16:creationId xmlns:a16="http://schemas.microsoft.com/office/drawing/2014/main" id="{DD5C95A4-E701-4C69-8D4A-08A5AD9753E6}"/>
            </a:ext>
          </a:extLst>
        </xdr:cNvPr>
        <xdr:cNvCxnSpPr/>
      </xdr:nvCxnSpPr>
      <xdr:spPr>
        <a:xfrm>
          <a:off x="4191000" y="1379220"/>
          <a:ext cx="601980" cy="4724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6</xdr:row>
      <xdr:rowOff>160020</xdr:rowOff>
    </xdr:from>
    <xdr:to>
      <xdr:col>7</xdr:col>
      <xdr:colOff>7620</xdr:colOff>
      <xdr:row>9</xdr:row>
      <xdr:rowOff>0</xdr:rowOff>
    </xdr:to>
    <xdr:cxnSp macro="">
      <xdr:nvCxnSpPr>
        <xdr:cNvPr id="15" name="Straight Arrow Connector 14">
          <a:extLst>
            <a:ext uri="{FF2B5EF4-FFF2-40B4-BE49-F238E27FC236}">
              <a16:creationId xmlns:a16="http://schemas.microsoft.com/office/drawing/2014/main" id="{8ACE942D-2D00-47CB-851E-572AE9FF1C83}"/>
            </a:ext>
          </a:extLst>
        </xdr:cNvPr>
        <xdr:cNvCxnSpPr/>
      </xdr:nvCxnSpPr>
      <xdr:spPr>
        <a:xfrm flipV="1">
          <a:off x="5661660" y="34290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9</xdr:row>
      <xdr:rowOff>99060</xdr:rowOff>
    </xdr:from>
    <xdr:to>
      <xdr:col>7</xdr:col>
      <xdr:colOff>22860</xdr:colOff>
      <xdr:row>9</xdr:row>
      <xdr:rowOff>99060</xdr:rowOff>
    </xdr:to>
    <xdr:cxnSp macro="">
      <xdr:nvCxnSpPr>
        <xdr:cNvPr id="17" name="Straight Arrow Connector 16">
          <a:extLst>
            <a:ext uri="{FF2B5EF4-FFF2-40B4-BE49-F238E27FC236}">
              <a16:creationId xmlns:a16="http://schemas.microsoft.com/office/drawing/2014/main" id="{B9925462-D343-4BC7-8C7B-5039898BCEE9}"/>
            </a:ext>
          </a:extLst>
        </xdr:cNvPr>
        <xdr:cNvCxnSpPr/>
      </xdr:nvCxnSpPr>
      <xdr:spPr>
        <a:xfrm>
          <a:off x="5676900" y="830580"/>
          <a:ext cx="62484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10</xdr:row>
      <xdr:rowOff>0</xdr:rowOff>
    </xdr:from>
    <xdr:to>
      <xdr:col>6</xdr:col>
      <xdr:colOff>594360</xdr:colOff>
      <xdr:row>12</xdr:row>
      <xdr:rowOff>22860</xdr:rowOff>
    </xdr:to>
    <xdr:cxnSp macro="">
      <xdr:nvCxnSpPr>
        <xdr:cNvPr id="19" name="Straight Arrow Connector 18">
          <a:extLst>
            <a:ext uri="{FF2B5EF4-FFF2-40B4-BE49-F238E27FC236}">
              <a16:creationId xmlns:a16="http://schemas.microsoft.com/office/drawing/2014/main" id="{4032EDDA-C72E-4691-9151-E986DC44DA2F}"/>
            </a:ext>
          </a:extLst>
        </xdr:cNvPr>
        <xdr:cNvCxnSpPr/>
      </xdr:nvCxnSpPr>
      <xdr:spPr>
        <a:xfrm>
          <a:off x="5661660" y="91440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45720</xdr:colOff>
      <xdr:row>24</xdr:row>
      <xdr:rowOff>167640</xdr:rowOff>
    </xdr:from>
    <xdr:to>
      <xdr:col>4</xdr:col>
      <xdr:colOff>594360</xdr:colOff>
      <xdr:row>26</xdr:row>
      <xdr:rowOff>137160</xdr:rowOff>
    </xdr:to>
    <xdr:cxnSp macro="">
      <xdr:nvCxnSpPr>
        <xdr:cNvPr id="23" name="Straight Arrow Connector 22">
          <a:extLst>
            <a:ext uri="{FF2B5EF4-FFF2-40B4-BE49-F238E27FC236}">
              <a16:creationId xmlns:a16="http://schemas.microsoft.com/office/drawing/2014/main" id="{724CF393-FBE2-4A73-9990-86DD4D74798C}"/>
            </a:ext>
          </a:extLst>
        </xdr:cNvPr>
        <xdr:cNvCxnSpPr/>
      </xdr:nvCxnSpPr>
      <xdr:spPr>
        <a:xfrm flipV="1">
          <a:off x="2788920" y="3459480"/>
          <a:ext cx="548640" cy="3352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21</xdr:row>
      <xdr:rowOff>167640</xdr:rowOff>
    </xdr:from>
    <xdr:to>
      <xdr:col>6</xdr:col>
      <xdr:colOff>601980</xdr:colOff>
      <xdr:row>24</xdr:row>
      <xdr:rowOff>7620</xdr:rowOff>
    </xdr:to>
    <xdr:cxnSp macro="">
      <xdr:nvCxnSpPr>
        <xdr:cNvPr id="25" name="Straight Arrow Connector 24">
          <a:extLst>
            <a:ext uri="{FF2B5EF4-FFF2-40B4-BE49-F238E27FC236}">
              <a16:creationId xmlns:a16="http://schemas.microsoft.com/office/drawing/2014/main" id="{29A21EE3-8EEE-42C7-B793-DC97A30876ED}"/>
            </a:ext>
          </a:extLst>
        </xdr:cNvPr>
        <xdr:cNvCxnSpPr/>
      </xdr:nvCxnSpPr>
      <xdr:spPr>
        <a:xfrm flipV="1">
          <a:off x="5669280" y="309372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24</xdr:row>
      <xdr:rowOff>91440</xdr:rowOff>
    </xdr:from>
    <xdr:to>
      <xdr:col>6</xdr:col>
      <xdr:colOff>601980</xdr:colOff>
      <xdr:row>24</xdr:row>
      <xdr:rowOff>99060</xdr:rowOff>
    </xdr:to>
    <xdr:cxnSp macro="">
      <xdr:nvCxnSpPr>
        <xdr:cNvPr id="27" name="Straight Arrow Connector 26">
          <a:extLst>
            <a:ext uri="{FF2B5EF4-FFF2-40B4-BE49-F238E27FC236}">
              <a16:creationId xmlns:a16="http://schemas.microsoft.com/office/drawing/2014/main" id="{A4D057E7-8C1E-4D4D-B80B-ED0CE3BA7C36}"/>
            </a:ext>
          </a:extLst>
        </xdr:cNvPr>
        <xdr:cNvCxnSpPr/>
      </xdr:nvCxnSpPr>
      <xdr:spPr>
        <a:xfrm flipV="1">
          <a:off x="5676900" y="3566160"/>
          <a:ext cx="59436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15240</xdr:colOff>
      <xdr:row>27</xdr:row>
      <xdr:rowOff>0</xdr:rowOff>
    </xdr:from>
    <xdr:to>
      <xdr:col>5</xdr:col>
      <xdr:colOff>22860</xdr:colOff>
      <xdr:row>27</xdr:row>
      <xdr:rowOff>45720</xdr:rowOff>
    </xdr:to>
    <xdr:cxnSp macro="">
      <xdr:nvCxnSpPr>
        <xdr:cNvPr id="31" name="Straight Arrow Connector 30">
          <a:extLst>
            <a:ext uri="{FF2B5EF4-FFF2-40B4-BE49-F238E27FC236}">
              <a16:creationId xmlns:a16="http://schemas.microsoft.com/office/drawing/2014/main" id="{EA052EDC-E166-43D8-9258-112F37DAF02E}"/>
            </a:ext>
          </a:extLst>
        </xdr:cNvPr>
        <xdr:cNvCxnSpPr/>
      </xdr:nvCxnSpPr>
      <xdr:spPr>
        <a:xfrm>
          <a:off x="4175760" y="4381500"/>
          <a:ext cx="617220" cy="2362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39</xdr:row>
      <xdr:rowOff>144780</xdr:rowOff>
    </xdr:from>
    <xdr:to>
      <xdr:col>5</xdr:col>
      <xdr:colOff>22860</xdr:colOff>
      <xdr:row>42</xdr:row>
      <xdr:rowOff>15240</xdr:rowOff>
    </xdr:to>
    <xdr:cxnSp macro="">
      <xdr:nvCxnSpPr>
        <xdr:cNvPr id="35" name="Straight Arrow Connector 34">
          <a:extLst>
            <a:ext uri="{FF2B5EF4-FFF2-40B4-BE49-F238E27FC236}">
              <a16:creationId xmlns:a16="http://schemas.microsoft.com/office/drawing/2014/main" id="{954AFE6A-40F1-4AD0-8125-3790DB39080F}"/>
            </a:ext>
          </a:extLst>
        </xdr:cNvPr>
        <xdr:cNvCxnSpPr/>
      </xdr:nvCxnSpPr>
      <xdr:spPr>
        <a:xfrm flipV="1">
          <a:off x="4160520" y="6362700"/>
          <a:ext cx="63246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594360</xdr:colOff>
      <xdr:row>42</xdr:row>
      <xdr:rowOff>175260</xdr:rowOff>
    </xdr:from>
    <xdr:to>
      <xdr:col>3</xdr:col>
      <xdr:colOff>7620</xdr:colOff>
      <xdr:row>51</xdr:row>
      <xdr:rowOff>0</xdr:rowOff>
    </xdr:to>
    <xdr:cxnSp macro="">
      <xdr:nvCxnSpPr>
        <xdr:cNvPr id="39" name="Straight Arrow Connector 38">
          <a:extLst>
            <a:ext uri="{FF2B5EF4-FFF2-40B4-BE49-F238E27FC236}">
              <a16:creationId xmlns:a16="http://schemas.microsoft.com/office/drawing/2014/main" id="{31D46313-B1EE-4EF0-ABFB-656E94CA015E}"/>
            </a:ext>
          </a:extLst>
        </xdr:cNvPr>
        <xdr:cNvCxnSpPr/>
      </xdr:nvCxnSpPr>
      <xdr:spPr>
        <a:xfrm flipV="1">
          <a:off x="2926080" y="6941820"/>
          <a:ext cx="632460" cy="929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xdr:colOff>
      <xdr:row>51</xdr:row>
      <xdr:rowOff>0</xdr:rowOff>
    </xdr:from>
    <xdr:to>
      <xdr:col>2</xdr:col>
      <xdr:colOff>601980</xdr:colOff>
      <xdr:row>58</xdr:row>
      <xdr:rowOff>30480</xdr:rowOff>
    </xdr:to>
    <xdr:cxnSp macro="">
      <xdr:nvCxnSpPr>
        <xdr:cNvPr id="41" name="Straight Arrow Connector 40">
          <a:extLst>
            <a:ext uri="{FF2B5EF4-FFF2-40B4-BE49-F238E27FC236}">
              <a16:creationId xmlns:a16="http://schemas.microsoft.com/office/drawing/2014/main" id="{941FCB67-E069-4A1C-89D8-53097D4C44DD}"/>
            </a:ext>
          </a:extLst>
        </xdr:cNvPr>
        <xdr:cNvCxnSpPr/>
      </xdr:nvCxnSpPr>
      <xdr:spPr>
        <a:xfrm>
          <a:off x="2948940" y="8054340"/>
          <a:ext cx="594360" cy="16687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xdr:colOff>
      <xdr:row>42</xdr:row>
      <xdr:rowOff>129540</xdr:rowOff>
    </xdr:from>
    <xdr:to>
      <xdr:col>5</xdr:col>
      <xdr:colOff>22860</xdr:colOff>
      <xdr:row>45</xdr:row>
      <xdr:rowOff>15240</xdr:rowOff>
    </xdr:to>
    <xdr:cxnSp macro="">
      <xdr:nvCxnSpPr>
        <xdr:cNvPr id="43" name="Straight Arrow Connector 42">
          <a:extLst>
            <a:ext uri="{FF2B5EF4-FFF2-40B4-BE49-F238E27FC236}">
              <a16:creationId xmlns:a16="http://schemas.microsoft.com/office/drawing/2014/main" id="{B7229997-274E-45C7-AEA1-8166C583C60F}"/>
            </a:ext>
          </a:extLst>
        </xdr:cNvPr>
        <xdr:cNvCxnSpPr/>
      </xdr:nvCxnSpPr>
      <xdr:spPr>
        <a:xfrm>
          <a:off x="4168140" y="6896100"/>
          <a:ext cx="624840" cy="4343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36</xdr:row>
      <xdr:rowOff>152400</xdr:rowOff>
    </xdr:from>
    <xdr:to>
      <xdr:col>7</xdr:col>
      <xdr:colOff>22860</xdr:colOff>
      <xdr:row>39</xdr:row>
      <xdr:rowOff>7620</xdr:rowOff>
    </xdr:to>
    <xdr:cxnSp macro="">
      <xdr:nvCxnSpPr>
        <xdr:cNvPr id="47" name="Straight Arrow Connector 46">
          <a:extLst>
            <a:ext uri="{FF2B5EF4-FFF2-40B4-BE49-F238E27FC236}">
              <a16:creationId xmlns:a16="http://schemas.microsoft.com/office/drawing/2014/main" id="{884F9E03-4230-4027-96D3-0A619106E5CA}"/>
            </a:ext>
          </a:extLst>
        </xdr:cNvPr>
        <xdr:cNvCxnSpPr/>
      </xdr:nvCxnSpPr>
      <xdr:spPr>
        <a:xfrm flipV="1">
          <a:off x="5661660" y="5821680"/>
          <a:ext cx="640080"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39</xdr:row>
      <xdr:rowOff>91440</xdr:rowOff>
    </xdr:from>
    <xdr:to>
      <xdr:col>7</xdr:col>
      <xdr:colOff>0</xdr:colOff>
      <xdr:row>39</xdr:row>
      <xdr:rowOff>91440</xdr:rowOff>
    </xdr:to>
    <xdr:cxnSp macro="">
      <xdr:nvCxnSpPr>
        <xdr:cNvPr id="49" name="Straight Arrow Connector 48">
          <a:extLst>
            <a:ext uri="{FF2B5EF4-FFF2-40B4-BE49-F238E27FC236}">
              <a16:creationId xmlns:a16="http://schemas.microsoft.com/office/drawing/2014/main" id="{2C5FD0EF-275A-499B-BA44-400354EA34C0}"/>
            </a:ext>
          </a:extLst>
        </xdr:cNvPr>
        <xdr:cNvCxnSpPr/>
      </xdr:nvCxnSpPr>
      <xdr:spPr>
        <a:xfrm>
          <a:off x="5676900" y="630936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39</xdr:row>
      <xdr:rowOff>167640</xdr:rowOff>
    </xdr:from>
    <xdr:to>
      <xdr:col>7</xdr:col>
      <xdr:colOff>7620</xdr:colOff>
      <xdr:row>42</xdr:row>
      <xdr:rowOff>15240</xdr:rowOff>
    </xdr:to>
    <xdr:cxnSp macro="">
      <xdr:nvCxnSpPr>
        <xdr:cNvPr id="51" name="Straight Arrow Connector 50">
          <a:extLst>
            <a:ext uri="{FF2B5EF4-FFF2-40B4-BE49-F238E27FC236}">
              <a16:creationId xmlns:a16="http://schemas.microsoft.com/office/drawing/2014/main" id="{AC1F9E37-C2BE-4710-83F8-0196C3D74170}"/>
            </a:ext>
          </a:extLst>
        </xdr:cNvPr>
        <xdr:cNvCxnSpPr/>
      </xdr:nvCxnSpPr>
      <xdr:spPr>
        <a:xfrm>
          <a:off x="5676900" y="6385560"/>
          <a:ext cx="60960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594360</xdr:colOff>
      <xdr:row>54</xdr:row>
      <xdr:rowOff>167640</xdr:rowOff>
    </xdr:from>
    <xdr:to>
      <xdr:col>5</xdr:col>
      <xdr:colOff>7620</xdr:colOff>
      <xdr:row>58</xdr:row>
      <xdr:rowOff>0</xdr:rowOff>
    </xdr:to>
    <xdr:cxnSp macro="">
      <xdr:nvCxnSpPr>
        <xdr:cNvPr id="53" name="Straight Arrow Connector 52">
          <a:extLst>
            <a:ext uri="{FF2B5EF4-FFF2-40B4-BE49-F238E27FC236}">
              <a16:creationId xmlns:a16="http://schemas.microsoft.com/office/drawing/2014/main" id="{977433A6-99CD-4D83-9E8D-87E513DE9F9B}"/>
            </a:ext>
          </a:extLst>
        </xdr:cNvPr>
        <xdr:cNvCxnSpPr/>
      </xdr:nvCxnSpPr>
      <xdr:spPr>
        <a:xfrm flipV="1">
          <a:off x="4145280" y="9128760"/>
          <a:ext cx="632460" cy="563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xdr:colOff>
      <xdr:row>51</xdr:row>
      <xdr:rowOff>152400</xdr:rowOff>
    </xdr:from>
    <xdr:to>
      <xdr:col>7</xdr:col>
      <xdr:colOff>30480</xdr:colOff>
      <xdr:row>54</xdr:row>
      <xdr:rowOff>22860</xdr:rowOff>
    </xdr:to>
    <xdr:cxnSp macro="">
      <xdr:nvCxnSpPr>
        <xdr:cNvPr id="55" name="Straight Arrow Connector 54">
          <a:extLst>
            <a:ext uri="{FF2B5EF4-FFF2-40B4-BE49-F238E27FC236}">
              <a16:creationId xmlns:a16="http://schemas.microsoft.com/office/drawing/2014/main" id="{107EEE7C-C4E5-4A97-AA64-8A0DE98D1297}"/>
            </a:ext>
          </a:extLst>
        </xdr:cNvPr>
        <xdr:cNvCxnSpPr/>
      </xdr:nvCxnSpPr>
      <xdr:spPr>
        <a:xfrm flipV="1">
          <a:off x="5684520" y="8564880"/>
          <a:ext cx="62484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54</xdr:row>
      <xdr:rowOff>114300</xdr:rowOff>
    </xdr:from>
    <xdr:to>
      <xdr:col>7</xdr:col>
      <xdr:colOff>15240</xdr:colOff>
      <xdr:row>54</xdr:row>
      <xdr:rowOff>114300</xdr:rowOff>
    </xdr:to>
    <xdr:cxnSp macro="">
      <xdr:nvCxnSpPr>
        <xdr:cNvPr id="57" name="Straight Arrow Connector 56">
          <a:extLst>
            <a:ext uri="{FF2B5EF4-FFF2-40B4-BE49-F238E27FC236}">
              <a16:creationId xmlns:a16="http://schemas.microsoft.com/office/drawing/2014/main" id="{9B62ABE2-2994-483A-B21E-DF01751314D8}"/>
            </a:ext>
          </a:extLst>
        </xdr:cNvPr>
        <xdr:cNvCxnSpPr/>
      </xdr:nvCxnSpPr>
      <xdr:spPr>
        <a:xfrm>
          <a:off x="5661660" y="9075420"/>
          <a:ext cx="6324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57</xdr:row>
      <xdr:rowOff>95250</xdr:rowOff>
    </xdr:from>
    <xdr:to>
      <xdr:col>4</xdr:col>
      <xdr:colOff>598714</xdr:colOff>
      <xdr:row>58</xdr:row>
      <xdr:rowOff>175260</xdr:rowOff>
    </xdr:to>
    <xdr:cxnSp macro="">
      <xdr:nvCxnSpPr>
        <xdr:cNvPr id="61" name="Straight Arrow Connector 60">
          <a:extLst>
            <a:ext uri="{FF2B5EF4-FFF2-40B4-BE49-F238E27FC236}">
              <a16:creationId xmlns:a16="http://schemas.microsoft.com/office/drawing/2014/main" id="{032BFF7C-D19A-4647-8A31-3EEF448A96A9}"/>
            </a:ext>
          </a:extLst>
        </xdr:cNvPr>
        <xdr:cNvCxnSpPr/>
      </xdr:nvCxnSpPr>
      <xdr:spPr>
        <a:xfrm flipV="1">
          <a:off x="2735036" y="8055429"/>
          <a:ext cx="598714" cy="2569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601980</xdr:colOff>
      <xdr:row>75</xdr:row>
      <xdr:rowOff>152400</xdr:rowOff>
    </xdr:from>
    <xdr:to>
      <xdr:col>3</xdr:col>
      <xdr:colOff>7620</xdr:colOff>
      <xdr:row>84</xdr:row>
      <xdr:rowOff>15240</xdr:rowOff>
    </xdr:to>
    <xdr:cxnSp macro="">
      <xdr:nvCxnSpPr>
        <xdr:cNvPr id="124" name="Straight Arrow Connector 123">
          <a:extLst>
            <a:ext uri="{FF2B5EF4-FFF2-40B4-BE49-F238E27FC236}">
              <a16:creationId xmlns:a16="http://schemas.microsoft.com/office/drawing/2014/main" id="{F0C35ECA-EBE0-4F70-9E05-283C5A7C5048}"/>
            </a:ext>
          </a:extLst>
        </xdr:cNvPr>
        <xdr:cNvCxnSpPr/>
      </xdr:nvCxnSpPr>
      <xdr:spPr>
        <a:xfrm flipV="1">
          <a:off x="2933700" y="1798320"/>
          <a:ext cx="624840" cy="9601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xdr:colOff>
      <xdr:row>85</xdr:row>
      <xdr:rowOff>15240</xdr:rowOff>
    </xdr:from>
    <xdr:to>
      <xdr:col>3</xdr:col>
      <xdr:colOff>0</xdr:colOff>
      <xdr:row>91</xdr:row>
      <xdr:rowOff>0</xdr:rowOff>
    </xdr:to>
    <xdr:cxnSp macro="">
      <xdr:nvCxnSpPr>
        <xdr:cNvPr id="125" name="Straight Arrow Connector 124">
          <a:extLst>
            <a:ext uri="{FF2B5EF4-FFF2-40B4-BE49-F238E27FC236}">
              <a16:creationId xmlns:a16="http://schemas.microsoft.com/office/drawing/2014/main" id="{88EE35FD-DB30-406F-9FE2-924A5D61FE3D}"/>
            </a:ext>
          </a:extLst>
        </xdr:cNvPr>
        <xdr:cNvCxnSpPr/>
      </xdr:nvCxnSpPr>
      <xdr:spPr>
        <a:xfrm>
          <a:off x="1395549" y="11867061"/>
          <a:ext cx="604701" cy="1046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72</xdr:row>
      <xdr:rowOff>160020</xdr:rowOff>
    </xdr:from>
    <xdr:to>
      <xdr:col>4</xdr:col>
      <xdr:colOff>601980</xdr:colOff>
      <xdr:row>75</xdr:row>
      <xdr:rowOff>0</xdr:rowOff>
    </xdr:to>
    <xdr:cxnSp macro="">
      <xdr:nvCxnSpPr>
        <xdr:cNvPr id="126" name="Straight Arrow Connector 125">
          <a:extLst>
            <a:ext uri="{FF2B5EF4-FFF2-40B4-BE49-F238E27FC236}">
              <a16:creationId xmlns:a16="http://schemas.microsoft.com/office/drawing/2014/main" id="{5E1054B0-CB4B-41A5-A055-A0C96C183C47}"/>
            </a:ext>
          </a:extLst>
        </xdr:cNvPr>
        <xdr:cNvCxnSpPr/>
      </xdr:nvCxnSpPr>
      <xdr:spPr>
        <a:xfrm flipV="1">
          <a:off x="4160520" y="125730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xdr:colOff>
      <xdr:row>75</xdr:row>
      <xdr:rowOff>99060</xdr:rowOff>
    </xdr:from>
    <xdr:to>
      <xdr:col>5</xdr:col>
      <xdr:colOff>22860</xdr:colOff>
      <xdr:row>78</xdr:row>
      <xdr:rowOff>22860</xdr:rowOff>
    </xdr:to>
    <xdr:cxnSp macro="">
      <xdr:nvCxnSpPr>
        <xdr:cNvPr id="127" name="Straight Arrow Connector 126">
          <a:extLst>
            <a:ext uri="{FF2B5EF4-FFF2-40B4-BE49-F238E27FC236}">
              <a16:creationId xmlns:a16="http://schemas.microsoft.com/office/drawing/2014/main" id="{449461A0-29D9-4E5E-BD4C-70BB100BB617}"/>
            </a:ext>
          </a:extLst>
        </xdr:cNvPr>
        <xdr:cNvCxnSpPr/>
      </xdr:nvCxnSpPr>
      <xdr:spPr>
        <a:xfrm>
          <a:off x="4191000" y="1744980"/>
          <a:ext cx="601980" cy="4724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69</xdr:row>
      <xdr:rowOff>160020</xdr:rowOff>
    </xdr:from>
    <xdr:to>
      <xdr:col>7</xdr:col>
      <xdr:colOff>7620</xdr:colOff>
      <xdr:row>72</xdr:row>
      <xdr:rowOff>0</xdr:rowOff>
    </xdr:to>
    <xdr:cxnSp macro="">
      <xdr:nvCxnSpPr>
        <xdr:cNvPr id="129" name="Straight Arrow Connector 128">
          <a:extLst>
            <a:ext uri="{FF2B5EF4-FFF2-40B4-BE49-F238E27FC236}">
              <a16:creationId xmlns:a16="http://schemas.microsoft.com/office/drawing/2014/main" id="{F24F383F-B994-4CE2-B494-C8912297156D}"/>
            </a:ext>
          </a:extLst>
        </xdr:cNvPr>
        <xdr:cNvCxnSpPr/>
      </xdr:nvCxnSpPr>
      <xdr:spPr>
        <a:xfrm flipV="1">
          <a:off x="5661660" y="70866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72</xdr:row>
      <xdr:rowOff>99060</xdr:rowOff>
    </xdr:from>
    <xdr:to>
      <xdr:col>7</xdr:col>
      <xdr:colOff>22860</xdr:colOff>
      <xdr:row>72</xdr:row>
      <xdr:rowOff>99060</xdr:rowOff>
    </xdr:to>
    <xdr:cxnSp macro="">
      <xdr:nvCxnSpPr>
        <xdr:cNvPr id="130" name="Straight Arrow Connector 129">
          <a:extLst>
            <a:ext uri="{FF2B5EF4-FFF2-40B4-BE49-F238E27FC236}">
              <a16:creationId xmlns:a16="http://schemas.microsoft.com/office/drawing/2014/main" id="{E4942D71-F397-458B-8328-0A11E5C49BFD}"/>
            </a:ext>
          </a:extLst>
        </xdr:cNvPr>
        <xdr:cNvCxnSpPr/>
      </xdr:nvCxnSpPr>
      <xdr:spPr>
        <a:xfrm>
          <a:off x="5676900" y="1196340"/>
          <a:ext cx="62484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73</xdr:row>
      <xdr:rowOff>0</xdr:rowOff>
    </xdr:from>
    <xdr:to>
      <xdr:col>6</xdr:col>
      <xdr:colOff>594360</xdr:colOff>
      <xdr:row>75</xdr:row>
      <xdr:rowOff>22860</xdr:rowOff>
    </xdr:to>
    <xdr:cxnSp macro="">
      <xdr:nvCxnSpPr>
        <xdr:cNvPr id="131" name="Straight Arrow Connector 130">
          <a:extLst>
            <a:ext uri="{FF2B5EF4-FFF2-40B4-BE49-F238E27FC236}">
              <a16:creationId xmlns:a16="http://schemas.microsoft.com/office/drawing/2014/main" id="{1223179C-C5DA-4C1D-BAAD-CA1733FB3367}"/>
            </a:ext>
          </a:extLst>
        </xdr:cNvPr>
        <xdr:cNvCxnSpPr/>
      </xdr:nvCxnSpPr>
      <xdr:spPr>
        <a:xfrm>
          <a:off x="5661660" y="128016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594360</xdr:colOff>
      <xdr:row>88</xdr:row>
      <xdr:rowOff>0</xdr:rowOff>
    </xdr:from>
    <xdr:to>
      <xdr:col>4</xdr:col>
      <xdr:colOff>594360</xdr:colOff>
      <xdr:row>91</xdr:row>
      <xdr:rowOff>0</xdr:rowOff>
    </xdr:to>
    <xdr:cxnSp macro="">
      <xdr:nvCxnSpPr>
        <xdr:cNvPr id="133" name="Straight Arrow Connector 132">
          <a:extLst>
            <a:ext uri="{FF2B5EF4-FFF2-40B4-BE49-F238E27FC236}">
              <a16:creationId xmlns:a16="http://schemas.microsoft.com/office/drawing/2014/main" id="{5111AD62-A468-4FEA-B8F8-25CC6D8819DD}"/>
            </a:ext>
          </a:extLst>
        </xdr:cNvPr>
        <xdr:cNvCxnSpPr/>
      </xdr:nvCxnSpPr>
      <xdr:spPr>
        <a:xfrm flipV="1">
          <a:off x="4145280" y="4008120"/>
          <a:ext cx="609600" cy="563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84</xdr:row>
      <xdr:rowOff>167640</xdr:rowOff>
    </xdr:from>
    <xdr:to>
      <xdr:col>6</xdr:col>
      <xdr:colOff>601980</xdr:colOff>
      <xdr:row>87</xdr:row>
      <xdr:rowOff>7620</xdr:rowOff>
    </xdr:to>
    <xdr:cxnSp macro="">
      <xdr:nvCxnSpPr>
        <xdr:cNvPr id="134" name="Straight Arrow Connector 133">
          <a:extLst>
            <a:ext uri="{FF2B5EF4-FFF2-40B4-BE49-F238E27FC236}">
              <a16:creationId xmlns:a16="http://schemas.microsoft.com/office/drawing/2014/main" id="{2723EC83-4440-47FE-AA7B-A2487E6C760E}"/>
            </a:ext>
          </a:extLst>
        </xdr:cNvPr>
        <xdr:cNvCxnSpPr/>
      </xdr:nvCxnSpPr>
      <xdr:spPr>
        <a:xfrm flipV="1">
          <a:off x="5669280" y="3459480"/>
          <a:ext cx="60198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87</xdr:row>
      <xdr:rowOff>91440</xdr:rowOff>
    </xdr:from>
    <xdr:to>
      <xdr:col>6</xdr:col>
      <xdr:colOff>601980</xdr:colOff>
      <xdr:row>87</xdr:row>
      <xdr:rowOff>99060</xdr:rowOff>
    </xdr:to>
    <xdr:cxnSp macro="">
      <xdr:nvCxnSpPr>
        <xdr:cNvPr id="135" name="Straight Arrow Connector 134">
          <a:extLst>
            <a:ext uri="{FF2B5EF4-FFF2-40B4-BE49-F238E27FC236}">
              <a16:creationId xmlns:a16="http://schemas.microsoft.com/office/drawing/2014/main" id="{4FEDBA54-AB47-49CB-8E31-07C25E0E6199}"/>
            </a:ext>
          </a:extLst>
        </xdr:cNvPr>
        <xdr:cNvCxnSpPr/>
      </xdr:nvCxnSpPr>
      <xdr:spPr>
        <a:xfrm flipV="1">
          <a:off x="5676900" y="3931920"/>
          <a:ext cx="59436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15240</xdr:colOff>
      <xdr:row>90</xdr:row>
      <xdr:rowOff>95250</xdr:rowOff>
    </xdr:from>
    <xdr:to>
      <xdr:col>4</xdr:col>
      <xdr:colOff>544285</xdr:colOff>
      <xdr:row>91</xdr:row>
      <xdr:rowOff>175260</xdr:rowOff>
    </xdr:to>
    <xdr:cxnSp macro="">
      <xdr:nvCxnSpPr>
        <xdr:cNvPr id="137" name="Straight Arrow Connector 136">
          <a:extLst>
            <a:ext uri="{FF2B5EF4-FFF2-40B4-BE49-F238E27FC236}">
              <a16:creationId xmlns:a16="http://schemas.microsoft.com/office/drawing/2014/main" id="{15E5FC30-3F65-4E50-B217-93F1C5E12AF4}"/>
            </a:ext>
          </a:extLst>
        </xdr:cNvPr>
        <xdr:cNvCxnSpPr/>
      </xdr:nvCxnSpPr>
      <xdr:spPr>
        <a:xfrm flipV="1">
          <a:off x="2750276" y="12831536"/>
          <a:ext cx="529045" cy="2569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105</xdr:row>
      <xdr:rowOff>144780</xdr:rowOff>
    </xdr:from>
    <xdr:to>
      <xdr:col>5</xdr:col>
      <xdr:colOff>22860</xdr:colOff>
      <xdr:row>108</xdr:row>
      <xdr:rowOff>15240</xdr:rowOff>
    </xdr:to>
    <xdr:cxnSp macro="">
      <xdr:nvCxnSpPr>
        <xdr:cNvPr id="139" name="Straight Arrow Connector 138">
          <a:extLst>
            <a:ext uri="{FF2B5EF4-FFF2-40B4-BE49-F238E27FC236}">
              <a16:creationId xmlns:a16="http://schemas.microsoft.com/office/drawing/2014/main" id="{094B8F4D-DEEB-4C19-A252-558B8D5940D0}"/>
            </a:ext>
          </a:extLst>
        </xdr:cNvPr>
        <xdr:cNvCxnSpPr/>
      </xdr:nvCxnSpPr>
      <xdr:spPr>
        <a:xfrm flipV="1">
          <a:off x="4160520" y="6728460"/>
          <a:ext cx="63246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594360</xdr:colOff>
      <xdr:row>110</xdr:row>
      <xdr:rowOff>152400</xdr:rowOff>
    </xdr:from>
    <xdr:to>
      <xdr:col>3</xdr:col>
      <xdr:colOff>30480</xdr:colOff>
      <xdr:row>117</xdr:row>
      <xdr:rowOff>7620</xdr:rowOff>
    </xdr:to>
    <xdr:cxnSp macro="">
      <xdr:nvCxnSpPr>
        <xdr:cNvPr id="141" name="Straight Arrow Connector 140">
          <a:extLst>
            <a:ext uri="{FF2B5EF4-FFF2-40B4-BE49-F238E27FC236}">
              <a16:creationId xmlns:a16="http://schemas.microsoft.com/office/drawing/2014/main" id="{47AC9350-1073-4212-89CB-F09C05AFD530}"/>
            </a:ext>
          </a:extLst>
        </xdr:cNvPr>
        <xdr:cNvCxnSpPr/>
      </xdr:nvCxnSpPr>
      <xdr:spPr>
        <a:xfrm flipV="1">
          <a:off x="1371600" y="20269200"/>
          <a:ext cx="655320" cy="11353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7620</xdr:colOff>
      <xdr:row>118</xdr:row>
      <xdr:rowOff>7620</xdr:rowOff>
    </xdr:from>
    <xdr:to>
      <xdr:col>2</xdr:col>
      <xdr:colOff>585107</xdr:colOff>
      <xdr:row>120</xdr:row>
      <xdr:rowOff>163286</xdr:rowOff>
    </xdr:to>
    <xdr:cxnSp macro="">
      <xdr:nvCxnSpPr>
        <xdr:cNvPr id="142" name="Straight Arrow Connector 141">
          <a:extLst>
            <a:ext uri="{FF2B5EF4-FFF2-40B4-BE49-F238E27FC236}">
              <a16:creationId xmlns:a16="http://schemas.microsoft.com/office/drawing/2014/main" id="{977F8843-740C-40FD-912F-585F40E8EFED}"/>
            </a:ext>
          </a:extLst>
        </xdr:cNvPr>
        <xdr:cNvCxnSpPr/>
      </xdr:nvCxnSpPr>
      <xdr:spPr>
        <a:xfrm>
          <a:off x="1395549" y="16635549"/>
          <a:ext cx="577487" cy="509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xdr:colOff>
      <xdr:row>108</xdr:row>
      <xdr:rowOff>129540</xdr:rowOff>
    </xdr:from>
    <xdr:to>
      <xdr:col>5</xdr:col>
      <xdr:colOff>22860</xdr:colOff>
      <xdr:row>111</xdr:row>
      <xdr:rowOff>0</xdr:rowOff>
    </xdr:to>
    <xdr:cxnSp macro="">
      <xdr:nvCxnSpPr>
        <xdr:cNvPr id="143" name="Straight Arrow Connector 142">
          <a:extLst>
            <a:ext uri="{FF2B5EF4-FFF2-40B4-BE49-F238E27FC236}">
              <a16:creationId xmlns:a16="http://schemas.microsoft.com/office/drawing/2014/main" id="{45EEB0B6-DFBE-41F8-8969-A48601328C96}"/>
            </a:ext>
          </a:extLst>
        </xdr:cNvPr>
        <xdr:cNvCxnSpPr/>
      </xdr:nvCxnSpPr>
      <xdr:spPr>
        <a:xfrm>
          <a:off x="4168140" y="7261860"/>
          <a:ext cx="624840" cy="4343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99</xdr:row>
      <xdr:rowOff>152400</xdr:rowOff>
    </xdr:from>
    <xdr:to>
      <xdr:col>7</xdr:col>
      <xdr:colOff>22860</xdr:colOff>
      <xdr:row>102</xdr:row>
      <xdr:rowOff>7620</xdr:rowOff>
    </xdr:to>
    <xdr:cxnSp macro="">
      <xdr:nvCxnSpPr>
        <xdr:cNvPr id="145" name="Straight Arrow Connector 144">
          <a:extLst>
            <a:ext uri="{FF2B5EF4-FFF2-40B4-BE49-F238E27FC236}">
              <a16:creationId xmlns:a16="http://schemas.microsoft.com/office/drawing/2014/main" id="{579305BF-30A4-422D-BC30-0AB14669F282}"/>
            </a:ext>
          </a:extLst>
        </xdr:cNvPr>
        <xdr:cNvCxnSpPr/>
      </xdr:nvCxnSpPr>
      <xdr:spPr>
        <a:xfrm flipV="1">
          <a:off x="5661660" y="6187440"/>
          <a:ext cx="640080"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102</xdr:row>
      <xdr:rowOff>91440</xdr:rowOff>
    </xdr:from>
    <xdr:to>
      <xdr:col>7</xdr:col>
      <xdr:colOff>0</xdr:colOff>
      <xdr:row>102</xdr:row>
      <xdr:rowOff>91440</xdr:rowOff>
    </xdr:to>
    <xdr:cxnSp macro="">
      <xdr:nvCxnSpPr>
        <xdr:cNvPr id="146" name="Straight Arrow Connector 145">
          <a:extLst>
            <a:ext uri="{FF2B5EF4-FFF2-40B4-BE49-F238E27FC236}">
              <a16:creationId xmlns:a16="http://schemas.microsoft.com/office/drawing/2014/main" id="{ADF352E5-98DC-4A47-A92C-A56BD84670FA}"/>
            </a:ext>
          </a:extLst>
        </xdr:cNvPr>
        <xdr:cNvCxnSpPr/>
      </xdr:nvCxnSpPr>
      <xdr:spPr>
        <a:xfrm>
          <a:off x="5676900" y="667512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102</xdr:row>
      <xdr:rowOff>167640</xdr:rowOff>
    </xdr:from>
    <xdr:to>
      <xdr:col>7</xdr:col>
      <xdr:colOff>7620</xdr:colOff>
      <xdr:row>105</xdr:row>
      <xdr:rowOff>15240</xdr:rowOff>
    </xdr:to>
    <xdr:cxnSp macro="">
      <xdr:nvCxnSpPr>
        <xdr:cNvPr id="147" name="Straight Arrow Connector 146">
          <a:extLst>
            <a:ext uri="{FF2B5EF4-FFF2-40B4-BE49-F238E27FC236}">
              <a16:creationId xmlns:a16="http://schemas.microsoft.com/office/drawing/2014/main" id="{379FDA8A-6BD0-47BB-BA51-5E0A65F9C777}"/>
            </a:ext>
          </a:extLst>
        </xdr:cNvPr>
        <xdr:cNvCxnSpPr/>
      </xdr:nvCxnSpPr>
      <xdr:spPr>
        <a:xfrm>
          <a:off x="5676900" y="6751320"/>
          <a:ext cx="60960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40821</xdr:colOff>
      <xdr:row>120</xdr:row>
      <xdr:rowOff>167640</xdr:rowOff>
    </xdr:from>
    <xdr:to>
      <xdr:col>5</xdr:col>
      <xdr:colOff>7620</xdr:colOff>
      <xdr:row>121</xdr:row>
      <xdr:rowOff>122464</xdr:rowOff>
    </xdr:to>
    <xdr:cxnSp macro="">
      <xdr:nvCxnSpPr>
        <xdr:cNvPr id="148" name="Straight Arrow Connector 147">
          <a:extLst>
            <a:ext uri="{FF2B5EF4-FFF2-40B4-BE49-F238E27FC236}">
              <a16:creationId xmlns:a16="http://schemas.microsoft.com/office/drawing/2014/main" id="{73E7D3E3-79D9-40C0-B291-1B60DF40168B}"/>
            </a:ext>
          </a:extLst>
        </xdr:cNvPr>
        <xdr:cNvCxnSpPr/>
      </xdr:nvCxnSpPr>
      <xdr:spPr>
        <a:xfrm flipV="1">
          <a:off x="2775857" y="17149354"/>
          <a:ext cx="579120" cy="13171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xdr:colOff>
      <xdr:row>114</xdr:row>
      <xdr:rowOff>152400</xdr:rowOff>
    </xdr:from>
    <xdr:to>
      <xdr:col>7</xdr:col>
      <xdr:colOff>30480</xdr:colOff>
      <xdr:row>117</xdr:row>
      <xdr:rowOff>22860</xdr:rowOff>
    </xdr:to>
    <xdr:cxnSp macro="">
      <xdr:nvCxnSpPr>
        <xdr:cNvPr id="149" name="Straight Arrow Connector 148">
          <a:extLst>
            <a:ext uri="{FF2B5EF4-FFF2-40B4-BE49-F238E27FC236}">
              <a16:creationId xmlns:a16="http://schemas.microsoft.com/office/drawing/2014/main" id="{15BC78BF-570A-4E3C-BE8E-9FB3E75C1FCB}"/>
            </a:ext>
          </a:extLst>
        </xdr:cNvPr>
        <xdr:cNvCxnSpPr/>
      </xdr:nvCxnSpPr>
      <xdr:spPr>
        <a:xfrm flipV="1">
          <a:off x="5684520" y="8930640"/>
          <a:ext cx="624840" cy="419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891540</xdr:colOff>
      <xdr:row>117</xdr:row>
      <xdr:rowOff>114300</xdr:rowOff>
    </xdr:from>
    <xdr:to>
      <xdr:col>7</xdr:col>
      <xdr:colOff>15240</xdr:colOff>
      <xdr:row>117</xdr:row>
      <xdr:rowOff>114300</xdr:rowOff>
    </xdr:to>
    <xdr:cxnSp macro="">
      <xdr:nvCxnSpPr>
        <xdr:cNvPr id="150" name="Straight Arrow Connector 149">
          <a:extLst>
            <a:ext uri="{FF2B5EF4-FFF2-40B4-BE49-F238E27FC236}">
              <a16:creationId xmlns:a16="http://schemas.microsoft.com/office/drawing/2014/main" id="{1E199B8E-4F11-4BB2-90DA-B037D2140E98}"/>
            </a:ext>
          </a:extLst>
        </xdr:cNvPr>
        <xdr:cNvCxnSpPr/>
      </xdr:nvCxnSpPr>
      <xdr:spPr>
        <a:xfrm>
          <a:off x="5661660" y="9441180"/>
          <a:ext cx="6324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121</xdr:row>
      <xdr:rowOff>175260</xdr:rowOff>
    </xdr:from>
    <xdr:to>
      <xdr:col>5</xdr:col>
      <xdr:colOff>30480</xdr:colOff>
      <xdr:row>123</xdr:row>
      <xdr:rowOff>30480</xdr:rowOff>
    </xdr:to>
    <xdr:cxnSp macro="">
      <xdr:nvCxnSpPr>
        <xdr:cNvPr id="152" name="Straight Arrow Connector 151">
          <a:extLst>
            <a:ext uri="{FF2B5EF4-FFF2-40B4-BE49-F238E27FC236}">
              <a16:creationId xmlns:a16="http://schemas.microsoft.com/office/drawing/2014/main" id="{96526850-833B-4D1B-8F30-56A0443901BC}"/>
            </a:ext>
          </a:extLst>
        </xdr:cNvPr>
        <xdr:cNvCxnSpPr/>
      </xdr:nvCxnSpPr>
      <xdr:spPr>
        <a:xfrm>
          <a:off x="4160520" y="10233660"/>
          <a:ext cx="640080" cy="2209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39</xdr:row>
      <xdr:rowOff>99060</xdr:rowOff>
    </xdr:from>
    <xdr:to>
      <xdr:col>7</xdr:col>
      <xdr:colOff>22860</xdr:colOff>
      <xdr:row>39</xdr:row>
      <xdr:rowOff>99060</xdr:rowOff>
    </xdr:to>
    <xdr:cxnSp macro="">
      <xdr:nvCxnSpPr>
        <xdr:cNvPr id="184" name="Straight Arrow Connector 183">
          <a:extLst>
            <a:ext uri="{FF2B5EF4-FFF2-40B4-BE49-F238E27FC236}">
              <a16:creationId xmlns:a16="http://schemas.microsoft.com/office/drawing/2014/main" id="{76F26FEE-14F3-4E57-A2BD-3EAC2F1DC087}"/>
            </a:ext>
          </a:extLst>
        </xdr:cNvPr>
        <xdr:cNvCxnSpPr/>
      </xdr:nvCxnSpPr>
      <xdr:spPr>
        <a:xfrm>
          <a:off x="5676900" y="1196340"/>
          <a:ext cx="62484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73</xdr:row>
      <xdr:rowOff>7620</xdr:rowOff>
    </xdr:from>
    <xdr:to>
      <xdr:col>7</xdr:col>
      <xdr:colOff>22860</xdr:colOff>
      <xdr:row>75</xdr:row>
      <xdr:rowOff>38100</xdr:rowOff>
    </xdr:to>
    <xdr:cxnSp macro="">
      <xdr:nvCxnSpPr>
        <xdr:cNvPr id="191" name="Straight Arrow Connector 190">
          <a:extLst>
            <a:ext uri="{FF2B5EF4-FFF2-40B4-BE49-F238E27FC236}">
              <a16:creationId xmlns:a16="http://schemas.microsoft.com/office/drawing/2014/main" id="{7654BAF6-5331-4F4F-93B6-CA22EEB7D98C}"/>
            </a:ext>
          </a:extLst>
        </xdr:cNvPr>
        <xdr:cNvCxnSpPr/>
      </xdr:nvCxnSpPr>
      <xdr:spPr>
        <a:xfrm>
          <a:off x="5676900" y="17746980"/>
          <a:ext cx="62484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72</xdr:row>
      <xdr:rowOff>114300</xdr:rowOff>
    </xdr:from>
    <xdr:to>
      <xdr:col>7</xdr:col>
      <xdr:colOff>7620</xdr:colOff>
      <xdr:row>72</xdr:row>
      <xdr:rowOff>114300</xdr:rowOff>
    </xdr:to>
    <xdr:cxnSp macro="">
      <xdr:nvCxnSpPr>
        <xdr:cNvPr id="192" name="Straight Arrow Connector 191">
          <a:extLst>
            <a:ext uri="{FF2B5EF4-FFF2-40B4-BE49-F238E27FC236}">
              <a16:creationId xmlns:a16="http://schemas.microsoft.com/office/drawing/2014/main" id="{580AE273-3E8D-48F0-ADCA-A73C56B851D7}"/>
            </a:ext>
          </a:extLst>
        </xdr:cNvPr>
        <xdr:cNvCxnSpPr/>
      </xdr:nvCxnSpPr>
      <xdr:spPr>
        <a:xfrm>
          <a:off x="5676900" y="17670780"/>
          <a:ext cx="609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xdr:colOff>
      <xdr:row>73</xdr:row>
      <xdr:rowOff>7620</xdr:rowOff>
    </xdr:from>
    <xdr:to>
      <xdr:col>7</xdr:col>
      <xdr:colOff>30480</xdr:colOff>
      <xdr:row>75</xdr:row>
      <xdr:rowOff>15240</xdr:rowOff>
    </xdr:to>
    <xdr:cxnSp macro="">
      <xdr:nvCxnSpPr>
        <xdr:cNvPr id="193" name="Straight Arrow Connector 192">
          <a:extLst>
            <a:ext uri="{FF2B5EF4-FFF2-40B4-BE49-F238E27FC236}">
              <a16:creationId xmlns:a16="http://schemas.microsoft.com/office/drawing/2014/main" id="{AC563FA0-CE7A-4E2E-B06C-13CE348D5AB7}"/>
            </a:ext>
          </a:extLst>
        </xdr:cNvPr>
        <xdr:cNvCxnSpPr/>
      </xdr:nvCxnSpPr>
      <xdr:spPr>
        <a:xfrm>
          <a:off x="5684520" y="17746980"/>
          <a:ext cx="624840" cy="3733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72</xdr:row>
      <xdr:rowOff>167640</xdr:rowOff>
    </xdr:from>
    <xdr:to>
      <xdr:col>7</xdr:col>
      <xdr:colOff>7620</xdr:colOff>
      <xdr:row>75</xdr:row>
      <xdr:rowOff>15240</xdr:rowOff>
    </xdr:to>
    <xdr:cxnSp macro="">
      <xdr:nvCxnSpPr>
        <xdr:cNvPr id="194" name="Straight Arrow Connector 193">
          <a:extLst>
            <a:ext uri="{FF2B5EF4-FFF2-40B4-BE49-F238E27FC236}">
              <a16:creationId xmlns:a16="http://schemas.microsoft.com/office/drawing/2014/main" id="{51FA575A-15B6-422A-BF5C-DDDCDF6CD267}"/>
            </a:ext>
          </a:extLst>
        </xdr:cNvPr>
        <xdr:cNvCxnSpPr/>
      </xdr:nvCxnSpPr>
      <xdr:spPr>
        <a:xfrm>
          <a:off x="5676900" y="17724120"/>
          <a:ext cx="60960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72</xdr:row>
      <xdr:rowOff>99060</xdr:rowOff>
    </xdr:from>
    <xdr:to>
      <xdr:col>7</xdr:col>
      <xdr:colOff>22860</xdr:colOff>
      <xdr:row>72</xdr:row>
      <xdr:rowOff>99060</xdr:rowOff>
    </xdr:to>
    <xdr:cxnSp macro="">
      <xdr:nvCxnSpPr>
        <xdr:cNvPr id="195" name="Straight Arrow Connector 194">
          <a:extLst>
            <a:ext uri="{FF2B5EF4-FFF2-40B4-BE49-F238E27FC236}">
              <a16:creationId xmlns:a16="http://schemas.microsoft.com/office/drawing/2014/main" id="{0B14F57B-3F81-406C-8E61-58C0AC767EEE}"/>
            </a:ext>
          </a:extLst>
        </xdr:cNvPr>
        <xdr:cNvCxnSpPr/>
      </xdr:nvCxnSpPr>
      <xdr:spPr>
        <a:xfrm>
          <a:off x="5676900" y="17655540"/>
          <a:ext cx="62484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102</xdr:row>
      <xdr:rowOff>99060</xdr:rowOff>
    </xdr:from>
    <xdr:to>
      <xdr:col>7</xdr:col>
      <xdr:colOff>22860</xdr:colOff>
      <xdr:row>102</xdr:row>
      <xdr:rowOff>99060</xdr:rowOff>
    </xdr:to>
    <xdr:cxnSp macro="">
      <xdr:nvCxnSpPr>
        <xdr:cNvPr id="196" name="Straight Arrow Connector 195">
          <a:extLst>
            <a:ext uri="{FF2B5EF4-FFF2-40B4-BE49-F238E27FC236}">
              <a16:creationId xmlns:a16="http://schemas.microsoft.com/office/drawing/2014/main" id="{3890BC49-CB2E-47C4-B67D-E4A4AAFA278B}"/>
            </a:ext>
          </a:extLst>
        </xdr:cNvPr>
        <xdr:cNvCxnSpPr/>
      </xdr:nvCxnSpPr>
      <xdr:spPr>
        <a:xfrm>
          <a:off x="5676900" y="23507700"/>
          <a:ext cx="62484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103</xdr:row>
      <xdr:rowOff>7620</xdr:rowOff>
    </xdr:from>
    <xdr:to>
      <xdr:col>7</xdr:col>
      <xdr:colOff>22860</xdr:colOff>
      <xdr:row>105</xdr:row>
      <xdr:rowOff>38100</xdr:rowOff>
    </xdr:to>
    <xdr:cxnSp macro="">
      <xdr:nvCxnSpPr>
        <xdr:cNvPr id="197" name="Straight Arrow Connector 196">
          <a:extLst>
            <a:ext uri="{FF2B5EF4-FFF2-40B4-BE49-F238E27FC236}">
              <a16:creationId xmlns:a16="http://schemas.microsoft.com/office/drawing/2014/main" id="{E14D15D5-C67A-4A1C-B9C3-77A66529EF17}"/>
            </a:ext>
          </a:extLst>
        </xdr:cNvPr>
        <xdr:cNvCxnSpPr/>
      </xdr:nvCxnSpPr>
      <xdr:spPr>
        <a:xfrm>
          <a:off x="5676900" y="23599140"/>
          <a:ext cx="62484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102</xdr:row>
      <xdr:rowOff>114300</xdr:rowOff>
    </xdr:from>
    <xdr:to>
      <xdr:col>7</xdr:col>
      <xdr:colOff>7620</xdr:colOff>
      <xdr:row>102</xdr:row>
      <xdr:rowOff>114300</xdr:rowOff>
    </xdr:to>
    <xdr:cxnSp macro="">
      <xdr:nvCxnSpPr>
        <xdr:cNvPr id="198" name="Straight Arrow Connector 197">
          <a:extLst>
            <a:ext uri="{FF2B5EF4-FFF2-40B4-BE49-F238E27FC236}">
              <a16:creationId xmlns:a16="http://schemas.microsoft.com/office/drawing/2014/main" id="{C2CD6A1B-22E4-41AB-8BF7-156030B8D7EE}"/>
            </a:ext>
          </a:extLst>
        </xdr:cNvPr>
        <xdr:cNvCxnSpPr/>
      </xdr:nvCxnSpPr>
      <xdr:spPr>
        <a:xfrm>
          <a:off x="5676900" y="23522940"/>
          <a:ext cx="609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xdr:colOff>
      <xdr:row>103</xdr:row>
      <xdr:rowOff>7620</xdr:rowOff>
    </xdr:from>
    <xdr:to>
      <xdr:col>7</xdr:col>
      <xdr:colOff>30480</xdr:colOff>
      <xdr:row>105</xdr:row>
      <xdr:rowOff>15240</xdr:rowOff>
    </xdr:to>
    <xdr:cxnSp macro="">
      <xdr:nvCxnSpPr>
        <xdr:cNvPr id="199" name="Straight Arrow Connector 198">
          <a:extLst>
            <a:ext uri="{FF2B5EF4-FFF2-40B4-BE49-F238E27FC236}">
              <a16:creationId xmlns:a16="http://schemas.microsoft.com/office/drawing/2014/main" id="{09B5CCCB-151E-4672-8535-960EAB641BFA}"/>
            </a:ext>
          </a:extLst>
        </xdr:cNvPr>
        <xdr:cNvCxnSpPr/>
      </xdr:nvCxnSpPr>
      <xdr:spPr>
        <a:xfrm>
          <a:off x="5684520" y="23599140"/>
          <a:ext cx="624840" cy="3733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xdr:colOff>
      <xdr:row>102</xdr:row>
      <xdr:rowOff>167640</xdr:rowOff>
    </xdr:from>
    <xdr:to>
      <xdr:col>7</xdr:col>
      <xdr:colOff>7620</xdr:colOff>
      <xdr:row>105</xdr:row>
      <xdr:rowOff>15240</xdr:rowOff>
    </xdr:to>
    <xdr:cxnSp macro="">
      <xdr:nvCxnSpPr>
        <xdr:cNvPr id="200" name="Straight Arrow Connector 199">
          <a:extLst>
            <a:ext uri="{FF2B5EF4-FFF2-40B4-BE49-F238E27FC236}">
              <a16:creationId xmlns:a16="http://schemas.microsoft.com/office/drawing/2014/main" id="{68F9DD64-4E65-4C77-8637-C774496F01A0}"/>
            </a:ext>
          </a:extLst>
        </xdr:cNvPr>
        <xdr:cNvCxnSpPr/>
      </xdr:nvCxnSpPr>
      <xdr:spPr>
        <a:xfrm>
          <a:off x="5676900" y="23576280"/>
          <a:ext cx="609600" cy="396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117</xdr:row>
      <xdr:rowOff>40822</xdr:rowOff>
    </xdr:from>
    <xdr:to>
      <xdr:col>5</xdr:col>
      <xdr:colOff>0</xdr:colOff>
      <xdr:row>121</xdr:row>
      <xdr:rowOff>27214</xdr:rowOff>
    </xdr:to>
    <xdr:cxnSp macro="">
      <xdr:nvCxnSpPr>
        <xdr:cNvPr id="201" name="Straight Arrow Connector 200">
          <a:extLst>
            <a:ext uri="{FF2B5EF4-FFF2-40B4-BE49-F238E27FC236}">
              <a16:creationId xmlns:a16="http://schemas.microsoft.com/office/drawing/2014/main" id="{82D21DBC-A69A-46DC-865B-CECDBD05E706}"/>
            </a:ext>
          </a:extLst>
        </xdr:cNvPr>
        <xdr:cNvCxnSpPr/>
      </xdr:nvCxnSpPr>
      <xdr:spPr>
        <a:xfrm flipV="1">
          <a:off x="2735036" y="16491858"/>
          <a:ext cx="612321" cy="6939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22860</xdr:colOff>
      <xdr:row>27</xdr:row>
      <xdr:rowOff>0</xdr:rowOff>
    </xdr:from>
    <xdr:to>
      <xdr:col>5</xdr:col>
      <xdr:colOff>22860</xdr:colOff>
      <xdr:row>30</xdr:row>
      <xdr:rowOff>15240</xdr:rowOff>
    </xdr:to>
    <xdr:cxnSp macro="">
      <xdr:nvCxnSpPr>
        <xdr:cNvPr id="202" name="Straight Arrow Connector 201">
          <a:extLst>
            <a:ext uri="{FF2B5EF4-FFF2-40B4-BE49-F238E27FC236}">
              <a16:creationId xmlns:a16="http://schemas.microsoft.com/office/drawing/2014/main" id="{168C18CA-6854-4C6F-A67F-F57FB3955032}"/>
            </a:ext>
          </a:extLst>
        </xdr:cNvPr>
        <xdr:cNvCxnSpPr/>
      </xdr:nvCxnSpPr>
      <xdr:spPr>
        <a:xfrm>
          <a:off x="2461260" y="4937760"/>
          <a:ext cx="609600" cy="563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22860</xdr:colOff>
      <xdr:row>59</xdr:row>
      <xdr:rowOff>175260</xdr:rowOff>
    </xdr:from>
    <xdr:to>
      <xdr:col>4</xdr:col>
      <xdr:colOff>544285</xdr:colOff>
      <xdr:row>60</xdr:row>
      <xdr:rowOff>13607</xdr:rowOff>
    </xdr:to>
    <xdr:cxnSp macro="">
      <xdr:nvCxnSpPr>
        <xdr:cNvPr id="204" name="Straight Arrow Connector 203">
          <a:extLst>
            <a:ext uri="{FF2B5EF4-FFF2-40B4-BE49-F238E27FC236}">
              <a16:creationId xmlns:a16="http://schemas.microsoft.com/office/drawing/2014/main" id="{007EA385-3F92-4A0A-9BBD-8E5187D0564A}"/>
            </a:ext>
          </a:extLst>
        </xdr:cNvPr>
        <xdr:cNvCxnSpPr/>
      </xdr:nvCxnSpPr>
      <xdr:spPr>
        <a:xfrm>
          <a:off x="2757896" y="8489224"/>
          <a:ext cx="521425" cy="15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xdr:colOff>
      <xdr:row>93</xdr:row>
      <xdr:rowOff>15240</xdr:rowOff>
    </xdr:from>
    <xdr:to>
      <xdr:col>5</xdr:col>
      <xdr:colOff>40822</xdr:colOff>
      <xdr:row>93</xdr:row>
      <xdr:rowOff>95250</xdr:rowOff>
    </xdr:to>
    <xdr:cxnSp macro="">
      <xdr:nvCxnSpPr>
        <xdr:cNvPr id="206" name="Straight Arrow Connector 205">
          <a:extLst>
            <a:ext uri="{FF2B5EF4-FFF2-40B4-BE49-F238E27FC236}">
              <a16:creationId xmlns:a16="http://schemas.microsoft.com/office/drawing/2014/main" id="{23B7A4BA-457B-401D-8865-C74AA3EEEA4D}"/>
            </a:ext>
          </a:extLst>
        </xdr:cNvPr>
        <xdr:cNvCxnSpPr/>
      </xdr:nvCxnSpPr>
      <xdr:spPr>
        <a:xfrm>
          <a:off x="2742656" y="13282204"/>
          <a:ext cx="645523" cy="800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312420</xdr:colOff>
      <xdr:row>21</xdr:row>
      <xdr:rowOff>0</xdr:rowOff>
    </xdr:from>
    <xdr:to>
      <xdr:col>1</xdr:col>
      <xdr:colOff>15240</xdr:colOff>
      <xdr:row>27</xdr:row>
      <xdr:rowOff>0</xdr:rowOff>
    </xdr:to>
    <xdr:cxnSp macro="">
      <xdr:nvCxnSpPr>
        <xdr:cNvPr id="212" name="Straight Arrow Connector 211">
          <a:extLst>
            <a:ext uri="{FF2B5EF4-FFF2-40B4-BE49-F238E27FC236}">
              <a16:creationId xmlns:a16="http://schemas.microsoft.com/office/drawing/2014/main" id="{01F06C3C-EFF4-4C76-B8FC-A958EC325824}"/>
            </a:ext>
          </a:extLst>
        </xdr:cNvPr>
        <xdr:cNvCxnSpPr/>
      </xdr:nvCxnSpPr>
      <xdr:spPr>
        <a:xfrm flipV="1">
          <a:off x="312420" y="3063240"/>
          <a:ext cx="388620" cy="18440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297180</xdr:colOff>
      <xdr:row>29</xdr:row>
      <xdr:rowOff>45720</xdr:rowOff>
    </xdr:from>
    <xdr:to>
      <xdr:col>0</xdr:col>
      <xdr:colOff>678180</xdr:colOff>
      <xdr:row>51</xdr:row>
      <xdr:rowOff>0</xdr:rowOff>
    </xdr:to>
    <xdr:cxnSp macro="">
      <xdr:nvCxnSpPr>
        <xdr:cNvPr id="216" name="Straight Arrow Connector 215">
          <a:extLst>
            <a:ext uri="{FF2B5EF4-FFF2-40B4-BE49-F238E27FC236}">
              <a16:creationId xmlns:a16="http://schemas.microsoft.com/office/drawing/2014/main" id="{6B7CB613-A2EA-4BA3-BFCC-89B790712189}"/>
            </a:ext>
          </a:extLst>
        </xdr:cNvPr>
        <xdr:cNvCxnSpPr/>
      </xdr:nvCxnSpPr>
      <xdr:spPr>
        <a:xfrm>
          <a:off x="297180" y="5349240"/>
          <a:ext cx="381000" cy="29108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3</xdr:row>
      <xdr:rowOff>160020</xdr:rowOff>
    </xdr:from>
    <xdr:to>
      <xdr:col>9</xdr:col>
      <xdr:colOff>7620</xdr:colOff>
      <xdr:row>6</xdr:row>
      <xdr:rowOff>0</xdr:rowOff>
    </xdr:to>
    <xdr:cxnSp macro="">
      <xdr:nvCxnSpPr>
        <xdr:cNvPr id="63" name="Straight Arrow Connector 62">
          <a:extLst>
            <a:ext uri="{FF2B5EF4-FFF2-40B4-BE49-F238E27FC236}">
              <a16:creationId xmlns:a16="http://schemas.microsoft.com/office/drawing/2014/main" id="{A7C4F1AB-614F-4464-AD86-C7DB6C522C30}"/>
            </a:ext>
          </a:extLst>
        </xdr:cNvPr>
        <xdr:cNvCxnSpPr/>
      </xdr:nvCxnSpPr>
      <xdr:spPr>
        <a:xfrm flipV="1">
          <a:off x="6103620" y="70866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7620</xdr:colOff>
      <xdr:row>6</xdr:row>
      <xdr:rowOff>91440</xdr:rowOff>
    </xdr:from>
    <xdr:to>
      <xdr:col>9</xdr:col>
      <xdr:colOff>0</xdr:colOff>
      <xdr:row>6</xdr:row>
      <xdr:rowOff>91440</xdr:rowOff>
    </xdr:to>
    <xdr:cxnSp macro="">
      <xdr:nvCxnSpPr>
        <xdr:cNvPr id="64" name="Straight Arrow Connector 63">
          <a:extLst>
            <a:ext uri="{FF2B5EF4-FFF2-40B4-BE49-F238E27FC236}">
              <a16:creationId xmlns:a16="http://schemas.microsoft.com/office/drawing/2014/main" id="{E80732A3-473D-4D22-8580-BDC274EED6D0}"/>
            </a:ext>
          </a:extLst>
        </xdr:cNvPr>
        <xdr:cNvCxnSpPr/>
      </xdr:nvCxnSpPr>
      <xdr:spPr>
        <a:xfrm>
          <a:off x="6118860" y="118872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33</xdr:row>
      <xdr:rowOff>160020</xdr:rowOff>
    </xdr:from>
    <xdr:to>
      <xdr:col>9</xdr:col>
      <xdr:colOff>7620</xdr:colOff>
      <xdr:row>36</xdr:row>
      <xdr:rowOff>0</xdr:rowOff>
    </xdr:to>
    <xdr:cxnSp macro="">
      <xdr:nvCxnSpPr>
        <xdr:cNvPr id="66" name="Straight Arrow Connector 65">
          <a:extLst>
            <a:ext uri="{FF2B5EF4-FFF2-40B4-BE49-F238E27FC236}">
              <a16:creationId xmlns:a16="http://schemas.microsoft.com/office/drawing/2014/main" id="{2B24864F-59A8-48C8-A98D-0253F62A6243}"/>
            </a:ext>
          </a:extLst>
        </xdr:cNvPr>
        <xdr:cNvCxnSpPr/>
      </xdr:nvCxnSpPr>
      <xdr:spPr>
        <a:xfrm flipV="1">
          <a:off x="6103620" y="564642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22860</xdr:colOff>
      <xdr:row>36</xdr:row>
      <xdr:rowOff>76200</xdr:rowOff>
    </xdr:from>
    <xdr:to>
      <xdr:col>9</xdr:col>
      <xdr:colOff>15240</xdr:colOff>
      <xdr:row>36</xdr:row>
      <xdr:rowOff>76200</xdr:rowOff>
    </xdr:to>
    <xdr:cxnSp macro="">
      <xdr:nvCxnSpPr>
        <xdr:cNvPr id="67" name="Straight Arrow Connector 66">
          <a:extLst>
            <a:ext uri="{FF2B5EF4-FFF2-40B4-BE49-F238E27FC236}">
              <a16:creationId xmlns:a16="http://schemas.microsoft.com/office/drawing/2014/main" id="{BF79C49F-42CA-4952-BAB2-24025EA9EED9}"/>
            </a:ext>
          </a:extLst>
        </xdr:cNvPr>
        <xdr:cNvCxnSpPr/>
      </xdr:nvCxnSpPr>
      <xdr:spPr>
        <a:xfrm>
          <a:off x="6134100" y="611124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69</xdr:row>
      <xdr:rowOff>76200</xdr:rowOff>
    </xdr:from>
    <xdr:to>
      <xdr:col>8</xdr:col>
      <xdr:colOff>594360</xdr:colOff>
      <xdr:row>69</xdr:row>
      <xdr:rowOff>76200</xdr:rowOff>
    </xdr:to>
    <xdr:cxnSp macro="">
      <xdr:nvCxnSpPr>
        <xdr:cNvPr id="68" name="Straight Arrow Connector 67">
          <a:extLst>
            <a:ext uri="{FF2B5EF4-FFF2-40B4-BE49-F238E27FC236}">
              <a16:creationId xmlns:a16="http://schemas.microsoft.com/office/drawing/2014/main" id="{EF242827-C16C-4B05-AA95-1FDBA56549CF}"/>
            </a:ext>
          </a:extLst>
        </xdr:cNvPr>
        <xdr:cNvCxnSpPr/>
      </xdr:nvCxnSpPr>
      <xdr:spPr>
        <a:xfrm>
          <a:off x="6103620" y="1159764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66</xdr:row>
      <xdr:rowOff>129540</xdr:rowOff>
    </xdr:from>
    <xdr:to>
      <xdr:col>9</xdr:col>
      <xdr:colOff>7620</xdr:colOff>
      <xdr:row>68</xdr:row>
      <xdr:rowOff>152400</xdr:rowOff>
    </xdr:to>
    <xdr:cxnSp macro="">
      <xdr:nvCxnSpPr>
        <xdr:cNvPr id="69" name="Straight Arrow Connector 68">
          <a:extLst>
            <a:ext uri="{FF2B5EF4-FFF2-40B4-BE49-F238E27FC236}">
              <a16:creationId xmlns:a16="http://schemas.microsoft.com/office/drawing/2014/main" id="{26B973C6-8CEA-476D-B78C-DBDADD5C6458}"/>
            </a:ext>
          </a:extLst>
        </xdr:cNvPr>
        <xdr:cNvCxnSpPr/>
      </xdr:nvCxnSpPr>
      <xdr:spPr>
        <a:xfrm flipV="1">
          <a:off x="6103620" y="1110234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38100</xdr:colOff>
      <xdr:row>96</xdr:row>
      <xdr:rowOff>114300</xdr:rowOff>
    </xdr:from>
    <xdr:to>
      <xdr:col>9</xdr:col>
      <xdr:colOff>53340</xdr:colOff>
      <xdr:row>98</xdr:row>
      <xdr:rowOff>137160</xdr:rowOff>
    </xdr:to>
    <xdr:cxnSp macro="">
      <xdr:nvCxnSpPr>
        <xdr:cNvPr id="70" name="Straight Arrow Connector 69">
          <a:extLst>
            <a:ext uri="{FF2B5EF4-FFF2-40B4-BE49-F238E27FC236}">
              <a16:creationId xmlns:a16="http://schemas.microsoft.com/office/drawing/2014/main" id="{8E504A1F-0726-45EE-AB3C-5CF6679963BB}"/>
            </a:ext>
          </a:extLst>
        </xdr:cNvPr>
        <xdr:cNvCxnSpPr/>
      </xdr:nvCxnSpPr>
      <xdr:spPr>
        <a:xfrm flipV="1">
          <a:off x="6149340" y="1602486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7620</xdr:colOff>
      <xdr:row>99</xdr:row>
      <xdr:rowOff>91440</xdr:rowOff>
    </xdr:from>
    <xdr:to>
      <xdr:col>9</xdr:col>
      <xdr:colOff>0</xdr:colOff>
      <xdr:row>99</xdr:row>
      <xdr:rowOff>91440</xdr:rowOff>
    </xdr:to>
    <xdr:cxnSp macro="">
      <xdr:nvCxnSpPr>
        <xdr:cNvPr id="71" name="Straight Arrow Connector 70">
          <a:extLst>
            <a:ext uri="{FF2B5EF4-FFF2-40B4-BE49-F238E27FC236}">
              <a16:creationId xmlns:a16="http://schemas.microsoft.com/office/drawing/2014/main" id="{55E35EBB-EAA6-4624-BC3B-D3C8AA7C814C}"/>
            </a:ext>
          </a:extLst>
        </xdr:cNvPr>
        <xdr:cNvCxnSpPr/>
      </xdr:nvCxnSpPr>
      <xdr:spPr>
        <a:xfrm>
          <a:off x="6118860" y="1655064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18</xdr:row>
      <xdr:rowOff>144780</xdr:rowOff>
    </xdr:from>
    <xdr:to>
      <xdr:col>9</xdr:col>
      <xdr:colOff>7620</xdr:colOff>
      <xdr:row>20</xdr:row>
      <xdr:rowOff>167640</xdr:rowOff>
    </xdr:to>
    <xdr:cxnSp macro="">
      <xdr:nvCxnSpPr>
        <xdr:cNvPr id="72" name="Straight Arrow Connector 71">
          <a:extLst>
            <a:ext uri="{FF2B5EF4-FFF2-40B4-BE49-F238E27FC236}">
              <a16:creationId xmlns:a16="http://schemas.microsoft.com/office/drawing/2014/main" id="{7F841B95-CB56-4BF9-98C7-F7B94E9E1356}"/>
            </a:ext>
          </a:extLst>
        </xdr:cNvPr>
        <xdr:cNvCxnSpPr/>
      </xdr:nvCxnSpPr>
      <xdr:spPr>
        <a:xfrm flipV="1">
          <a:off x="6103620" y="343662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1226820</xdr:colOff>
      <xdr:row>21</xdr:row>
      <xdr:rowOff>121920</xdr:rowOff>
    </xdr:from>
    <xdr:to>
      <xdr:col>8</xdr:col>
      <xdr:colOff>579120</xdr:colOff>
      <xdr:row>21</xdr:row>
      <xdr:rowOff>121920</xdr:rowOff>
    </xdr:to>
    <xdr:cxnSp macro="">
      <xdr:nvCxnSpPr>
        <xdr:cNvPr id="74" name="Straight Arrow Connector 73">
          <a:extLst>
            <a:ext uri="{FF2B5EF4-FFF2-40B4-BE49-F238E27FC236}">
              <a16:creationId xmlns:a16="http://schemas.microsoft.com/office/drawing/2014/main" id="{245F8893-97D9-4E32-B25B-E79799ED185D}"/>
            </a:ext>
          </a:extLst>
        </xdr:cNvPr>
        <xdr:cNvCxnSpPr/>
      </xdr:nvCxnSpPr>
      <xdr:spPr>
        <a:xfrm>
          <a:off x="6088380" y="396240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48</xdr:row>
      <xdr:rowOff>144780</xdr:rowOff>
    </xdr:from>
    <xdr:to>
      <xdr:col>9</xdr:col>
      <xdr:colOff>7620</xdr:colOff>
      <xdr:row>50</xdr:row>
      <xdr:rowOff>167640</xdr:rowOff>
    </xdr:to>
    <xdr:cxnSp macro="">
      <xdr:nvCxnSpPr>
        <xdr:cNvPr id="75" name="Straight Arrow Connector 74">
          <a:extLst>
            <a:ext uri="{FF2B5EF4-FFF2-40B4-BE49-F238E27FC236}">
              <a16:creationId xmlns:a16="http://schemas.microsoft.com/office/drawing/2014/main" id="{03CC71C9-A688-4378-99A7-62C419FF7D25}"/>
            </a:ext>
          </a:extLst>
        </xdr:cNvPr>
        <xdr:cNvCxnSpPr/>
      </xdr:nvCxnSpPr>
      <xdr:spPr>
        <a:xfrm flipV="1">
          <a:off x="6103620" y="343662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1226820</xdr:colOff>
      <xdr:row>51</xdr:row>
      <xdr:rowOff>121920</xdr:rowOff>
    </xdr:from>
    <xdr:to>
      <xdr:col>8</xdr:col>
      <xdr:colOff>579120</xdr:colOff>
      <xdr:row>51</xdr:row>
      <xdr:rowOff>121920</xdr:rowOff>
    </xdr:to>
    <xdr:cxnSp macro="">
      <xdr:nvCxnSpPr>
        <xdr:cNvPr id="76" name="Straight Arrow Connector 75">
          <a:extLst>
            <a:ext uri="{FF2B5EF4-FFF2-40B4-BE49-F238E27FC236}">
              <a16:creationId xmlns:a16="http://schemas.microsoft.com/office/drawing/2014/main" id="{4DA5EFBA-EDE8-4EDC-9BD2-2E32DBE247D8}"/>
            </a:ext>
          </a:extLst>
        </xdr:cNvPr>
        <xdr:cNvCxnSpPr/>
      </xdr:nvCxnSpPr>
      <xdr:spPr>
        <a:xfrm>
          <a:off x="6088380" y="396240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81</xdr:row>
      <xdr:rowOff>144780</xdr:rowOff>
    </xdr:from>
    <xdr:to>
      <xdr:col>9</xdr:col>
      <xdr:colOff>7620</xdr:colOff>
      <xdr:row>83</xdr:row>
      <xdr:rowOff>167640</xdr:rowOff>
    </xdr:to>
    <xdr:cxnSp macro="">
      <xdr:nvCxnSpPr>
        <xdr:cNvPr id="77" name="Straight Arrow Connector 76">
          <a:extLst>
            <a:ext uri="{FF2B5EF4-FFF2-40B4-BE49-F238E27FC236}">
              <a16:creationId xmlns:a16="http://schemas.microsoft.com/office/drawing/2014/main" id="{B6F9E03A-A5A9-4FF3-8A06-AE1A9FEA2991}"/>
            </a:ext>
          </a:extLst>
        </xdr:cNvPr>
        <xdr:cNvCxnSpPr/>
      </xdr:nvCxnSpPr>
      <xdr:spPr>
        <a:xfrm flipV="1">
          <a:off x="6103620" y="892302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1226820</xdr:colOff>
      <xdr:row>84</xdr:row>
      <xdr:rowOff>121920</xdr:rowOff>
    </xdr:from>
    <xdr:to>
      <xdr:col>8</xdr:col>
      <xdr:colOff>579120</xdr:colOff>
      <xdr:row>84</xdr:row>
      <xdr:rowOff>121920</xdr:rowOff>
    </xdr:to>
    <xdr:cxnSp macro="">
      <xdr:nvCxnSpPr>
        <xdr:cNvPr id="78" name="Straight Arrow Connector 77">
          <a:extLst>
            <a:ext uri="{FF2B5EF4-FFF2-40B4-BE49-F238E27FC236}">
              <a16:creationId xmlns:a16="http://schemas.microsoft.com/office/drawing/2014/main" id="{60EBD83F-F902-4574-BFED-2971E96CB562}"/>
            </a:ext>
          </a:extLst>
        </xdr:cNvPr>
        <xdr:cNvCxnSpPr/>
      </xdr:nvCxnSpPr>
      <xdr:spPr>
        <a:xfrm>
          <a:off x="6088380" y="944880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1242060</xdr:colOff>
      <xdr:row>111</xdr:row>
      <xdr:rowOff>144780</xdr:rowOff>
    </xdr:from>
    <xdr:to>
      <xdr:col>9</xdr:col>
      <xdr:colOff>7620</xdr:colOff>
      <xdr:row>113</xdr:row>
      <xdr:rowOff>167640</xdr:rowOff>
    </xdr:to>
    <xdr:cxnSp macro="">
      <xdr:nvCxnSpPr>
        <xdr:cNvPr id="79" name="Straight Arrow Connector 78">
          <a:extLst>
            <a:ext uri="{FF2B5EF4-FFF2-40B4-BE49-F238E27FC236}">
              <a16:creationId xmlns:a16="http://schemas.microsoft.com/office/drawing/2014/main" id="{190F57EF-84F8-4970-B4CF-BB699BFAA9A6}"/>
            </a:ext>
          </a:extLst>
        </xdr:cNvPr>
        <xdr:cNvCxnSpPr/>
      </xdr:nvCxnSpPr>
      <xdr:spPr>
        <a:xfrm flipV="1">
          <a:off x="6103620" y="14958060"/>
          <a:ext cx="624840" cy="388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1226820</xdr:colOff>
      <xdr:row>114</xdr:row>
      <xdr:rowOff>121920</xdr:rowOff>
    </xdr:from>
    <xdr:to>
      <xdr:col>8</xdr:col>
      <xdr:colOff>579120</xdr:colOff>
      <xdr:row>114</xdr:row>
      <xdr:rowOff>121920</xdr:rowOff>
    </xdr:to>
    <xdr:cxnSp macro="">
      <xdr:nvCxnSpPr>
        <xdr:cNvPr id="80" name="Straight Arrow Connector 79">
          <a:extLst>
            <a:ext uri="{FF2B5EF4-FFF2-40B4-BE49-F238E27FC236}">
              <a16:creationId xmlns:a16="http://schemas.microsoft.com/office/drawing/2014/main" id="{3FD6270D-FE9A-44F7-929D-2EBE4AEDE8F8}"/>
            </a:ext>
          </a:extLst>
        </xdr:cNvPr>
        <xdr:cNvCxnSpPr/>
      </xdr:nvCxnSpPr>
      <xdr:spPr>
        <a:xfrm>
          <a:off x="6088380" y="15483840"/>
          <a:ext cx="60198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childrencount.uct.ac.za/indicator.php?domain=2&amp;indicator=1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ealthcostinstitute.org/health-care-cost-and-utilization-report/annual-repor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C29" sqref="C29"/>
    </sheetView>
  </sheetViews>
  <sheetFormatPr defaultRowHeight="14.4" x14ac:dyDescent="0.3"/>
  <cols>
    <col min="1" max="1" width="16.21875" bestFit="1" customWidth="1"/>
  </cols>
  <sheetData>
    <row r="1" spans="1:2" x14ac:dyDescent="0.3">
      <c r="A1" s="4" t="s">
        <v>13</v>
      </c>
    </row>
    <row r="4" spans="1:2" x14ac:dyDescent="0.3">
      <c r="A4" s="5" t="s">
        <v>33</v>
      </c>
    </row>
    <row r="5" spans="1:2" x14ac:dyDescent="0.3">
      <c r="A5" s="6" t="s">
        <v>26</v>
      </c>
      <c r="B5" t="s">
        <v>27</v>
      </c>
    </row>
    <row r="6" spans="1:2" x14ac:dyDescent="0.3">
      <c r="A6" s="6" t="s">
        <v>14</v>
      </c>
      <c r="B6" t="s">
        <v>15</v>
      </c>
    </row>
    <row r="7" spans="1:2" x14ac:dyDescent="0.3">
      <c r="A7" s="6" t="s">
        <v>10</v>
      </c>
      <c r="B7" t="s">
        <v>16</v>
      </c>
    </row>
    <row r="8" spans="1:2" x14ac:dyDescent="0.3">
      <c r="A8" s="6" t="s">
        <v>17</v>
      </c>
      <c r="B8" t="s">
        <v>19</v>
      </c>
    </row>
    <row r="9" spans="1:2" x14ac:dyDescent="0.3">
      <c r="A9" s="6" t="s">
        <v>12</v>
      </c>
      <c r="B9" t="s">
        <v>18</v>
      </c>
    </row>
    <row r="11" spans="1:2" x14ac:dyDescent="0.3">
      <c r="A11" s="11" t="s">
        <v>28</v>
      </c>
    </row>
    <row r="12" spans="1:2" x14ac:dyDescent="0.3">
      <c r="A12" s="10" t="s">
        <v>29</v>
      </c>
    </row>
    <row r="13" spans="1:2" x14ac:dyDescent="0.3">
      <c r="A13" s="10" t="s">
        <v>30</v>
      </c>
    </row>
  </sheetData>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1"/>
  <sheetViews>
    <sheetView workbookViewId="0">
      <selection activeCell="B4" sqref="B4"/>
    </sheetView>
  </sheetViews>
  <sheetFormatPr defaultRowHeight="14.4" x14ac:dyDescent="0.3"/>
  <cols>
    <col min="1" max="1" width="36.77734375" bestFit="1" customWidth="1"/>
    <col min="2" max="2" width="37.109375" bestFit="1" customWidth="1"/>
    <col min="4" max="5" width="11.77734375" bestFit="1" customWidth="1"/>
  </cols>
  <sheetData>
    <row r="1" spans="1:5" x14ac:dyDescent="0.3">
      <c r="A1" s="95" t="s">
        <v>221</v>
      </c>
      <c r="B1" s="41" t="s">
        <v>699</v>
      </c>
    </row>
    <row r="3" spans="1:5" ht="20.399999999999999" x14ac:dyDescent="0.3">
      <c r="A3" s="41" t="s">
        <v>698</v>
      </c>
      <c r="B3">
        <v>0.13300000000000001</v>
      </c>
      <c r="C3" s="119" t="s">
        <v>712</v>
      </c>
    </row>
    <row r="4" spans="1:5" x14ac:dyDescent="0.3">
      <c r="A4" s="41" t="s">
        <v>697</v>
      </c>
      <c r="B4">
        <f>B6</f>
        <v>65.5</v>
      </c>
    </row>
    <row r="5" spans="1:5" x14ac:dyDescent="0.3">
      <c r="A5" s="41" t="s">
        <v>696</v>
      </c>
      <c r="B5">
        <f>B6-0</f>
        <v>65.5</v>
      </c>
      <c r="C5" t="s">
        <v>714</v>
      </c>
    </row>
    <row r="6" spans="1:5" x14ac:dyDescent="0.3">
      <c r="A6" s="41" t="s">
        <v>713</v>
      </c>
      <c r="B6" s="41">
        <f>Average_life_expectancy_at_birth</f>
        <v>65.5</v>
      </c>
    </row>
    <row r="7" spans="1:5" x14ac:dyDescent="0.3">
      <c r="A7" s="41"/>
    </row>
    <row r="8" spans="1:5" x14ac:dyDescent="0.3">
      <c r="A8" s="41" t="s">
        <v>693</v>
      </c>
      <c r="B8" s="41">
        <v>0</v>
      </c>
    </row>
    <row r="9" spans="1:5" x14ac:dyDescent="0.3">
      <c r="A9" s="41" t="s">
        <v>694</v>
      </c>
      <c r="B9" s="41">
        <f>E81</f>
        <v>0.53465956747782661</v>
      </c>
    </row>
    <row r="10" spans="1:5" x14ac:dyDescent="0.3">
      <c r="A10" s="107" t="s">
        <v>65</v>
      </c>
      <c r="B10" s="107">
        <f>B8+B9</f>
        <v>0.53465956747782661</v>
      </c>
    </row>
    <row r="12" spans="1:5" x14ac:dyDescent="0.3">
      <c r="A12" s="41" t="s">
        <v>262</v>
      </c>
      <c r="B12" s="41"/>
      <c r="C12" s="41"/>
      <c r="D12" s="41"/>
      <c r="E12" s="41"/>
    </row>
    <row r="13" spans="1:5" x14ac:dyDescent="0.3">
      <c r="A13" s="107" t="s">
        <v>708</v>
      </c>
      <c r="B13" s="107" t="s">
        <v>706</v>
      </c>
      <c r="C13" s="107" t="s">
        <v>709</v>
      </c>
      <c r="D13" s="107" t="s">
        <v>701</v>
      </c>
      <c r="E13" s="107" t="s">
        <v>710</v>
      </c>
    </row>
    <row r="14" spans="1:5" x14ac:dyDescent="0.3">
      <c r="A14" s="41">
        <v>1</v>
      </c>
      <c r="B14" s="41">
        <v>0</v>
      </c>
      <c r="C14" s="41">
        <v>0</v>
      </c>
      <c r="D14" s="41">
        <f>1/(1+0.05)^B14</f>
        <v>1</v>
      </c>
      <c r="E14" s="41">
        <f>Parameters!$B$257*D14</f>
        <v>0.13300000000000001</v>
      </c>
    </row>
    <row r="15" spans="1:5" x14ac:dyDescent="0.3">
      <c r="A15" s="41">
        <v>2</v>
      </c>
      <c r="B15" s="41">
        <v>1</v>
      </c>
      <c r="C15" s="41">
        <f>B15-B14</f>
        <v>1</v>
      </c>
      <c r="D15" s="41">
        <f t="shared" ref="D15:D78" si="0">1/(1+0.05)^B15</f>
        <v>0.95238095238095233</v>
      </c>
      <c r="E15" s="41">
        <f>Parameters!$B$257*D15</f>
        <v>0.12666666666666668</v>
      </c>
    </row>
    <row r="16" spans="1:5" x14ac:dyDescent="0.3">
      <c r="A16" s="41">
        <v>3</v>
      </c>
      <c r="B16" s="41">
        <v>2</v>
      </c>
      <c r="C16" s="41">
        <f t="shared" ref="C16:C43" si="1">B16-B15</f>
        <v>1</v>
      </c>
      <c r="D16" s="41">
        <f t="shared" si="0"/>
        <v>0.90702947845804982</v>
      </c>
      <c r="E16" s="41">
        <f>Parameters!$B$257*D16</f>
        <v>0.12063492063492064</v>
      </c>
    </row>
    <row r="17" spans="1:5" x14ac:dyDescent="0.3">
      <c r="A17" s="41">
        <v>4</v>
      </c>
      <c r="B17" s="41">
        <v>3</v>
      </c>
      <c r="C17" s="41">
        <f t="shared" si="1"/>
        <v>1</v>
      </c>
      <c r="D17" s="41">
        <f t="shared" si="0"/>
        <v>0.86383759853147601</v>
      </c>
      <c r="E17" s="41">
        <f>Parameters!$B$257*D17</f>
        <v>0.11489040060468632</v>
      </c>
    </row>
    <row r="18" spans="1:5" x14ac:dyDescent="0.3">
      <c r="A18" s="41">
        <v>5</v>
      </c>
      <c r="B18" s="41">
        <v>4</v>
      </c>
      <c r="C18" s="41">
        <f t="shared" si="1"/>
        <v>1</v>
      </c>
      <c r="D18" s="41">
        <f t="shared" si="0"/>
        <v>0.82270247479188197</v>
      </c>
      <c r="E18" s="41">
        <f>Parameters!$B$257*D18</f>
        <v>0.10941942914732031</v>
      </c>
    </row>
    <row r="19" spans="1:5" x14ac:dyDescent="0.3">
      <c r="A19" s="41">
        <v>6</v>
      </c>
      <c r="B19" s="41">
        <v>5</v>
      </c>
      <c r="C19" s="41">
        <f t="shared" si="1"/>
        <v>1</v>
      </c>
      <c r="D19" s="41">
        <f t="shared" si="0"/>
        <v>0.78352616646845896</v>
      </c>
      <c r="E19" s="41">
        <f>Parameters!$B$257*D19</f>
        <v>0.10420898014030505</v>
      </c>
    </row>
    <row r="20" spans="1:5" x14ac:dyDescent="0.3">
      <c r="A20" s="41">
        <v>7</v>
      </c>
      <c r="B20" s="41">
        <v>6</v>
      </c>
      <c r="C20" s="41">
        <f t="shared" si="1"/>
        <v>1</v>
      </c>
      <c r="D20" s="41">
        <f t="shared" si="0"/>
        <v>0.74621539663662761</v>
      </c>
      <c r="E20" s="41">
        <f>Parameters!$B$257*D20</f>
        <v>9.9246647752671474E-2</v>
      </c>
    </row>
    <row r="21" spans="1:5" x14ac:dyDescent="0.3">
      <c r="A21" s="41">
        <v>8</v>
      </c>
      <c r="B21" s="41">
        <v>7</v>
      </c>
      <c r="C21" s="41">
        <f t="shared" si="1"/>
        <v>1</v>
      </c>
      <c r="D21" s="41">
        <f t="shared" si="0"/>
        <v>0.71068133013012147</v>
      </c>
      <c r="E21" s="41">
        <f>Parameters!$B$257*D21</f>
        <v>9.4520616907306163E-2</v>
      </c>
    </row>
    <row r="22" spans="1:5" x14ac:dyDescent="0.3">
      <c r="A22" s="41">
        <v>9</v>
      </c>
      <c r="B22" s="41">
        <v>8</v>
      </c>
      <c r="C22" s="41">
        <f t="shared" si="1"/>
        <v>1</v>
      </c>
      <c r="D22" s="41">
        <f t="shared" si="0"/>
        <v>0.67683936202868722</v>
      </c>
      <c r="E22" s="41">
        <f>Parameters!$B$257*D22</f>
        <v>9.0019635149815411E-2</v>
      </c>
    </row>
    <row r="23" spans="1:5" x14ac:dyDescent="0.3">
      <c r="A23" s="41">
        <v>10</v>
      </c>
      <c r="B23" s="41">
        <v>9</v>
      </c>
      <c r="C23" s="41">
        <f t="shared" si="1"/>
        <v>1</v>
      </c>
      <c r="D23" s="41">
        <f t="shared" si="0"/>
        <v>0.64460891621779726</v>
      </c>
      <c r="E23" s="41">
        <f>Parameters!$B$257*D23</f>
        <v>8.5732985856967037E-2</v>
      </c>
    </row>
    <row r="24" spans="1:5" x14ac:dyDescent="0.3">
      <c r="A24" s="41">
        <v>11</v>
      </c>
      <c r="B24" s="41">
        <v>10</v>
      </c>
      <c r="C24" s="41">
        <f t="shared" si="1"/>
        <v>1</v>
      </c>
      <c r="D24" s="41">
        <f t="shared" si="0"/>
        <v>0.61391325354075932</v>
      </c>
      <c r="E24" s="41">
        <f>Parameters!$B$257*D24</f>
        <v>8.1650462720920997E-2</v>
      </c>
    </row>
    <row r="25" spans="1:5" x14ac:dyDescent="0.3">
      <c r="A25" s="41">
        <v>12</v>
      </c>
      <c r="B25" s="41">
        <v>11</v>
      </c>
      <c r="C25" s="41">
        <f t="shared" si="1"/>
        <v>1</v>
      </c>
      <c r="D25" s="41">
        <f t="shared" si="0"/>
        <v>0.5846792890864374</v>
      </c>
      <c r="E25" s="41">
        <f>Parameters!$B$257*D25</f>
        <v>7.7762345448496181E-2</v>
      </c>
    </row>
    <row r="26" spans="1:5" x14ac:dyDescent="0.3">
      <c r="A26" s="41">
        <v>13</v>
      </c>
      <c r="B26" s="41">
        <v>12</v>
      </c>
      <c r="C26" s="41">
        <f t="shared" si="1"/>
        <v>1</v>
      </c>
      <c r="D26" s="41">
        <f t="shared" si="0"/>
        <v>0.5568374181775595</v>
      </c>
      <c r="E26" s="41">
        <f>Parameters!$B$257*D26</f>
        <v>7.4059376617615413E-2</v>
      </c>
    </row>
    <row r="27" spans="1:5" x14ac:dyDescent="0.3">
      <c r="A27" s="41">
        <v>14</v>
      </c>
      <c r="B27" s="41">
        <v>13</v>
      </c>
      <c r="C27" s="41">
        <f t="shared" si="1"/>
        <v>1</v>
      </c>
      <c r="D27" s="41">
        <f t="shared" si="0"/>
        <v>0.53032135064529462</v>
      </c>
      <c r="E27" s="41">
        <f>Parameters!$B$257*D27</f>
        <v>7.0532739635824182E-2</v>
      </c>
    </row>
    <row r="28" spans="1:5" x14ac:dyDescent="0.3">
      <c r="A28" s="41">
        <v>15</v>
      </c>
      <c r="B28" s="41">
        <v>14</v>
      </c>
      <c r="C28" s="41">
        <f t="shared" si="1"/>
        <v>1</v>
      </c>
      <c r="D28" s="41">
        <f t="shared" si="0"/>
        <v>0.50506795299551888</v>
      </c>
      <c r="E28" s="41">
        <f>Parameters!$B$257*D28</f>
        <v>6.7174037748404011E-2</v>
      </c>
    </row>
    <row r="29" spans="1:5" x14ac:dyDescent="0.3">
      <c r="A29" s="41">
        <v>16</v>
      </c>
      <c r="B29" s="41">
        <v>15</v>
      </c>
      <c r="C29" s="41">
        <f t="shared" si="1"/>
        <v>1</v>
      </c>
      <c r="D29" s="41">
        <f t="shared" si="0"/>
        <v>0.48101709809097021</v>
      </c>
      <c r="E29" s="41">
        <f>Parameters!$B$257*D29</f>
        <v>6.397527404609904E-2</v>
      </c>
    </row>
    <row r="30" spans="1:5" x14ac:dyDescent="0.3">
      <c r="A30" s="41">
        <v>17</v>
      </c>
      <c r="B30" s="41">
        <v>16</v>
      </c>
      <c r="C30" s="41">
        <f t="shared" si="1"/>
        <v>1</v>
      </c>
      <c r="D30" s="41">
        <f t="shared" si="0"/>
        <v>0.45811152199140021</v>
      </c>
      <c r="E30" s="41">
        <f>Parameters!$B$257*D30</f>
        <v>6.0928832424856229E-2</v>
      </c>
    </row>
    <row r="31" spans="1:5" x14ac:dyDescent="0.3">
      <c r="A31" s="41">
        <v>18</v>
      </c>
      <c r="B31" s="41">
        <v>17</v>
      </c>
      <c r="C31" s="41">
        <f t="shared" si="1"/>
        <v>1</v>
      </c>
      <c r="D31" s="41">
        <f t="shared" si="0"/>
        <v>0.43629668761085727</v>
      </c>
      <c r="E31" s="41">
        <f>Parameters!$B$257*D31</f>
        <v>5.8027459452244023E-2</v>
      </c>
    </row>
    <row r="32" spans="1:5" x14ac:dyDescent="0.3">
      <c r="A32" s="41">
        <v>19</v>
      </c>
      <c r="B32" s="41">
        <v>18</v>
      </c>
      <c r="C32" s="41">
        <f t="shared" si="1"/>
        <v>1</v>
      </c>
      <c r="D32" s="41">
        <f t="shared" si="0"/>
        <v>0.41552065486748313</v>
      </c>
      <c r="E32" s="41">
        <f>Parameters!$B$257*D32</f>
        <v>5.5264247097375256E-2</v>
      </c>
    </row>
    <row r="33" spans="1:5" x14ac:dyDescent="0.3">
      <c r="A33" s="41">
        <v>20</v>
      </c>
      <c r="B33" s="41">
        <v>19</v>
      </c>
      <c r="C33" s="41">
        <f t="shared" si="1"/>
        <v>1</v>
      </c>
      <c r="D33" s="41">
        <f t="shared" si="0"/>
        <v>0.39573395701665059</v>
      </c>
      <c r="E33" s="41">
        <f>Parameters!$B$257*D33</f>
        <v>5.2632616283214535E-2</v>
      </c>
    </row>
    <row r="34" spans="1:5" x14ac:dyDescent="0.3">
      <c r="A34" s="41">
        <v>21</v>
      </c>
      <c r="B34" s="41">
        <v>20</v>
      </c>
      <c r="C34" s="41">
        <f t="shared" si="1"/>
        <v>1</v>
      </c>
      <c r="D34" s="41">
        <f t="shared" si="0"/>
        <v>0.37688948287300061</v>
      </c>
      <c r="E34" s="41">
        <f>Parameters!$B$257*D34</f>
        <v>5.0126301222109086E-2</v>
      </c>
    </row>
    <row r="35" spans="1:5" x14ac:dyDescent="0.3">
      <c r="A35" s="41">
        <v>22</v>
      </c>
      <c r="B35" s="41">
        <v>21</v>
      </c>
      <c r="C35" s="41">
        <f t="shared" si="1"/>
        <v>1</v>
      </c>
      <c r="D35" s="41">
        <f t="shared" si="0"/>
        <v>0.35894236464095297</v>
      </c>
      <c r="E35" s="41">
        <f>Parameters!$B$257*D35</f>
        <v>4.7739334497246745E-2</v>
      </c>
    </row>
    <row r="36" spans="1:5" x14ac:dyDescent="0.3">
      <c r="A36" s="41">
        <v>23</v>
      </c>
      <c r="B36" s="41">
        <v>22</v>
      </c>
      <c r="C36" s="41">
        <f t="shared" si="1"/>
        <v>1</v>
      </c>
      <c r="D36" s="41">
        <f t="shared" si="0"/>
        <v>0.3418498710866219</v>
      </c>
      <c r="E36" s="41">
        <f>Parameters!$B$257*D36</f>
        <v>4.5466032854520715E-2</v>
      </c>
    </row>
    <row r="37" spans="1:5" x14ac:dyDescent="0.3">
      <c r="A37" s="41">
        <v>24</v>
      </c>
      <c r="B37" s="41">
        <v>23</v>
      </c>
      <c r="C37" s="41">
        <f t="shared" si="1"/>
        <v>1</v>
      </c>
      <c r="D37" s="41">
        <f t="shared" si="0"/>
        <v>0.32557130579678267</v>
      </c>
      <c r="E37" s="41">
        <f>Parameters!$B$257*D37</f>
        <v>4.3300983670972099E-2</v>
      </c>
    </row>
    <row r="38" spans="1:5" x14ac:dyDescent="0.3">
      <c r="A38" s="41">
        <v>25</v>
      </c>
      <c r="B38" s="41">
        <v>24</v>
      </c>
      <c r="C38" s="41">
        <f t="shared" si="1"/>
        <v>1</v>
      </c>
      <c r="D38" s="41">
        <f t="shared" si="0"/>
        <v>0.31006791028265024</v>
      </c>
      <c r="E38" s="41">
        <f>Parameters!$B$257*D38</f>
        <v>4.1239032067592482E-2</v>
      </c>
    </row>
    <row r="39" spans="1:5" x14ac:dyDescent="0.3">
      <c r="A39" s="41">
        <v>26</v>
      </c>
      <c r="B39" s="41">
        <v>25</v>
      </c>
      <c r="C39" s="41">
        <f t="shared" si="1"/>
        <v>1</v>
      </c>
      <c r="D39" s="41">
        <f t="shared" si="0"/>
        <v>0.29530277169776209</v>
      </c>
      <c r="E39" s="41">
        <f>Parameters!$B$257*D39</f>
        <v>3.9275268635802357E-2</v>
      </c>
    </row>
    <row r="40" spans="1:5" x14ac:dyDescent="0.3">
      <c r="A40" s="41">
        <v>27</v>
      </c>
      <c r="B40" s="41">
        <v>26</v>
      </c>
      <c r="C40" s="41">
        <f t="shared" si="1"/>
        <v>1</v>
      </c>
      <c r="D40" s="41">
        <f t="shared" si="0"/>
        <v>0.28124073495024959</v>
      </c>
      <c r="E40" s="41">
        <f>Parameters!$B$257*D40</f>
        <v>3.7405017748383201E-2</v>
      </c>
    </row>
    <row r="41" spans="1:5" x14ac:dyDescent="0.3">
      <c r="A41" s="41">
        <v>28</v>
      </c>
      <c r="B41" s="41">
        <v>27</v>
      </c>
      <c r="C41" s="41">
        <f t="shared" si="1"/>
        <v>1</v>
      </c>
      <c r="D41" s="41">
        <f t="shared" si="0"/>
        <v>0.2678483190002377</v>
      </c>
      <c r="E41" s="41">
        <f>Parameters!$B$257*D41</f>
        <v>3.5623826427031616E-2</v>
      </c>
    </row>
    <row r="42" spans="1:5" x14ac:dyDescent="0.3">
      <c r="A42" s="41">
        <v>29</v>
      </c>
      <c r="B42" s="41">
        <v>28</v>
      </c>
      <c r="C42" s="41">
        <f t="shared" si="1"/>
        <v>1</v>
      </c>
      <c r="D42" s="41">
        <f t="shared" si="0"/>
        <v>0.25509363714308358</v>
      </c>
      <c r="E42" s="41">
        <f>Parameters!$B$257*D42</f>
        <v>3.3927453740030117E-2</v>
      </c>
    </row>
    <row r="43" spans="1:5" x14ac:dyDescent="0.3">
      <c r="A43" s="41">
        <v>30</v>
      </c>
      <c r="B43" s="41">
        <v>29</v>
      </c>
      <c r="C43" s="41">
        <f t="shared" si="1"/>
        <v>1</v>
      </c>
      <c r="D43" s="41">
        <f t="shared" si="0"/>
        <v>0.24294632108865097</v>
      </c>
      <c r="E43" s="41">
        <f>Parameters!$B$257*D43</f>
        <v>3.2311860704790578E-2</v>
      </c>
    </row>
    <row r="44" spans="1:5" x14ac:dyDescent="0.3">
      <c r="A44" s="41">
        <v>31</v>
      </c>
      <c r="B44" s="41">
        <v>30</v>
      </c>
      <c r="C44" s="41">
        <v>0</v>
      </c>
      <c r="D44" s="41">
        <f t="shared" si="0"/>
        <v>0.23137744865585813</v>
      </c>
      <c r="E44" s="41">
        <f>Parameters!$B$257*D44</f>
        <v>3.0773200671229132E-2</v>
      </c>
    </row>
    <row r="45" spans="1:5" x14ac:dyDescent="0.3">
      <c r="A45" s="41">
        <v>32</v>
      </c>
      <c r="B45" s="41">
        <v>31</v>
      </c>
      <c r="C45" s="41">
        <f>B45-B44</f>
        <v>1</v>
      </c>
      <c r="D45" s="41">
        <f t="shared" si="0"/>
        <v>0.220359474910341</v>
      </c>
      <c r="E45" s="41">
        <f>Parameters!$B$257*D45</f>
        <v>2.9307810163075355E-2</v>
      </c>
    </row>
    <row r="46" spans="1:5" x14ac:dyDescent="0.3">
      <c r="A46" s="41">
        <v>33</v>
      </c>
      <c r="B46" s="41">
        <v>32</v>
      </c>
      <c r="C46" s="41">
        <f t="shared" ref="C46:C79" si="2">B46-B45</f>
        <v>1</v>
      </c>
      <c r="D46" s="41">
        <f t="shared" si="0"/>
        <v>0.20986616658127716</v>
      </c>
      <c r="E46" s="41">
        <f>Parameters!$B$257*D46</f>
        <v>2.7912200155309864E-2</v>
      </c>
    </row>
    <row r="47" spans="1:5" x14ac:dyDescent="0.3">
      <c r="A47" s="41">
        <v>34</v>
      </c>
      <c r="B47" s="41">
        <v>33</v>
      </c>
      <c r="C47" s="41">
        <f t="shared" si="2"/>
        <v>1</v>
      </c>
      <c r="D47" s="41">
        <f t="shared" si="0"/>
        <v>0.19987253960121634</v>
      </c>
      <c r="E47" s="41">
        <f>Parameters!$B$257*D47</f>
        <v>2.6583047766961774E-2</v>
      </c>
    </row>
    <row r="48" spans="1:5" x14ac:dyDescent="0.3">
      <c r="A48" s="41">
        <v>35</v>
      </c>
      <c r="B48" s="41">
        <v>34</v>
      </c>
      <c r="C48" s="41">
        <f t="shared" si="2"/>
        <v>1</v>
      </c>
      <c r="D48" s="41">
        <f t="shared" si="0"/>
        <v>0.19035479962020604</v>
      </c>
      <c r="E48" s="41">
        <f>Parameters!$B$257*D48</f>
        <v>2.5317188349487405E-2</v>
      </c>
    </row>
    <row r="49" spans="1:5" x14ac:dyDescent="0.3">
      <c r="A49" s="41">
        <v>36</v>
      </c>
      <c r="B49" s="41">
        <v>35</v>
      </c>
      <c r="C49" s="41">
        <f t="shared" si="2"/>
        <v>1</v>
      </c>
      <c r="D49" s="41">
        <f t="shared" si="0"/>
        <v>0.18129028535257716</v>
      </c>
      <c r="E49" s="41">
        <f>Parameters!$B$257*D49</f>
        <v>2.4111607951892763E-2</v>
      </c>
    </row>
    <row r="50" spans="1:5" x14ac:dyDescent="0.3">
      <c r="A50" s="41">
        <v>37</v>
      </c>
      <c r="B50" s="41">
        <v>36</v>
      </c>
      <c r="C50" s="41">
        <f t="shared" si="2"/>
        <v>1</v>
      </c>
      <c r="D50" s="41">
        <f t="shared" si="0"/>
        <v>0.17265741462150208</v>
      </c>
      <c r="E50" s="41">
        <f>Parameters!$B$257*D50</f>
        <v>2.2963436144659777E-2</v>
      </c>
    </row>
    <row r="51" spans="1:5" x14ac:dyDescent="0.3">
      <c r="A51" s="41">
        <v>38</v>
      </c>
      <c r="B51" s="41">
        <v>37</v>
      </c>
      <c r="C51" s="41">
        <f t="shared" si="2"/>
        <v>1</v>
      </c>
      <c r="D51" s="41">
        <f t="shared" si="0"/>
        <v>0.1644356329728591</v>
      </c>
      <c r="E51" s="41">
        <f>Parameters!$B$257*D51</f>
        <v>2.186993918539026E-2</v>
      </c>
    </row>
    <row r="52" spans="1:5" x14ac:dyDescent="0.3">
      <c r="A52" s="41">
        <v>39</v>
      </c>
      <c r="B52" s="41">
        <v>38</v>
      </c>
      <c r="C52" s="41">
        <f t="shared" si="2"/>
        <v>1</v>
      </c>
      <c r="D52" s="41">
        <f t="shared" si="0"/>
        <v>0.15660536473605632</v>
      </c>
      <c r="E52" s="41">
        <f>Parameters!$B$257*D52</f>
        <v>2.0828513509895494E-2</v>
      </c>
    </row>
    <row r="53" spans="1:5" x14ac:dyDescent="0.3">
      <c r="A53" s="41">
        <v>40</v>
      </c>
      <c r="B53" s="41">
        <v>39</v>
      </c>
      <c r="C53" s="41">
        <f t="shared" si="2"/>
        <v>1</v>
      </c>
      <c r="D53" s="41">
        <f t="shared" si="0"/>
        <v>0.14914796641529171</v>
      </c>
      <c r="E53" s="41">
        <f>Parameters!$B$257*D53</f>
        <v>1.98366795332338E-2</v>
      </c>
    </row>
    <row r="54" spans="1:5" x14ac:dyDescent="0.3">
      <c r="A54" s="41">
        <v>41</v>
      </c>
      <c r="B54" s="41">
        <v>40</v>
      </c>
      <c r="C54" s="41">
        <f t="shared" si="2"/>
        <v>1</v>
      </c>
      <c r="D54" s="41">
        <f t="shared" si="0"/>
        <v>0.14204568230027784</v>
      </c>
      <c r="E54" s="41">
        <f>Parameters!$B$257*D54</f>
        <v>1.8892075745936952E-2</v>
      </c>
    </row>
    <row r="55" spans="1:5" x14ac:dyDescent="0.3">
      <c r="A55" s="41">
        <v>42</v>
      </c>
      <c r="B55" s="41">
        <v>41</v>
      </c>
      <c r="C55" s="41">
        <f t="shared" si="2"/>
        <v>1</v>
      </c>
      <c r="D55" s="41">
        <f t="shared" si="0"/>
        <v>0.13528160219074079</v>
      </c>
      <c r="E55" s="41">
        <f>Parameters!$B$257*D55</f>
        <v>1.7992453091368526E-2</v>
      </c>
    </row>
    <row r="56" spans="1:5" x14ac:dyDescent="0.3">
      <c r="A56" s="41">
        <v>43</v>
      </c>
      <c r="B56" s="41">
        <v>42</v>
      </c>
      <c r="C56" s="41">
        <f t="shared" si="2"/>
        <v>1</v>
      </c>
      <c r="D56" s="41">
        <f t="shared" si="0"/>
        <v>0.12883962113403885</v>
      </c>
      <c r="E56" s="41">
        <f>Parameters!$B$257*D56</f>
        <v>1.7135669610827169E-2</v>
      </c>
    </row>
    <row r="57" spans="1:5" x14ac:dyDescent="0.3">
      <c r="A57" s="41">
        <v>44</v>
      </c>
      <c r="B57" s="41">
        <v>43</v>
      </c>
      <c r="C57" s="41">
        <f t="shared" si="2"/>
        <v>1</v>
      </c>
      <c r="D57" s="41">
        <f t="shared" si="0"/>
        <v>0.12270440108003698</v>
      </c>
      <c r="E57" s="41">
        <f>Parameters!$B$257*D57</f>
        <v>1.6319685343644919E-2</v>
      </c>
    </row>
    <row r="58" spans="1:5" x14ac:dyDescent="0.3">
      <c r="A58" s="41">
        <v>45</v>
      </c>
      <c r="B58" s="41">
        <v>44</v>
      </c>
      <c r="C58" s="41">
        <f t="shared" si="2"/>
        <v>1</v>
      </c>
      <c r="D58" s="41">
        <f t="shared" si="0"/>
        <v>0.11686133436193999</v>
      </c>
      <c r="E58" s="41">
        <f>Parameters!$B$257*D58</f>
        <v>1.5542557470138019E-2</v>
      </c>
    </row>
    <row r="59" spans="1:5" x14ac:dyDescent="0.3">
      <c r="A59" s="41">
        <v>46</v>
      </c>
      <c r="B59" s="41">
        <v>45</v>
      </c>
      <c r="C59" s="41">
        <f t="shared" si="2"/>
        <v>1</v>
      </c>
      <c r="D59" s="41">
        <f t="shared" si="0"/>
        <v>0.1112965089161333</v>
      </c>
      <c r="E59" s="41">
        <f>Parameters!$B$257*D59</f>
        <v>1.4802435685845728E-2</v>
      </c>
    </row>
    <row r="60" spans="1:5" x14ac:dyDescent="0.3">
      <c r="A60" s="41">
        <v>47</v>
      </c>
      <c r="B60" s="41">
        <v>46</v>
      </c>
      <c r="C60" s="41">
        <f t="shared" si="2"/>
        <v>1</v>
      </c>
      <c r="D60" s="41">
        <f t="shared" si="0"/>
        <v>0.10599667515822221</v>
      </c>
      <c r="E60" s="41">
        <f>Parameters!$B$257*D60</f>
        <v>1.4097557796043554E-2</v>
      </c>
    </row>
    <row r="61" spans="1:5" x14ac:dyDescent="0.3">
      <c r="A61" s="41">
        <v>48</v>
      </c>
      <c r="B61" s="41">
        <v>47</v>
      </c>
      <c r="C61" s="41">
        <f t="shared" si="2"/>
        <v>1</v>
      </c>
      <c r="D61" s="41">
        <f t="shared" si="0"/>
        <v>0.10094921443640208</v>
      </c>
      <c r="E61" s="41">
        <f>Parameters!$B$257*D61</f>
        <v>1.3426245520041477E-2</v>
      </c>
    </row>
    <row r="62" spans="1:5" x14ac:dyDescent="0.3">
      <c r="A62" s="41">
        <v>49</v>
      </c>
      <c r="B62" s="41">
        <v>48</v>
      </c>
      <c r="C62" s="41">
        <f t="shared" si="2"/>
        <v>1</v>
      </c>
      <c r="D62" s="41">
        <f t="shared" si="0"/>
        <v>9.6142108987049613E-2</v>
      </c>
      <c r="E62" s="41">
        <f>Parameters!$B$257*D62</f>
        <v>1.2786900495277599E-2</v>
      </c>
    </row>
    <row r="63" spans="1:5" x14ac:dyDescent="0.3">
      <c r="A63" s="41">
        <v>50</v>
      </c>
      <c r="B63" s="41">
        <v>49</v>
      </c>
      <c r="C63" s="41">
        <f t="shared" si="2"/>
        <v>1</v>
      </c>
      <c r="D63" s="41">
        <f t="shared" si="0"/>
        <v>9.1563913320999626E-2</v>
      </c>
      <c r="E63" s="41">
        <f>Parameters!$B$257*D63</f>
        <v>1.2178000471692952E-2</v>
      </c>
    </row>
    <row r="64" spans="1:5" x14ac:dyDescent="0.3">
      <c r="A64" s="41">
        <v>51</v>
      </c>
      <c r="B64" s="41">
        <v>50</v>
      </c>
      <c r="C64" s="41">
        <f t="shared" si="2"/>
        <v>1</v>
      </c>
      <c r="D64" s="41">
        <f t="shared" si="0"/>
        <v>8.7203726972380588E-2</v>
      </c>
      <c r="E64" s="41">
        <f>Parameters!$B$257*D64</f>
        <v>1.1598095687326618E-2</v>
      </c>
    </row>
    <row r="65" spans="1:5" x14ac:dyDescent="0.3">
      <c r="A65" s="41">
        <v>52</v>
      </c>
      <c r="B65" s="41">
        <v>51</v>
      </c>
      <c r="C65" s="41">
        <f t="shared" si="2"/>
        <v>1</v>
      </c>
      <c r="D65" s="41">
        <f t="shared" si="0"/>
        <v>8.3051168545124371E-2</v>
      </c>
      <c r="E65" s="41">
        <f>Parameters!$B$257*D65</f>
        <v>1.1045805416501542E-2</v>
      </c>
    </row>
    <row r="66" spans="1:5" x14ac:dyDescent="0.3">
      <c r="A66" s="41">
        <v>53</v>
      </c>
      <c r="B66" s="41">
        <v>52</v>
      </c>
      <c r="C66" s="41">
        <f t="shared" si="2"/>
        <v>1</v>
      </c>
      <c r="D66" s="41">
        <f t="shared" si="0"/>
        <v>7.9096350995356543E-2</v>
      </c>
      <c r="E66" s="41">
        <f>Parameters!$B$257*D66</f>
        <v>1.051981468238242E-2</v>
      </c>
    </row>
    <row r="67" spans="1:5" x14ac:dyDescent="0.3">
      <c r="A67" s="41">
        <v>54</v>
      </c>
      <c r="B67" s="41">
        <v>53</v>
      </c>
      <c r="C67" s="41">
        <f t="shared" si="2"/>
        <v>1</v>
      </c>
      <c r="D67" s="41">
        <f t="shared" si="0"/>
        <v>7.5329858090815757E-2</v>
      </c>
      <c r="E67" s="41">
        <f>Parameters!$B$257*D67</f>
        <v>1.0018871126078497E-2</v>
      </c>
    </row>
    <row r="68" spans="1:5" x14ac:dyDescent="0.3">
      <c r="A68" s="41">
        <v>55</v>
      </c>
      <c r="B68" s="41">
        <v>54</v>
      </c>
      <c r="C68" s="41">
        <f t="shared" si="2"/>
        <v>1</v>
      </c>
      <c r="D68" s="41">
        <f t="shared" si="0"/>
        <v>7.1742721991253117E-2</v>
      </c>
      <c r="E68" s="41">
        <f>Parameters!$B$257*D68</f>
        <v>9.5417820248366644E-3</v>
      </c>
    </row>
    <row r="69" spans="1:5" x14ac:dyDescent="0.3">
      <c r="A69" s="41">
        <v>56</v>
      </c>
      <c r="B69" s="41">
        <v>55</v>
      </c>
      <c r="C69" s="41">
        <f t="shared" si="2"/>
        <v>1</v>
      </c>
      <c r="D69" s="41">
        <f t="shared" si="0"/>
        <v>6.8326401896431521E-2</v>
      </c>
      <c r="E69" s="41">
        <f>Parameters!$B$257*D69</f>
        <v>9.0874114522253926E-3</v>
      </c>
    </row>
    <row r="70" spans="1:5" x14ac:dyDescent="0.3">
      <c r="A70" s="41">
        <v>57</v>
      </c>
      <c r="B70" s="41">
        <v>56</v>
      </c>
      <c r="C70" s="41">
        <f t="shared" si="2"/>
        <v>1</v>
      </c>
      <c r="D70" s="41">
        <f t="shared" si="0"/>
        <v>6.5072763710887174E-2</v>
      </c>
      <c r="E70" s="41">
        <f>Parameters!$B$257*D70</f>
        <v>8.6546775735479951E-3</v>
      </c>
    </row>
    <row r="71" spans="1:5" x14ac:dyDescent="0.3">
      <c r="A71" s="41">
        <v>58</v>
      </c>
      <c r="B71" s="41">
        <v>57</v>
      </c>
      <c r="C71" s="41">
        <f t="shared" si="2"/>
        <v>1</v>
      </c>
      <c r="D71" s="41">
        <f t="shared" si="0"/>
        <v>6.1974060677035397E-2</v>
      </c>
      <c r="E71" s="41">
        <f>Parameters!$B$257*D71</f>
        <v>8.2425500700457083E-3</v>
      </c>
    </row>
    <row r="72" spans="1:5" x14ac:dyDescent="0.3">
      <c r="A72" s="41">
        <v>59</v>
      </c>
      <c r="B72" s="41">
        <v>58</v>
      </c>
      <c r="C72" s="41">
        <f t="shared" si="2"/>
        <v>1</v>
      </c>
      <c r="D72" s="41">
        <f t="shared" si="0"/>
        <v>5.9022914930509894E-2</v>
      </c>
      <c r="E72" s="41">
        <f>Parameters!$B$257*D72</f>
        <v>7.8500476857578157E-3</v>
      </c>
    </row>
    <row r="73" spans="1:5" x14ac:dyDescent="0.3">
      <c r="A73" s="41">
        <v>60</v>
      </c>
      <c r="B73" s="41">
        <v>59</v>
      </c>
      <c r="C73" s="41">
        <f t="shared" si="2"/>
        <v>1</v>
      </c>
      <c r="D73" s="41">
        <f t="shared" si="0"/>
        <v>5.6212299933818946E-2</v>
      </c>
      <c r="E73" s="41">
        <f>Parameters!$B$257*D73</f>
        <v>7.4762358911979205E-3</v>
      </c>
    </row>
    <row r="74" spans="1:5" x14ac:dyDescent="0.3">
      <c r="A74" s="41">
        <v>61</v>
      </c>
      <c r="B74" s="41">
        <v>60</v>
      </c>
      <c r="C74" s="41">
        <f t="shared" si="2"/>
        <v>1</v>
      </c>
      <c r="D74" s="41">
        <f t="shared" si="0"/>
        <v>5.3535523746494243E-2</v>
      </c>
      <c r="E74" s="41">
        <f>Parameters!$B$257*D74</f>
        <v>7.1202246582837345E-3</v>
      </c>
    </row>
    <row r="75" spans="1:5" x14ac:dyDescent="0.3">
      <c r="A75" s="41">
        <v>62</v>
      </c>
      <c r="B75" s="41">
        <v>61</v>
      </c>
      <c r="C75" s="41">
        <f t="shared" si="2"/>
        <v>1</v>
      </c>
      <c r="D75" s="41">
        <f t="shared" si="0"/>
        <v>5.0986213091899268E-2</v>
      </c>
      <c r="E75" s="41">
        <f>Parameters!$B$257*D75</f>
        <v>6.7811663412226031E-3</v>
      </c>
    </row>
    <row r="76" spans="1:5" x14ac:dyDescent="0.3">
      <c r="A76" s="41">
        <v>63</v>
      </c>
      <c r="B76" s="41">
        <v>62</v>
      </c>
      <c r="C76" s="41">
        <f t="shared" si="2"/>
        <v>1</v>
      </c>
      <c r="D76" s="41">
        <f t="shared" si="0"/>
        <v>4.855829818276123E-2</v>
      </c>
      <c r="E76" s="41">
        <f>Parameters!$B$257*D76</f>
        <v>6.4582536583072435E-3</v>
      </c>
    </row>
    <row r="77" spans="1:5" x14ac:dyDescent="0.3">
      <c r="A77" s="41">
        <v>64</v>
      </c>
      <c r="B77" s="41">
        <v>63</v>
      </c>
      <c r="C77" s="41">
        <f t="shared" si="2"/>
        <v>1</v>
      </c>
      <c r="D77" s="41">
        <f t="shared" si="0"/>
        <v>4.6245998269296387E-2</v>
      </c>
      <c r="E77" s="41">
        <f>Parameters!$B$257*D77</f>
        <v>6.1507177698164198E-3</v>
      </c>
    </row>
    <row r="78" spans="1:5" x14ac:dyDescent="0.3">
      <c r="A78" s="41">
        <v>65</v>
      </c>
      <c r="B78" s="41">
        <v>64</v>
      </c>
      <c r="C78" s="41">
        <f t="shared" si="2"/>
        <v>1</v>
      </c>
      <c r="D78" s="41">
        <f t="shared" si="0"/>
        <v>4.4043807875520369E-2</v>
      </c>
      <c r="E78" s="41">
        <f>Parameters!$B$257*D78</f>
        <v>5.8578264474442093E-3</v>
      </c>
    </row>
    <row r="79" spans="1:5" x14ac:dyDescent="0.3">
      <c r="A79" s="41">
        <v>65.5</v>
      </c>
      <c r="B79" s="41">
        <v>65</v>
      </c>
      <c r="C79" s="41">
        <f t="shared" si="2"/>
        <v>1</v>
      </c>
      <c r="D79" s="41">
        <f t="shared" ref="D79" si="3">1/(1+0.05)^B79</f>
        <v>4.1946483690971779E-2</v>
      </c>
      <c r="E79" s="41">
        <f>Parameters!$B$257*D79</f>
        <v>5.5788823308992467E-3</v>
      </c>
    </row>
    <row r="80" spans="1:5" x14ac:dyDescent="0.3">
      <c r="A80" s="41"/>
      <c r="B80" s="41"/>
      <c r="C80" s="41"/>
      <c r="D80" s="41"/>
      <c r="E80" s="41"/>
    </row>
    <row r="81" spans="1:5" x14ac:dyDescent="0.3">
      <c r="A81" s="41"/>
      <c r="B81" s="41"/>
      <c r="C81" s="41">
        <f>SUM(C44:C79)</f>
        <v>35</v>
      </c>
      <c r="D81" s="41">
        <f>SUM(D44:D79)</f>
        <v>4.0199967479535825</v>
      </c>
      <c r="E81" s="41">
        <f>SUM(E44:E79)</f>
        <v>0.53465956747782661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6"/>
  <sheetViews>
    <sheetView workbookViewId="0">
      <selection activeCell="E86" sqref="E86"/>
    </sheetView>
  </sheetViews>
  <sheetFormatPr defaultRowHeight="14.4" x14ac:dyDescent="0.3"/>
  <cols>
    <col min="1" max="1" width="36.77734375" bestFit="1" customWidth="1"/>
    <col min="2" max="2" width="37.109375" bestFit="1" customWidth="1"/>
    <col min="3" max="3" width="37.109375" style="41" customWidth="1"/>
    <col min="4" max="5" width="11.77734375" bestFit="1" customWidth="1"/>
  </cols>
  <sheetData>
    <row r="1" spans="1:5" x14ac:dyDescent="0.3">
      <c r="A1" s="95" t="s">
        <v>695</v>
      </c>
      <c r="B1" s="41" t="s">
        <v>699</v>
      </c>
    </row>
    <row r="2" spans="1:5" x14ac:dyDescent="0.3">
      <c r="A2" s="41"/>
      <c r="B2" s="41"/>
    </row>
    <row r="3" spans="1:5" x14ac:dyDescent="0.3">
      <c r="A3" s="41" t="s">
        <v>698</v>
      </c>
      <c r="B3" s="41">
        <v>6.0999999999999999E-2</v>
      </c>
      <c r="C3" s="41" t="s">
        <v>707</v>
      </c>
    </row>
    <row r="4" spans="1:5" x14ac:dyDescent="0.3">
      <c r="A4" s="41" t="s">
        <v>697</v>
      </c>
      <c r="B4" s="41">
        <v>30</v>
      </c>
    </row>
    <row r="5" spans="1:5" x14ac:dyDescent="0.3">
      <c r="A5" s="41" t="s">
        <v>696</v>
      </c>
      <c r="B5" s="41">
        <v>40.89</v>
      </c>
    </row>
    <row r="6" spans="1:5" x14ac:dyDescent="0.3">
      <c r="A6" s="41" t="s">
        <v>711</v>
      </c>
      <c r="B6" s="41">
        <f>Average_life_expectancy_at_birth</f>
        <v>65.5</v>
      </c>
    </row>
    <row r="7" spans="1:5" x14ac:dyDescent="0.3">
      <c r="A7" s="41"/>
      <c r="B7" s="41"/>
    </row>
    <row r="8" spans="1:5" x14ac:dyDescent="0.3">
      <c r="A8" s="41" t="s">
        <v>693</v>
      </c>
      <c r="B8" s="41">
        <f>E86</f>
        <v>16.285787639013609</v>
      </c>
    </row>
    <row r="9" spans="1:5" x14ac:dyDescent="0.3">
      <c r="A9" s="41" t="s">
        <v>694</v>
      </c>
      <c r="B9" s="41">
        <f>E45</f>
        <v>0.9846054882718458</v>
      </c>
    </row>
    <row r="10" spans="1:5" x14ac:dyDescent="0.3">
      <c r="A10" s="107" t="s">
        <v>65</v>
      </c>
      <c r="B10" s="107">
        <f>B8+B9</f>
        <v>17.270393127285455</v>
      </c>
      <c r="C10" s="107"/>
    </row>
    <row r="12" spans="1:5" x14ac:dyDescent="0.3">
      <c r="A12" t="s">
        <v>262</v>
      </c>
    </row>
    <row r="13" spans="1:5" x14ac:dyDescent="0.3">
      <c r="A13" s="107" t="s">
        <v>708</v>
      </c>
      <c r="B13" s="107" t="s">
        <v>706</v>
      </c>
      <c r="C13" s="107" t="s">
        <v>709</v>
      </c>
      <c r="D13" s="107" t="s">
        <v>701</v>
      </c>
      <c r="E13" s="107" t="s">
        <v>710</v>
      </c>
    </row>
    <row r="14" spans="1:5" x14ac:dyDescent="0.3">
      <c r="A14">
        <v>1</v>
      </c>
      <c r="B14">
        <v>0</v>
      </c>
      <c r="C14" s="41">
        <v>0</v>
      </c>
      <c r="D14" s="41">
        <f>1/(1+0.05)^B14</f>
        <v>1</v>
      </c>
      <c r="E14" s="41">
        <f>Parameters!$B$258*D14</f>
        <v>6.0999999999999999E-2</v>
      </c>
    </row>
    <row r="15" spans="1:5" x14ac:dyDescent="0.3">
      <c r="A15">
        <v>2</v>
      </c>
      <c r="B15">
        <v>1</v>
      </c>
      <c r="C15" s="41">
        <f>B15-B14</f>
        <v>1</v>
      </c>
      <c r="D15" s="41">
        <f t="shared" ref="D15:D43" si="0">1/(1+0.05)^B15</f>
        <v>0.95238095238095233</v>
      </c>
      <c r="E15" s="41">
        <f>Parameters!$B$258*D15</f>
        <v>5.8095238095238089E-2</v>
      </c>
    </row>
    <row r="16" spans="1:5" x14ac:dyDescent="0.3">
      <c r="A16">
        <v>3</v>
      </c>
      <c r="B16">
        <v>2</v>
      </c>
      <c r="C16" s="41">
        <f t="shared" ref="C16:C43" si="1">B16-B15</f>
        <v>1</v>
      </c>
      <c r="D16" s="41">
        <f t="shared" si="0"/>
        <v>0.90702947845804982</v>
      </c>
      <c r="E16" s="41">
        <f>Parameters!$B$258*D16</f>
        <v>5.5328798185941039E-2</v>
      </c>
    </row>
    <row r="17" spans="1:5" x14ac:dyDescent="0.3">
      <c r="A17" s="41">
        <v>4</v>
      </c>
      <c r="B17" s="41">
        <v>3</v>
      </c>
      <c r="C17" s="41">
        <f t="shared" si="1"/>
        <v>1</v>
      </c>
      <c r="D17" s="41">
        <f t="shared" si="0"/>
        <v>0.86383759853147601</v>
      </c>
      <c r="E17" s="41">
        <f>Parameters!$B$258*D17</f>
        <v>5.2694093510420037E-2</v>
      </c>
    </row>
    <row r="18" spans="1:5" x14ac:dyDescent="0.3">
      <c r="A18" s="41">
        <v>5</v>
      </c>
      <c r="B18" s="41">
        <v>4</v>
      </c>
      <c r="C18" s="41">
        <f t="shared" si="1"/>
        <v>1</v>
      </c>
      <c r="D18" s="41">
        <f t="shared" si="0"/>
        <v>0.82270247479188197</v>
      </c>
      <c r="E18" s="41">
        <f>Parameters!$B$258*D18</f>
        <v>5.0184850962304801E-2</v>
      </c>
    </row>
    <row r="19" spans="1:5" x14ac:dyDescent="0.3">
      <c r="A19" s="41">
        <v>6</v>
      </c>
      <c r="B19" s="41">
        <v>5</v>
      </c>
      <c r="C19" s="41">
        <f t="shared" si="1"/>
        <v>1</v>
      </c>
      <c r="D19" s="41">
        <f t="shared" si="0"/>
        <v>0.78352616646845896</v>
      </c>
      <c r="E19" s="41">
        <f>Parameters!$B$258*D19</f>
        <v>4.7795096154575993E-2</v>
      </c>
    </row>
    <row r="20" spans="1:5" x14ac:dyDescent="0.3">
      <c r="A20" s="41">
        <v>7</v>
      </c>
      <c r="B20" s="41">
        <v>6</v>
      </c>
      <c r="C20" s="41">
        <f t="shared" si="1"/>
        <v>1</v>
      </c>
      <c r="D20" s="41">
        <f t="shared" si="0"/>
        <v>0.74621539663662761</v>
      </c>
      <c r="E20" s="41">
        <f>Parameters!$B$258*D20</f>
        <v>4.5519139194834281E-2</v>
      </c>
    </row>
    <row r="21" spans="1:5" x14ac:dyDescent="0.3">
      <c r="A21" s="41">
        <v>8</v>
      </c>
      <c r="B21" s="41">
        <v>7</v>
      </c>
      <c r="C21" s="41">
        <f t="shared" si="1"/>
        <v>1</v>
      </c>
      <c r="D21" s="41">
        <f t="shared" si="0"/>
        <v>0.71068133013012147</v>
      </c>
      <c r="E21" s="41">
        <f>Parameters!$B$258*D21</f>
        <v>4.3351561137937408E-2</v>
      </c>
    </row>
    <row r="22" spans="1:5" x14ac:dyDescent="0.3">
      <c r="A22" s="41">
        <v>9</v>
      </c>
      <c r="B22" s="41">
        <v>8</v>
      </c>
      <c r="C22" s="41">
        <f t="shared" si="1"/>
        <v>1</v>
      </c>
      <c r="D22" s="41">
        <f t="shared" si="0"/>
        <v>0.67683936202868722</v>
      </c>
      <c r="E22" s="41">
        <f>Parameters!$B$258*D22</f>
        <v>4.1287201083749919E-2</v>
      </c>
    </row>
    <row r="23" spans="1:5" x14ac:dyDescent="0.3">
      <c r="A23" s="41">
        <v>10</v>
      </c>
      <c r="B23" s="41">
        <v>9</v>
      </c>
      <c r="C23" s="41">
        <f t="shared" si="1"/>
        <v>1</v>
      </c>
      <c r="D23" s="41">
        <f t="shared" si="0"/>
        <v>0.64460891621779726</v>
      </c>
      <c r="E23" s="41">
        <f>Parameters!$B$258*D23</f>
        <v>3.9321143889285634E-2</v>
      </c>
    </row>
    <row r="24" spans="1:5" x14ac:dyDescent="0.3">
      <c r="A24" s="41">
        <v>11</v>
      </c>
      <c r="B24" s="41">
        <v>10</v>
      </c>
      <c r="C24" s="41">
        <f t="shared" si="1"/>
        <v>1</v>
      </c>
      <c r="D24" s="41">
        <f t="shared" si="0"/>
        <v>0.61391325354075932</v>
      </c>
      <c r="E24" s="41">
        <f>Parameters!$B$258*D24</f>
        <v>3.7448708465986316E-2</v>
      </c>
    </row>
    <row r="25" spans="1:5" x14ac:dyDescent="0.3">
      <c r="A25" s="41">
        <v>12</v>
      </c>
      <c r="B25" s="41">
        <v>11</v>
      </c>
      <c r="C25" s="41">
        <f t="shared" si="1"/>
        <v>1</v>
      </c>
      <c r="D25" s="41">
        <f t="shared" si="0"/>
        <v>0.5846792890864374</v>
      </c>
      <c r="E25" s="41">
        <f>Parameters!$B$258*D25</f>
        <v>3.5665436634272678E-2</v>
      </c>
    </row>
    <row r="26" spans="1:5" x14ac:dyDescent="0.3">
      <c r="A26" s="41">
        <v>13</v>
      </c>
      <c r="B26" s="41">
        <v>12</v>
      </c>
      <c r="C26" s="41">
        <f t="shared" si="1"/>
        <v>1</v>
      </c>
      <c r="D26" s="41">
        <f t="shared" si="0"/>
        <v>0.5568374181775595</v>
      </c>
      <c r="E26" s="41">
        <f>Parameters!$B$258*D26</f>
        <v>3.3967082508831126E-2</v>
      </c>
    </row>
    <row r="27" spans="1:5" x14ac:dyDescent="0.3">
      <c r="A27" s="41">
        <v>14</v>
      </c>
      <c r="B27" s="41">
        <v>13</v>
      </c>
      <c r="C27" s="41">
        <f t="shared" si="1"/>
        <v>1</v>
      </c>
      <c r="D27" s="41">
        <f t="shared" si="0"/>
        <v>0.53032135064529462</v>
      </c>
      <c r="E27" s="41">
        <f>Parameters!$B$258*D27</f>
        <v>3.2349602389362971E-2</v>
      </c>
    </row>
    <row r="28" spans="1:5" x14ac:dyDescent="0.3">
      <c r="A28" s="41">
        <v>15</v>
      </c>
      <c r="B28" s="41">
        <v>14</v>
      </c>
      <c r="C28" s="41">
        <f t="shared" si="1"/>
        <v>1</v>
      </c>
      <c r="D28" s="41">
        <f t="shared" si="0"/>
        <v>0.50506795299551888</v>
      </c>
      <c r="E28" s="41">
        <f>Parameters!$B$258*D28</f>
        <v>3.0809145132726652E-2</v>
      </c>
    </row>
    <row r="29" spans="1:5" x14ac:dyDescent="0.3">
      <c r="A29" s="41">
        <v>16</v>
      </c>
      <c r="B29" s="41">
        <v>15</v>
      </c>
      <c r="C29" s="41">
        <f t="shared" si="1"/>
        <v>1</v>
      </c>
      <c r="D29" s="41">
        <f t="shared" si="0"/>
        <v>0.48101709809097021</v>
      </c>
      <c r="E29" s="41">
        <f>Parameters!$B$258*D29</f>
        <v>2.9342042983549182E-2</v>
      </c>
    </row>
    <row r="30" spans="1:5" x14ac:dyDescent="0.3">
      <c r="A30" s="41">
        <v>17</v>
      </c>
      <c r="B30" s="41">
        <v>16</v>
      </c>
      <c r="C30" s="41">
        <f t="shared" si="1"/>
        <v>1</v>
      </c>
      <c r="D30" s="41">
        <f t="shared" si="0"/>
        <v>0.45811152199140021</v>
      </c>
      <c r="E30" s="41">
        <f>Parameters!$B$258*D30</f>
        <v>2.7944802841475411E-2</v>
      </c>
    </row>
    <row r="31" spans="1:5" x14ac:dyDescent="0.3">
      <c r="A31" s="41">
        <v>18</v>
      </c>
      <c r="B31" s="41">
        <v>17</v>
      </c>
      <c r="C31" s="41">
        <f t="shared" si="1"/>
        <v>1</v>
      </c>
      <c r="D31" s="41">
        <f t="shared" si="0"/>
        <v>0.43629668761085727</v>
      </c>
      <c r="E31" s="41">
        <f>Parameters!$B$258*D31</f>
        <v>2.6614097944262293E-2</v>
      </c>
    </row>
    <row r="32" spans="1:5" x14ac:dyDescent="0.3">
      <c r="A32" s="41">
        <v>19</v>
      </c>
      <c r="B32" s="41">
        <v>18</v>
      </c>
      <c r="C32" s="41">
        <f t="shared" si="1"/>
        <v>1</v>
      </c>
      <c r="D32" s="41">
        <f t="shared" si="0"/>
        <v>0.41552065486748313</v>
      </c>
      <c r="E32" s="41">
        <f>Parameters!$B$258*D32</f>
        <v>2.5346759946916469E-2</v>
      </c>
    </row>
    <row r="33" spans="1:5" x14ac:dyDescent="0.3">
      <c r="A33" s="41">
        <v>20</v>
      </c>
      <c r="B33" s="41">
        <v>19</v>
      </c>
      <c r="C33" s="41">
        <f t="shared" si="1"/>
        <v>1</v>
      </c>
      <c r="D33" s="41">
        <f t="shared" si="0"/>
        <v>0.39573395701665059</v>
      </c>
      <c r="E33" s="41">
        <f>Parameters!$B$258*D33</f>
        <v>2.4139771378015686E-2</v>
      </c>
    </row>
    <row r="34" spans="1:5" x14ac:dyDescent="0.3">
      <c r="A34" s="41">
        <v>21</v>
      </c>
      <c r="B34" s="41">
        <v>20</v>
      </c>
      <c r="C34" s="41">
        <f t="shared" si="1"/>
        <v>1</v>
      </c>
      <c r="D34" s="41">
        <f t="shared" si="0"/>
        <v>0.37688948287300061</v>
      </c>
      <c r="E34" s="41">
        <f>Parameters!$B$258*D34</f>
        <v>2.2990258455253036E-2</v>
      </c>
    </row>
    <row r="35" spans="1:5" x14ac:dyDescent="0.3">
      <c r="A35" s="41">
        <v>22</v>
      </c>
      <c r="B35" s="41">
        <v>21</v>
      </c>
      <c r="C35" s="41">
        <f t="shared" si="1"/>
        <v>1</v>
      </c>
      <c r="D35" s="41">
        <f t="shared" si="0"/>
        <v>0.35894236464095297</v>
      </c>
      <c r="E35" s="41">
        <f>Parameters!$B$258*D35</f>
        <v>2.1895484243098132E-2</v>
      </c>
    </row>
    <row r="36" spans="1:5" x14ac:dyDescent="0.3">
      <c r="A36" s="41">
        <v>23</v>
      </c>
      <c r="B36" s="41">
        <v>22</v>
      </c>
      <c r="C36" s="41">
        <f t="shared" si="1"/>
        <v>1</v>
      </c>
      <c r="D36" s="41">
        <f t="shared" si="0"/>
        <v>0.3418498710866219</v>
      </c>
      <c r="E36" s="41">
        <f>Parameters!$B$258*D36</f>
        <v>2.0852842136283935E-2</v>
      </c>
    </row>
    <row r="37" spans="1:5" x14ac:dyDescent="0.3">
      <c r="A37" s="41">
        <v>24</v>
      </c>
      <c r="B37" s="41">
        <v>23</v>
      </c>
      <c r="C37" s="41">
        <f t="shared" si="1"/>
        <v>1</v>
      </c>
      <c r="D37" s="41">
        <f t="shared" si="0"/>
        <v>0.32557130579678267</v>
      </c>
      <c r="E37" s="41">
        <f>Parameters!$B$258*D37</f>
        <v>1.9859849653603743E-2</v>
      </c>
    </row>
    <row r="38" spans="1:5" x14ac:dyDescent="0.3">
      <c r="A38" s="41">
        <v>25</v>
      </c>
      <c r="B38" s="41">
        <v>24</v>
      </c>
      <c r="C38" s="41">
        <f t="shared" si="1"/>
        <v>1</v>
      </c>
      <c r="D38" s="41">
        <f t="shared" si="0"/>
        <v>0.31006791028265024</v>
      </c>
      <c r="E38" s="41">
        <f>Parameters!$B$258*D38</f>
        <v>1.8914142527241665E-2</v>
      </c>
    </row>
    <row r="39" spans="1:5" x14ac:dyDescent="0.3">
      <c r="A39" s="41">
        <v>26</v>
      </c>
      <c r="B39" s="41">
        <v>25</v>
      </c>
      <c r="C39" s="41">
        <f t="shared" si="1"/>
        <v>1</v>
      </c>
      <c r="D39" s="41">
        <f t="shared" si="0"/>
        <v>0.29530277169776209</v>
      </c>
      <c r="E39" s="41">
        <f>Parameters!$B$258*D39</f>
        <v>1.8013469073563486E-2</v>
      </c>
    </row>
    <row r="40" spans="1:5" x14ac:dyDescent="0.3">
      <c r="A40" s="41">
        <v>27</v>
      </c>
      <c r="B40" s="41">
        <v>26</v>
      </c>
      <c r="C40" s="41">
        <f t="shared" si="1"/>
        <v>1</v>
      </c>
      <c r="D40" s="41">
        <f t="shared" si="0"/>
        <v>0.28124073495024959</v>
      </c>
      <c r="E40" s="41">
        <f>Parameters!$B$258*D40</f>
        <v>1.7155684831965223E-2</v>
      </c>
    </row>
    <row r="41" spans="1:5" x14ac:dyDescent="0.3">
      <c r="A41" s="41">
        <v>28</v>
      </c>
      <c r="B41" s="41">
        <v>27</v>
      </c>
      <c r="C41" s="41">
        <f t="shared" si="1"/>
        <v>1</v>
      </c>
      <c r="D41" s="41">
        <f t="shared" si="0"/>
        <v>0.2678483190002377</v>
      </c>
      <c r="E41" s="41">
        <f>Parameters!$B$258*D41</f>
        <v>1.6338747459014501E-2</v>
      </c>
    </row>
    <row r="42" spans="1:5" x14ac:dyDescent="0.3">
      <c r="A42" s="41">
        <v>29</v>
      </c>
      <c r="B42" s="41">
        <v>28</v>
      </c>
      <c r="C42" s="41">
        <f t="shared" si="1"/>
        <v>1</v>
      </c>
      <c r="D42" s="41">
        <f t="shared" si="0"/>
        <v>0.25509363714308358</v>
      </c>
      <c r="E42" s="41">
        <f>Parameters!$B$258*D42</f>
        <v>1.5560711865728098E-2</v>
      </c>
    </row>
    <row r="43" spans="1:5" x14ac:dyDescent="0.3">
      <c r="A43" s="41">
        <v>30</v>
      </c>
      <c r="B43" s="41">
        <v>29</v>
      </c>
      <c r="C43" s="41">
        <f t="shared" si="1"/>
        <v>1</v>
      </c>
      <c r="D43" s="41">
        <f t="shared" si="0"/>
        <v>0.24294632108865097</v>
      </c>
      <c r="E43" s="41">
        <f>Parameters!$B$258*D43</f>
        <v>1.4819725586407709E-2</v>
      </c>
    </row>
    <row r="45" spans="1:5" s="41" customFormat="1" x14ac:dyDescent="0.3">
      <c r="D45" s="41">
        <f>SUM(D14:D43)</f>
        <v>16.141073578226983</v>
      </c>
      <c r="E45" s="41">
        <f>SUM(E14:E43)</f>
        <v>0.9846054882718458</v>
      </c>
    </row>
    <row r="46" spans="1:5" s="41" customFormat="1" x14ac:dyDescent="0.3"/>
    <row r="47" spans="1:5" x14ac:dyDescent="0.3">
      <c r="A47" t="s">
        <v>323</v>
      </c>
    </row>
    <row r="48" spans="1:5" x14ac:dyDescent="0.3">
      <c r="A48" s="107" t="s">
        <v>705</v>
      </c>
      <c r="B48" s="107" t="s">
        <v>706</v>
      </c>
      <c r="C48" s="107" t="s">
        <v>705</v>
      </c>
      <c r="D48" s="107" t="s">
        <v>701</v>
      </c>
      <c r="E48" s="107"/>
    </row>
    <row r="49" spans="1:5" x14ac:dyDescent="0.3">
      <c r="A49">
        <v>31</v>
      </c>
      <c r="B49">
        <v>0</v>
      </c>
      <c r="C49" s="41">
        <v>0</v>
      </c>
      <c r="D49">
        <f>1/(1+0.05)^B49</f>
        <v>1</v>
      </c>
      <c r="E49">
        <f>D49*C49</f>
        <v>0</v>
      </c>
    </row>
    <row r="50" spans="1:5" x14ac:dyDescent="0.3">
      <c r="A50">
        <v>32</v>
      </c>
      <c r="B50">
        <v>1</v>
      </c>
      <c r="C50" s="41">
        <f>B50-B49</f>
        <v>1</v>
      </c>
      <c r="D50" s="41">
        <f>1/(1+0.05)^B50</f>
        <v>0.95238095238095233</v>
      </c>
      <c r="E50" s="41">
        <f t="shared" ref="E50:E84" si="2">D50*C50</f>
        <v>0.95238095238095233</v>
      </c>
    </row>
    <row r="51" spans="1:5" x14ac:dyDescent="0.3">
      <c r="A51">
        <v>33</v>
      </c>
      <c r="B51">
        <v>2</v>
      </c>
      <c r="C51" s="41">
        <f t="shared" ref="C51:C84" si="3">B51-B50</f>
        <v>1</v>
      </c>
      <c r="D51" s="41">
        <f t="shared" ref="D51:D84" si="4">1/(1+0.05)^B51</f>
        <v>0.90702947845804982</v>
      </c>
      <c r="E51" s="41">
        <f t="shared" si="2"/>
        <v>0.90702947845804982</v>
      </c>
    </row>
    <row r="52" spans="1:5" x14ac:dyDescent="0.3">
      <c r="A52">
        <v>34</v>
      </c>
      <c r="B52" s="41">
        <v>3</v>
      </c>
      <c r="C52" s="41">
        <f t="shared" si="3"/>
        <v>1</v>
      </c>
      <c r="D52" s="41">
        <f t="shared" si="4"/>
        <v>0.86383759853147601</v>
      </c>
      <c r="E52" s="41">
        <f t="shared" si="2"/>
        <v>0.86383759853147601</v>
      </c>
    </row>
    <row r="53" spans="1:5" x14ac:dyDescent="0.3">
      <c r="A53" s="41">
        <v>35</v>
      </c>
      <c r="B53" s="41">
        <v>4</v>
      </c>
      <c r="C53" s="41">
        <f t="shared" si="3"/>
        <v>1</v>
      </c>
      <c r="D53" s="41">
        <f t="shared" si="4"/>
        <v>0.82270247479188197</v>
      </c>
      <c r="E53" s="41">
        <f t="shared" si="2"/>
        <v>0.82270247479188197</v>
      </c>
    </row>
    <row r="54" spans="1:5" x14ac:dyDescent="0.3">
      <c r="A54" s="41">
        <v>36</v>
      </c>
      <c r="B54" s="41">
        <v>5</v>
      </c>
      <c r="C54" s="41">
        <f t="shared" si="3"/>
        <v>1</v>
      </c>
      <c r="D54" s="41">
        <f t="shared" si="4"/>
        <v>0.78352616646845896</v>
      </c>
      <c r="E54" s="41">
        <f t="shared" si="2"/>
        <v>0.78352616646845896</v>
      </c>
    </row>
    <row r="55" spans="1:5" x14ac:dyDescent="0.3">
      <c r="A55" s="41">
        <v>37</v>
      </c>
      <c r="B55" s="41">
        <v>6</v>
      </c>
      <c r="C55" s="41">
        <f t="shared" si="3"/>
        <v>1</v>
      </c>
      <c r="D55" s="41">
        <f t="shared" si="4"/>
        <v>0.74621539663662761</v>
      </c>
      <c r="E55" s="41">
        <f t="shared" si="2"/>
        <v>0.74621539663662761</v>
      </c>
    </row>
    <row r="56" spans="1:5" x14ac:dyDescent="0.3">
      <c r="A56" s="41">
        <v>38</v>
      </c>
      <c r="B56" s="41">
        <v>7</v>
      </c>
      <c r="C56" s="41">
        <f t="shared" si="3"/>
        <v>1</v>
      </c>
      <c r="D56" s="41">
        <f t="shared" si="4"/>
        <v>0.71068133013012147</v>
      </c>
      <c r="E56" s="41">
        <f t="shared" si="2"/>
        <v>0.71068133013012147</v>
      </c>
    </row>
    <row r="57" spans="1:5" x14ac:dyDescent="0.3">
      <c r="A57" s="41">
        <v>39</v>
      </c>
      <c r="B57" s="41">
        <v>8</v>
      </c>
      <c r="C57" s="41">
        <f t="shared" si="3"/>
        <v>1</v>
      </c>
      <c r="D57" s="41">
        <f t="shared" si="4"/>
        <v>0.67683936202868722</v>
      </c>
      <c r="E57" s="41">
        <f t="shared" si="2"/>
        <v>0.67683936202868722</v>
      </c>
    </row>
    <row r="58" spans="1:5" x14ac:dyDescent="0.3">
      <c r="A58" s="41">
        <v>40</v>
      </c>
      <c r="B58" s="41">
        <v>9</v>
      </c>
      <c r="C58" s="41">
        <f t="shared" si="3"/>
        <v>1</v>
      </c>
      <c r="D58" s="41">
        <f t="shared" si="4"/>
        <v>0.64460891621779726</v>
      </c>
      <c r="E58" s="41">
        <f t="shared" si="2"/>
        <v>0.64460891621779726</v>
      </c>
    </row>
    <row r="59" spans="1:5" x14ac:dyDescent="0.3">
      <c r="A59" s="41">
        <v>41</v>
      </c>
      <c r="B59" s="41">
        <v>10</v>
      </c>
      <c r="C59" s="41">
        <f t="shared" si="3"/>
        <v>1</v>
      </c>
      <c r="D59" s="41">
        <f t="shared" si="4"/>
        <v>0.61391325354075932</v>
      </c>
      <c r="E59" s="41">
        <f t="shared" si="2"/>
        <v>0.61391325354075932</v>
      </c>
    </row>
    <row r="60" spans="1:5" x14ac:dyDescent="0.3">
      <c r="A60" s="41">
        <v>42</v>
      </c>
      <c r="B60" s="41">
        <v>11</v>
      </c>
      <c r="C60" s="41">
        <f t="shared" si="3"/>
        <v>1</v>
      </c>
      <c r="D60" s="41">
        <f t="shared" si="4"/>
        <v>0.5846792890864374</v>
      </c>
      <c r="E60" s="41">
        <f t="shared" si="2"/>
        <v>0.5846792890864374</v>
      </c>
    </row>
    <row r="61" spans="1:5" x14ac:dyDescent="0.3">
      <c r="A61" s="41">
        <v>43</v>
      </c>
      <c r="B61" s="41">
        <v>12</v>
      </c>
      <c r="C61" s="41">
        <f t="shared" si="3"/>
        <v>1</v>
      </c>
      <c r="D61" s="41">
        <f t="shared" si="4"/>
        <v>0.5568374181775595</v>
      </c>
      <c r="E61" s="41">
        <f t="shared" si="2"/>
        <v>0.5568374181775595</v>
      </c>
    </row>
    <row r="62" spans="1:5" x14ac:dyDescent="0.3">
      <c r="A62" s="41">
        <v>44</v>
      </c>
      <c r="B62" s="41">
        <v>13</v>
      </c>
      <c r="C62" s="41">
        <f t="shared" si="3"/>
        <v>1</v>
      </c>
      <c r="D62" s="41">
        <f t="shared" si="4"/>
        <v>0.53032135064529462</v>
      </c>
      <c r="E62" s="41">
        <f t="shared" si="2"/>
        <v>0.53032135064529462</v>
      </c>
    </row>
    <row r="63" spans="1:5" x14ac:dyDescent="0.3">
      <c r="A63" s="41">
        <v>45</v>
      </c>
      <c r="B63" s="41">
        <v>14</v>
      </c>
      <c r="C63" s="41">
        <f t="shared" si="3"/>
        <v>1</v>
      </c>
      <c r="D63" s="41">
        <f t="shared" si="4"/>
        <v>0.50506795299551888</v>
      </c>
      <c r="E63" s="41">
        <f t="shared" si="2"/>
        <v>0.50506795299551888</v>
      </c>
    </row>
    <row r="64" spans="1:5" x14ac:dyDescent="0.3">
      <c r="A64" s="41">
        <v>46</v>
      </c>
      <c r="B64" s="41">
        <v>15</v>
      </c>
      <c r="C64" s="41">
        <f t="shared" si="3"/>
        <v>1</v>
      </c>
      <c r="D64" s="41">
        <f t="shared" si="4"/>
        <v>0.48101709809097021</v>
      </c>
      <c r="E64" s="41">
        <f t="shared" si="2"/>
        <v>0.48101709809097021</v>
      </c>
    </row>
    <row r="65" spans="1:5" x14ac:dyDescent="0.3">
      <c r="A65" s="41">
        <v>47</v>
      </c>
      <c r="B65" s="41">
        <v>16</v>
      </c>
      <c r="C65" s="41">
        <f t="shared" si="3"/>
        <v>1</v>
      </c>
      <c r="D65" s="41">
        <f t="shared" si="4"/>
        <v>0.45811152199140021</v>
      </c>
      <c r="E65" s="41">
        <f t="shared" si="2"/>
        <v>0.45811152199140021</v>
      </c>
    </row>
    <row r="66" spans="1:5" x14ac:dyDescent="0.3">
      <c r="A66" s="41">
        <v>48</v>
      </c>
      <c r="B66" s="41">
        <v>17</v>
      </c>
      <c r="C66" s="41">
        <f t="shared" si="3"/>
        <v>1</v>
      </c>
      <c r="D66" s="41">
        <f t="shared" si="4"/>
        <v>0.43629668761085727</v>
      </c>
      <c r="E66" s="41">
        <f t="shared" si="2"/>
        <v>0.43629668761085727</v>
      </c>
    </row>
    <row r="67" spans="1:5" x14ac:dyDescent="0.3">
      <c r="A67" s="41">
        <v>49</v>
      </c>
      <c r="B67" s="41">
        <v>18</v>
      </c>
      <c r="C67" s="41">
        <f t="shared" si="3"/>
        <v>1</v>
      </c>
      <c r="D67" s="41">
        <f t="shared" si="4"/>
        <v>0.41552065486748313</v>
      </c>
      <c r="E67" s="41">
        <f t="shared" si="2"/>
        <v>0.41552065486748313</v>
      </c>
    </row>
    <row r="68" spans="1:5" x14ac:dyDescent="0.3">
      <c r="A68" s="41">
        <v>50</v>
      </c>
      <c r="B68" s="41">
        <v>19</v>
      </c>
      <c r="C68" s="41">
        <f t="shared" si="3"/>
        <v>1</v>
      </c>
      <c r="D68" s="41">
        <f t="shared" si="4"/>
        <v>0.39573395701665059</v>
      </c>
      <c r="E68" s="41">
        <f t="shared" si="2"/>
        <v>0.39573395701665059</v>
      </c>
    </row>
    <row r="69" spans="1:5" x14ac:dyDescent="0.3">
      <c r="A69" s="41">
        <v>51</v>
      </c>
      <c r="B69" s="41">
        <v>20</v>
      </c>
      <c r="C69" s="41">
        <f t="shared" si="3"/>
        <v>1</v>
      </c>
      <c r="D69" s="41">
        <f t="shared" si="4"/>
        <v>0.37688948287300061</v>
      </c>
      <c r="E69" s="41">
        <f t="shared" si="2"/>
        <v>0.37688948287300061</v>
      </c>
    </row>
    <row r="70" spans="1:5" x14ac:dyDescent="0.3">
      <c r="A70" s="41">
        <v>52</v>
      </c>
      <c r="B70" s="41">
        <v>21</v>
      </c>
      <c r="C70" s="41">
        <f t="shared" si="3"/>
        <v>1</v>
      </c>
      <c r="D70" s="41">
        <f t="shared" si="4"/>
        <v>0.35894236464095297</v>
      </c>
      <c r="E70" s="41">
        <f t="shared" si="2"/>
        <v>0.35894236464095297</v>
      </c>
    </row>
    <row r="71" spans="1:5" x14ac:dyDescent="0.3">
      <c r="A71" s="41">
        <v>53</v>
      </c>
      <c r="B71" s="41">
        <v>22</v>
      </c>
      <c r="C71" s="41">
        <f t="shared" si="3"/>
        <v>1</v>
      </c>
      <c r="D71" s="41">
        <f t="shared" si="4"/>
        <v>0.3418498710866219</v>
      </c>
      <c r="E71" s="41">
        <f t="shared" si="2"/>
        <v>0.3418498710866219</v>
      </c>
    </row>
    <row r="72" spans="1:5" x14ac:dyDescent="0.3">
      <c r="A72" s="41">
        <v>54</v>
      </c>
      <c r="B72" s="41">
        <v>23</v>
      </c>
      <c r="C72" s="41">
        <f t="shared" si="3"/>
        <v>1</v>
      </c>
      <c r="D72" s="41">
        <f t="shared" si="4"/>
        <v>0.32557130579678267</v>
      </c>
      <c r="E72" s="41">
        <f t="shared" si="2"/>
        <v>0.32557130579678267</v>
      </c>
    </row>
    <row r="73" spans="1:5" x14ac:dyDescent="0.3">
      <c r="A73" s="41">
        <v>55</v>
      </c>
      <c r="B73" s="41">
        <v>24</v>
      </c>
      <c r="C73" s="41">
        <f t="shared" si="3"/>
        <v>1</v>
      </c>
      <c r="D73" s="41">
        <f t="shared" si="4"/>
        <v>0.31006791028265024</v>
      </c>
      <c r="E73" s="41">
        <f t="shared" si="2"/>
        <v>0.31006791028265024</v>
      </c>
    </row>
    <row r="74" spans="1:5" x14ac:dyDescent="0.3">
      <c r="A74" s="41">
        <v>56</v>
      </c>
      <c r="B74" s="41">
        <v>25</v>
      </c>
      <c r="C74" s="41">
        <f t="shared" si="3"/>
        <v>1</v>
      </c>
      <c r="D74" s="41">
        <f t="shared" si="4"/>
        <v>0.29530277169776209</v>
      </c>
      <c r="E74" s="41">
        <f t="shared" si="2"/>
        <v>0.29530277169776209</v>
      </c>
    </row>
    <row r="75" spans="1:5" x14ac:dyDescent="0.3">
      <c r="A75" s="41">
        <v>57</v>
      </c>
      <c r="B75" s="41">
        <v>26</v>
      </c>
      <c r="C75" s="41">
        <f t="shared" si="3"/>
        <v>1</v>
      </c>
      <c r="D75" s="41">
        <f t="shared" si="4"/>
        <v>0.28124073495024959</v>
      </c>
      <c r="E75" s="41">
        <f t="shared" si="2"/>
        <v>0.28124073495024959</v>
      </c>
    </row>
    <row r="76" spans="1:5" x14ac:dyDescent="0.3">
      <c r="A76" s="41">
        <v>58</v>
      </c>
      <c r="B76" s="41">
        <v>27</v>
      </c>
      <c r="C76" s="41">
        <f t="shared" si="3"/>
        <v>1</v>
      </c>
      <c r="D76" s="41">
        <f t="shared" si="4"/>
        <v>0.2678483190002377</v>
      </c>
      <c r="E76" s="41">
        <f t="shared" si="2"/>
        <v>0.2678483190002377</v>
      </c>
    </row>
    <row r="77" spans="1:5" x14ac:dyDescent="0.3">
      <c r="A77" s="41">
        <v>59</v>
      </c>
      <c r="B77" s="41">
        <v>28</v>
      </c>
      <c r="C77" s="41">
        <f t="shared" si="3"/>
        <v>1</v>
      </c>
      <c r="D77" s="41">
        <f t="shared" si="4"/>
        <v>0.25509363714308358</v>
      </c>
      <c r="E77" s="41">
        <f t="shared" si="2"/>
        <v>0.25509363714308358</v>
      </c>
    </row>
    <row r="78" spans="1:5" x14ac:dyDescent="0.3">
      <c r="A78" s="41">
        <v>60</v>
      </c>
      <c r="B78" s="41">
        <v>29</v>
      </c>
      <c r="C78" s="41">
        <f t="shared" si="3"/>
        <v>1</v>
      </c>
      <c r="D78" s="41">
        <f t="shared" si="4"/>
        <v>0.24294632108865097</v>
      </c>
      <c r="E78" s="41">
        <f t="shared" si="2"/>
        <v>0.24294632108865097</v>
      </c>
    </row>
    <row r="79" spans="1:5" x14ac:dyDescent="0.3">
      <c r="A79" s="41">
        <v>61</v>
      </c>
      <c r="B79" s="41">
        <v>30</v>
      </c>
      <c r="C79" s="41">
        <f t="shared" si="3"/>
        <v>1</v>
      </c>
      <c r="D79" s="41">
        <f t="shared" si="4"/>
        <v>0.23137744865585813</v>
      </c>
      <c r="E79" s="41">
        <f t="shared" si="2"/>
        <v>0.23137744865585813</v>
      </c>
    </row>
    <row r="80" spans="1:5" x14ac:dyDescent="0.3">
      <c r="A80" s="41">
        <v>62</v>
      </c>
      <c r="B80" s="41">
        <v>31</v>
      </c>
      <c r="C80" s="41">
        <f t="shared" si="3"/>
        <v>1</v>
      </c>
      <c r="D80" s="41">
        <f t="shared" si="4"/>
        <v>0.220359474910341</v>
      </c>
      <c r="E80" s="41">
        <f t="shared" si="2"/>
        <v>0.220359474910341</v>
      </c>
    </row>
    <row r="81" spans="1:5" x14ac:dyDescent="0.3">
      <c r="A81" s="41">
        <v>63</v>
      </c>
      <c r="B81" s="41">
        <v>32</v>
      </c>
      <c r="C81" s="41">
        <f t="shared" si="3"/>
        <v>1</v>
      </c>
      <c r="D81" s="41">
        <f t="shared" si="4"/>
        <v>0.20986616658127716</v>
      </c>
      <c r="E81" s="41">
        <f t="shared" si="2"/>
        <v>0.20986616658127716</v>
      </c>
    </row>
    <row r="82" spans="1:5" x14ac:dyDescent="0.3">
      <c r="A82" s="41">
        <v>64</v>
      </c>
      <c r="B82" s="41">
        <v>33</v>
      </c>
      <c r="C82" s="41">
        <f t="shared" si="3"/>
        <v>1</v>
      </c>
      <c r="D82" s="41">
        <f t="shared" si="4"/>
        <v>0.19987253960121634</v>
      </c>
      <c r="E82" s="41">
        <f t="shared" si="2"/>
        <v>0.19987253960121634</v>
      </c>
    </row>
    <row r="83" spans="1:5" x14ac:dyDescent="0.3">
      <c r="A83" s="41">
        <v>65</v>
      </c>
      <c r="B83" s="41">
        <v>34</v>
      </c>
      <c r="C83" s="41">
        <f t="shared" si="3"/>
        <v>1</v>
      </c>
      <c r="D83" s="41">
        <f t="shared" si="4"/>
        <v>0.19035479962020604</v>
      </c>
      <c r="E83" s="41">
        <f t="shared" si="2"/>
        <v>0.19035479962020604</v>
      </c>
    </row>
    <row r="84" spans="1:5" x14ac:dyDescent="0.3">
      <c r="A84">
        <v>65.5</v>
      </c>
      <c r="B84">
        <v>34.5</v>
      </c>
      <c r="C84" s="41">
        <f t="shared" si="3"/>
        <v>0.5</v>
      </c>
      <c r="D84" s="41">
        <f t="shared" si="4"/>
        <v>0.18576726283546227</v>
      </c>
      <c r="E84" s="41">
        <f t="shared" si="2"/>
        <v>9.2883631417731136E-2</v>
      </c>
    </row>
    <row r="86" spans="1:5" x14ac:dyDescent="0.3">
      <c r="C86" s="41">
        <f>SUM(C49:C84)</f>
        <v>34.5</v>
      </c>
      <c r="D86">
        <f>SUM(D49:D84)</f>
        <v>17.378671270431347</v>
      </c>
      <c r="E86" s="41">
        <f>SUM(E49:E84)</f>
        <v>16.285787639013609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4"/>
  <sheetViews>
    <sheetView topLeftCell="A4" workbookViewId="0">
      <selection activeCell="D46" sqref="D46"/>
    </sheetView>
  </sheetViews>
  <sheetFormatPr defaultRowHeight="14.4" x14ac:dyDescent="0.3"/>
  <cols>
    <col min="1" max="1" width="25.21875" bestFit="1" customWidth="1"/>
    <col min="2" max="2" width="10.77734375" bestFit="1" customWidth="1"/>
    <col min="3" max="3" width="17.44140625" bestFit="1" customWidth="1"/>
    <col min="4" max="4" width="18.77734375" customWidth="1"/>
    <col min="6" max="6" width="16.21875" bestFit="1" customWidth="1"/>
    <col min="7" max="7" width="10.77734375" bestFit="1" customWidth="1"/>
    <col min="8" max="8" width="12.44140625" bestFit="1" customWidth="1"/>
    <col min="9" max="9" width="12.88671875" bestFit="1" customWidth="1"/>
  </cols>
  <sheetData>
    <row r="1" spans="1:12" x14ac:dyDescent="0.3">
      <c r="A1" s="20" t="s">
        <v>43</v>
      </c>
      <c r="B1" s="20"/>
      <c r="C1" s="20"/>
      <c r="D1" s="10"/>
    </row>
    <row r="2" spans="1:12" x14ac:dyDescent="0.3">
      <c r="A2" s="10"/>
      <c r="B2" s="10"/>
      <c r="C2" s="10"/>
      <c r="D2" s="10"/>
    </row>
    <row r="3" spans="1:12" x14ac:dyDescent="0.3">
      <c r="A3" s="87" t="s">
        <v>353</v>
      </c>
      <c r="B3" s="87"/>
      <c r="C3" s="87" t="s">
        <v>354</v>
      </c>
      <c r="D3" s="87" t="s">
        <v>32</v>
      </c>
    </row>
    <row r="5" spans="1:12" x14ac:dyDescent="0.3">
      <c r="A5" t="s">
        <v>202</v>
      </c>
      <c r="B5" s="45">
        <f>Demographics!B15</f>
        <v>0.83099999999999996</v>
      </c>
      <c r="C5" s="101" t="str">
        <f>Demographics!C15</f>
        <v>69-106%</v>
      </c>
      <c r="D5" s="101" t="str">
        <f>Demographics!D15</f>
        <v>Health barometer 2020 (data error for upper limit - assume 100%)</v>
      </c>
    </row>
    <row r="6" spans="1:12" x14ac:dyDescent="0.3">
      <c r="A6" t="s">
        <v>23</v>
      </c>
      <c r="B6" s="45">
        <f>100%-B5</f>
        <v>0.16900000000000004</v>
      </c>
      <c r="C6" t="s">
        <v>355</v>
      </c>
    </row>
    <row r="7" spans="1:12" s="41" customFormat="1" x14ac:dyDescent="0.3">
      <c r="B7" s="45"/>
    </row>
    <row r="8" spans="1:12" s="41" customFormat="1" x14ac:dyDescent="0.3">
      <c r="A8" s="95" t="s">
        <v>366</v>
      </c>
      <c r="B8" s="108"/>
      <c r="C8" s="87" t="s">
        <v>354</v>
      </c>
      <c r="D8" s="87" t="s">
        <v>32</v>
      </c>
      <c r="E8" s="95"/>
      <c r="F8" s="95" t="s">
        <v>367</v>
      </c>
      <c r="G8" s="95"/>
      <c r="H8" s="87" t="s">
        <v>354</v>
      </c>
      <c r="I8" s="87" t="s">
        <v>32</v>
      </c>
      <c r="J8" s="44"/>
      <c r="K8" s="44"/>
      <c r="L8" s="44"/>
    </row>
    <row r="9" spans="1:12" s="41" customFormat="1" x14ac:dyDescent="0.3">
      <c r="A9" s="41" t="s">
        <v>363</v>
      </c>
      <c r="B9" s="45">
        <f>B13/B19</f>
        <v>1.6422801402225271E-2</v>
      </c>
      <c r="C9" s="41" t="s">
        <v>375</v>
      </c>
      <c r="D9" s="41" t="s">
        <v>362</v>
      </c>
      <c r="F9" s="41" t="s">
        <v>361</v>
      </c>
      <c r="G9" s="45">
        <f>B15/B20</f>
        <v>3.1562974203338388E-2</v>
      </c>
      <c r="H9" s="41" t="s">
        <v>377</v>
      </c>
      <c r="I9" s="41" t="s">
        <v>362</v>
      </c>
      <c r="J9" s="44"/>
      <c r="K9" s="44"/>
      <c r="L9" s="44"/>
    </row>
    <row r="10" spans="1:12" s="41" customFormat="1" x14ac:dyDescent="0.3">
      <c r="A10" s="41" t="s">
        <v>364</v>
      </c>
      <c r="B10" s="45">
        <f>B16/B19</f>
        <v>0.9835771985977747</v>
      </c>
      <c r="C10" s="41" t="s">
        <v>376</v>
      </c>
      <c r="D10" s="41" t="s">
        <v>362</v>
      </c>
      <c r="F10" s="41" t="s">
        <v>365</v>
      </c>
      <c r="G10" s="45">
        <f>B18/B20</f>
        <v>0.96843702579666158</v>
      </c>
      <c r="H10" s="41" t="s">
        <v>378</v>
      </c>
      <c r="I10" s="41" t="s">
        <v>362</v>
      </c>
    </row>
    <row r="11" spans="1:12" x14ac:dyDescent="0.3">
      <c r="A11" s="41"/>
      <c r="B11" s="101"/>
      <c r="C11" s="41"/>
      <c r="D11" s="41"/>
      <c r="E11" s="41"/>
      <c r="F11" s="41"/>
      <c r="G11" s="41"/>
      <c r="H11" s="41"/>
      <c r="I11" s="41"/>
      <c r="J11" s="41"/>
      <c r="K11" s="41"/>
    </row>
    <row r="12" spans="1:12" s="41" customFormat="1" x14ac:dyDescent="0.3">
      <c r="A12" s="107" t="s">
        <v>383</v>
      </c>
      <c r="B12" s="101"/>
      <c r="G12" s="102"/>
      <c r="H12" s="101"/>
    </row>
    <row r="13" spans="1:12" s="41" customFormat="1" x14ac:dyDescent="0.3">
      <c r="A13" s="41" t="s">
        <v>387</v>
      </c>
      <c r="B13" s="102">
        <f>13+13+405</f>
        <v>431</v>
      </c>
      <c r="G13" s="102"/>
      <c r="H13" s="101"/>
    </row>
    <row r="14" spans="1:12" s="41" customFormat="1" x14ac:dyDescent="0.3">
      <c r="A14" s="41" t="s">
        <v>3</v>
      </c>
      <c r="B14" s="102">
        <f>32+16+487</f>
        <v>535</v>
      </c>
      <c r="C14" s="102"/>
      <c r="G14" s="102"/>
      <c r="H14" s="101"/>
    </row>
    <row r="15" spans="1:12" s="41" customFormat="1" x14ac:dyDescent="0.3">
      <c r="A15" s="41" t="s">
        <v>390</v>
      </c>
      <c r="B15" s="102">
        <f>B14-B13</f>
        <v>104</v>
      </c>
      <c r="C15" s="102"/>
      <c r="G15" s="102"/>
      <c r="H15" s="101"/>
    </row>
    <row r="16" spans="1:12" s="41" customFormat="1" x14ac:dyDescent="0.3">
      <c r="A16" s="41" t="s">
        <v>388</v>
      </c>
      <c r="B16" s="102">
        <f>5799+3647+16367</f>
        <v>25813</v>
      </c>
      <c r="G16" s="102"/>
      <c r="H16" s="101"/>
    </row>
    <row r="17" spans="1:11" s="41" customFormat="1" x14ac:dyDescent="0.3">
      <c r="A17" s="41" t="s">
        <v>389</v>
      </c>
      <c r="B17" s="102">
        <f>7510+4093+17401</f>
        <v>29004</v>
      </c>
      <c r="G17" s="102"/>
      <c r="H17" s="101"/>
    </row>
    <row r="18" spans="1:11" s="41" customFormat="1" x14ac:dyDescent="0.3">
      <c r="A18" s="41" t="s">
        <v>391</v>
      </c>
      <c r="B18" s="102">
        <f>B17-B16</f>
        <v>3191</v>
      </c>
      <c r="G18" s="101"/>
      <c r="H18" s="101"/>
    </row>
    <row r="19" spans="1:11" s="41" customFormat="1" x14ac:dyDescent="0.3">
      <c r="A19" s="41" t="s">
        <v>202</v>
      </c>
      <c r="B19" s="102">
        <f>B13+B16</f>
        <v>26244</v>
      </c>
      <c r="G19" s="101"/>
      <c r="H19" s="101"/>
    </row>
    <row r="20" spans="1:11" s="41" customFormat="1" x14ac:dyDescent="0.3">
      <c r="A20" s="41" t="s">
        <v>23</v>
      </c>
      <c r="B20" s="102">
        <f>B15+B18</f>
        <v>3295</v>
      </c>
      <c r="G20" s="101"/>
      <c r="H20" s="101"/>
    </row>
    <row r="21" spans="1:11" s="41" customFormat="1" x14ac:dyDescent="0.3">
      <c r="B21" s="101"/>
      <c r="G21" s="101"/>
      <c r="H21" s="101"/>
    </row>
    <row r="22" spans="1:11" x14ac:dyDescent="0.3">
      <c r="A22" s="41" t="s">
        <v>379</v>
      </c>
      <c r="B22" s="45">
        <v>1.84E-2</v>
      </c>
      <c r="C22" t="s">
        <v>359</v>
      </c>
      <c r="D22" t="s">
        <v>358</v>
      </c>
      <c r="E22" s="41"/>
      <c r="F22" s="41"/>
      <c r="G22" s="41"/>
      <c r="H22" s="41"/>
      <c r="I22" s="41"/>
      <c r="J22" s="41"/>
      <c r="K22" s="41"/>
    </row>
    <row r="23" spans="1:11" s="41" customFormat="1" x14ac:dyDescent="0.3">
      <c r="A23" s="41" t="s">
        <v>380</v>
      </c>
      <c r="B23" s="45">
        <f>100%-B22</f>
        <v>0.98160000000000003</v>
      </c>
      <c r="C23" s="41" t="s">
        <v>355</v>
      </c>
      <c r="E23"/>
      <c r="F23"/>
      <c r="G23"/>
      <c r="H23"/>
      <c r="I23"/>
      <c r="J23"/>
      <c r="K23"/>
    </row>
    <row r="24" spans="1:11" x14ac:dyDescent="0.3">
      <c r="A24" s="41"/>
      <c r="B24" s="101"/>
      <c r="C24" s="41"/>
      <c r="D24" s="41"/>
      <c r="E24" s="41"/>
      <c r="F24" s="41"/>
      <c r="G24" s="41"/>
      <c r="H24" s="41"/>
      <c r="I24" s="41"/>
      <c r="J24" s="41"/>
      <c r="K24" s="41"/>
    </row>
    <row r="25" spans="1:11" s="41" customFormat="1" x14ac:dyDescent="0.3">
      <c r="A25" s="95" t="s">
        <v>366</v>
      </c>
      <c r="B25" s="95"/>
      <c r="C25" s="87" t="s">
        <v>354</v>
      </c>
      <c r="D25" s="87" t="s">
        <v>32</v>
      </c>
      <c r="E25" s="95"/>
      <c r="F25" s="95" t="s">
        <v>367</v>
      </c>
      <c r="G25" s="95"/>
      <c r="H25" s="87" t="s">
        <v>354</v>
      </c>
      <c r="I25" s="87" t="s">
        <v>32</v>
      </c>
      <c r="J25" s="44"/>
      <c r="K25" s="44"/>
    </row>
    <row r="26" spans="1:11" x14ac:dyDescent="0.3">
      <c r="A26" s="41" t="s">
        <v>394</v>
      </c>
      <c r="B26" s="41">
        <f>B30/B36</f>
        <v>0.17481773997569866</v>
      </c>
      <c r="C26" s="41" t="s">
        <v>397</v>
      </c>
      <c r="D26" s="41" t="s">
        <v>362</v>
      </c>
      <c r="E26" s="41"/>
      <c r="F26" s="41" t="s">
        <v>394</v>
      </c>
      <c r="G26" s="41">
        <f>B32/B37</f>
        <v>0.1733800350262697</v>
      </c>
      <c r="H26" s="41" t="s">
        <v>395</v>
      </c>
      <c r="I26" s="41" t="s">
        <v>362</v>
      </c>
      <c r="J26" s="41"/>
      <c r="K26" s="41"/>
    </row>
    <row r="27" spans="1:11" x14ac:dyDescent="0.3">
      <c r="A27" s="41" t="s">
        <v>11</v>
      </c>
      <c r="B27">
        <f>B33/B36</f>
        <v>0.82518226002430128</v>
      </c>
      <c r="C27" t="s">
        <v>398</v>
      </c>
      <c r="D27" s="41" t="s">
        <v>362</v>
      </c>
      <c r="F27" s="41" t="s">
        <v>11</v>
      </c>
      <c r="G27">
        <f>B35/B37</f>
        <v>0.82661996497373025</v>
      </c>
      <c r="H27" t="s">
        <v>396</v>
      </c>
      <c r="I27" s="41" t="s">
        <v>362</v>
      </c>
    </row>
    <row r="28" spans="1:11" x14ac:dyDescent="0.3">
      <c r="A28" s="41"/>
      <c r="B28" s="41"/>
      <c r="C28" s="41"/>
      <c r="D28" s="41"/>
    </row>
    <row r="29" spans="1:11" x14ac:dyDescent="0.3">
      <c r="A29" s="107" t="s">
        <v>383</v>
      </c>
    </row>
    <row r="30" spans="1:11" x14ac:dyDescent="0.3">
      <c r="A30" t="s">
        <v>381</v>
      </c>
      <c r="B30">
        <f>15+38+4551</f>
        <v>4604</v>
      </c>
    </row>
    <row r="31" spans="1:11" s="41" customFormat="1" x14ac:dyDescent="0.3">
      <c r="A31" t="s">
        <v>382</v>
      </c>
      <c r="B31">
        <f>26+47+5125</f>
        <v>5198</v>
      </c>
      <c r="C31"/>
      <c r="D31"/>
      <c r="E31"/>
      <c r="F31"/>
      <c r="G31"/>
      <c r="H31"/>
      <c r="I31"/>
      <c r="J31"/>
      <c r="K31"/>
    </row>
    <row r="32" spans="1:11" x14ac:dyDescent="0.3">
      <c r="A32" s="41" t="s">
        <v>392</v>
      </c>
      <c r="B32" s="41">
        <f>B31-B30</f>
        <v>594</v>
      </c>
      <c r="C32" s="41"/>
      <c r="D32" s="41"/>
      <c r="E32" s="41"/>
      <c r="F32" s="41"/>
      <c r="G32" s="41"/>
      <c r="H32" s="41"/>
      <c r="I32" s="41"/>
      <c r="J32" s="41"/>
      <c r="K32" s="41"/>
    </row>
    <row r="33" spans="1:11" x14ac:dyDescent="0.3">
      <c r="A33" t="s">
        <v>384</v>
      </c>
      <c r="B33">
        <f>5798+3616+12318</f>
        <v>21732</v>
      </c>
    </row>
    <row r="34" spans="1:11" s="41" customFormat="1" x14ac:dyDescent="0.3">
      <c r="A34" t="s">
        <v>11</v>
      </c>
      <c r="B34">
        <f>7517+4058+12989</f>
        <v>24564</v>
      </c>
      <c r="C34"/>
      <c r="D34"/>
      <c r="E34"/>
      <c r="F34"/>
      <c r="G34"/>
      <c r="H34"/>
      <c r="I34"/>
      <c r="J34"/>
      <c r="K34"/>
    </row>
    <row r="35" spans="1:11" s="41" customFormat="1" x14ac:dyDescent="0.3">
      <c r="A35" s="41" t="s">
        <v>393</v>
      </c>
      <c r="B35" s="41">
        <f>B34-B33</f>
        <v>2832</v>
      </c>
    </row>
    <row r="36" spans="1:11" s="41" customFormat="1" x14ac:dyDescent="0.3">
      <c r="A36" s="41" t="s">
        <v>202</v>
      </c>
      <c r="B36" s="41">
        <f>B30+B33</f>
        <v>26336</v>
      </c>
    </row>
    <row r="37" spans="1:11" x14ac:dyDescent="0.3">
      <c r="A37" s="41" t="s">
        <v>23</v>
      </c>
      <c r="B37" s="41">
        <f>B32+B35</f>
        <v>3426</v>
      </c>
      <c r="C37" s="41"/>
      <c r="D37" s="41"/>
      <c r="E37" s="41"/>
      <c r="F37" s="41"/>
      <c r="G37" s="41"/>
      <c r="H37" s="41"/>
      <c r="I37" s="41"/>
      <c r="J37" s="41"/>
      <c r="K37" s="41"/>
    </row>
    <row r="39" spans="1:11" x14ac:dyDescent="0.3">
      <c r="A39" t="s">
        <v>385</v>
      </c>
      <c r="B39" s="101">
        <v>0.111</v>
      </c>
      <c r="C39" t="s">
        <v>356</v>
      </c>
      <c r="D39" t="s">
        <v>357</v>
      </c>
    </row>
    <row r="40" spans="1:11" x14ac:dyDescent="0.3">
      <c r="A40" t="s">
        <v>386</v>
      </c>
      <c r="B40" s="101">
        <f>100%-B39</f>
        <v>0.88900000000000001</v>
      </c>
      <c r="C40" t="s">
        <v>355</v>
      </c>
    </row>
    <row r="41" spans="1:11" x14ac:dyDescent="0.3">
      <c r="A41" s="41"/>
    </row>
    <row r="42" spans="1:11" x14ac:dyDescent="0.3">
      <c r="A42" s="95" t="s">
        <v>382</v>
      </c>
      <c r="B42" s="95"/>
      <c r="C42" s="87" t="s">
        <v>354</v>
      </c>
      <c r="D42" s="87" t="s">
        <v>32</v>
      </c>
      <c r="E42" s="95"/>
      <c r="F42" s="95" t="s">
        <v>11</v>
      </c>
      <c r="G42" s="95"/>
      <c r="H42" s="87" t="s">
        <v>354</v>
      </c>
      <c r="I42" s="87" t="s">
        <v>32</v>
      </c>
      <c r="J42" s="44"/>
      <c r="K42" s="44"/>
    </row>
    <row r="43" spans="1:11" x14ac:dyDescent="0.3">
      <c r="A43" t="s">
        <v>8</v>
      </c>
      <c r="B43" s="45">
        <f>B49/B47</f>
        <v>0.68135593220338986</v>
      </c>
      <c r="C43" t="s">
        <v>403</v>
      </c>
      <c r="D43" t="s">
        <v>406</v>
      </c>
      <c r="F43" s="41" t="s">
        <v>8</v>
      </c>
      <c r="G43">
        <f>B50/B48</f>
        <v>0.34769230769230769</v>
      </c>
      <c r="H43" t="s">
        <v>404</v>
      </c>
      <c r="I43" s="41" t="s">
        <v>406</v>
      </c>
    </row>
    <row r="44" spans="1:11" x14ac:dyDescent="0.3">
      <c r="A44" t="s">
        <v>372</v>
      </c>
      <c r="B44" s="45">
        <f>1-B43</f>
        <v>0.31864406779661014</v>
      </c>
      <c r="C44" t="s">
        <v>691</v>
      </c>
      <c r="D44" s="41"/>
      <c r="F44" s="41" t="s">
        <v>372</v>
      </c>
      <c r="G44">
        <f>B52/B48</f>
        <v>0.65230769230769226</v>
      </c>
      <c r="H44" t="s">
        <v>405</v>
      </c>
      <c r="I44" s="41" t="s">
        <v>406</v>
      </c>
    </row>
    <row r="46" spans="1:11" x14ac:dyDescent="0.3">
      <c r="A46" s="107" t="s">
        <v>407</v>
      </c>
    </row>
    <row r="47" spans="1:11" x14ac:dyDescent="0.3">
      <c r="A47" t="s">
        <v>10</v>
      </c>
      <c r="B47" s="41">
        <v>295</v>
      </c>
    </row>
    <row r="48" spans="1:11" x14ac:dyDescent="0.3">
      <c r="A48" t="s">
        <v>11</v>
      </c>
      <c r="B48">
        <v>650</v>
      </c>
    </row>
    <row r="49" spans="1:12" x14ac:dyDescent="0.3">
      <c r="A49" t="s">
        <v>399</v>
      </c>
      <c r="B49">
        <v>201</v>
      </c>
    </row>
    <row r="50" spans="1:12" x14ac:dyDescent="0.3">
      <c r="A50" t="s">
        <v>400</v>
      </c>
      <c r="B50">
        <v>226</v>
      </c>
    </row>
    <row r="51" spans="1:12" x14ac:dyDescent="0.3">
      <c r="A51" t="s">
        <v>401</v>
      </c>
      <c r="B51">
        <f>B47-B50</f>
        <v>69</v>
      </c>
    </row>
    <row r="52" spans="1:12" x14ac:dyDescent="0.3">
      <c r="A52" t="s">
        <v>402</v>
      </c>
      <c r="B52">
        <f>B48-B50</f>
        <v>424</v>
      </c>
    </row>
    <row r="54" spans="1:12" x14ac:dyDescent="0.3">
      <c r="A54" s="95" t="s">
        <v>8</v>
      </c>
      <c r="B54" s="95"/>
      <c r="C54" s="87" t="s">
        <v>354</v>
      </c>
      <c r="D54" s="87" t="s">
        <v>32</v>
      </c>
      <c r="E54" s="95"/>
      <c r="F54" s="95" t="s">
        <v>372</v>
      </c>
      <c r="G54" s="95"/>
      <c r="H54" s="87" t="s">
        <v>354</v>
      </c>
      <c r="I54" s="87" t="s">
        <v>32</v>
      </c>
      <c r="J54" s="44"/>
      <c r="K54" s="44"/>
      <c r="L54" s="44"/>
    </row>
    <row r="55" spans="1:12" x14ac:dyDescent="0.3">
      <c r="A55" s="41" t="s">
        <v>360</v>
      </c>
      <c r="B55">
        <f>707/B69</f>
        <v>0.44409547738693467</v>
      </c>
      <c r="C55" t="s">
        <v>420</v>
      </c>
      <c r="D55" t="s">
        <v>424</v>
      </c>
      <c r="F55" s="41" t="s">
        <v>360</v>
      </c>
      <c r="G55">
        <v>0</v>
      </c>
      <c r="H55">
        <v>0</v>
      </c>
      <c r="I55" s="41" t="s">
        <v>424</v>
      </c>
    </row>
    <row r="56" spans="1:12" x14ac:dyDescent="0.3">
      <c r="A56" s="41" t="s">
        <v>415</v>
      </c>
      <c r="B56">
        <f>885/B69</f>
        <v>0.55590452261306533</v>
      </c>
      <c r="C56" t="s">
        <v>421</v>
      </c>
      <c r="D56" s="41" t="s">
        <v>424</v>
      </c>
      <c r="F56" s="41" t="s">
        <v>415</v>
      </c>
      <c r="G56">
        <v>1</v>
      </c>
      <c r="H56">
        <v>1949</v>
      </c>
      <c r="I56" s="41" t="s">
        <v>424</v>
      </c>
    </row>
    <row r="57" spans="1:12" s="41" customFormat="1" x14ac:dyDescent="0.3"/>
    <row r="58" spans="1:12" s="41" customFormat="1" x14ac:dyDescent="0.3">
      <c r="A58" s="95" t="s">
        <v>8</v>
      </c>
      <c r="B58" s="95"/>
      <c r="C58" s="87" t="s">
        <v>354</v>
      </c>
      <c r="D58" s="87" t="s">
        <v>32</v>
      </c>
      <c r="E58" s="95"/>
      <c r="F58" s="95" t="s">
        <v>372</v>
      </c>
      <c r="G58" s="95"/>
      <c r="H58" s="87" t="s">
        <v>354</v>
      </c>
      <c r="I58" s="87" t="s">
        <v>32</v>
      </c>
    </row>
    <row r="59" spans="1:12" x14ac:dyDescent="0.3">
      <c r="A59" s="41" t="s">
        <v>410</v>
      </c>
      <c r="B59">
        <v>1</v>
      </c>
      <c r="C59">
        <v>2610</v>
      </c>
      <c r="D59" s="41" t="s">
        <v>424</v>
      </c>
      <c r="F59" s="41" t="s">
        <v>410</v>
      </c>
      <c r="G59">
        <f>6230/B70</f>
        <v>0.18995639845107784</v>
      </c>
      <c r="H59">
        <v>6230</v>
      </c>
      <c r="I59" s="41" t="s">
        <v>424</v>
      </c>
    </row>
    <row r="60" spans="1:12" x14ac:dyDescent="0.3">
      <c r="A60" s="41" t="s">
        <v>416</v>
      </c>
      <c r="B60">
        <v>0</v>
      </c>
      <c r="C60">
        <v>0</v>
      </c>
      <c r="D60" s="41" t="s">
        <v>424</v>
      </c>
      <c r="F60" s="41" t="s">
        <v>416</v>
      </c>
      <c r="G60">
        <f>26567/B70</f>
        <v>0.81004360154892219</v>
      </c>
      <c r="H60" s="109">
        <v>26567</v>
      </c>
      <c r="I60" s="41" t="s">
        <v>424</v>
      </c>
    </row>
    <row r="61" spans="1:12" x14ac:dyDescent="0.3">
      <c r="A61" s="41"/>
    </row>
    <row r="62" spans="1:12" x14ac:dyDescent="0.3">
      <c r="A62" s="107" t="s">
        <v>423</v>
      </c>
    </row>
    <row r="63" spans="1:12" x14ac:dyDescent="0.3">
      <c r="A63" t="s">
        <v>411</v>
      </c>
      <c r="B63">
        <f>1949+885+707</f>
        <v>3541</v>
      </c>
    </row>
    <row r="64" spans="1:12" x14ac:dyDescent="0.3">
      <c r="A64" t="s">
        <v>412</v>
      </c>
      <c r="B64">
        <f>26567+6230+2610</f>
        <v>35407</v>
      </c>
    </row>
    <row r="65" spans="1:9" x14ac:dyDescent="0.3">
      <c r="A65" t="s">
        <v>413</v>
      </c>
      <c r="B65">
        <f>707+885+2610</f>
        <v>4202</v>
      </c>
    </row>
    <row r="66" spans="1:9" x14ac:dyDescent="0.3">
      <c r="A66" t="s">
        <v>414</v>
      </c>
      <c r="B66">
        <f>6230+26567+1949</f>
        <v>34746</v>
      </c>
    </row>
    <row r="67" spans="1:9" x14ac:dyDescent="0.3">
      <c r="A67" t="s">
        <v>418</v>
      </c>
      <c r="B67">
        <f>1949+26567+885</f>
        <v>29401</v>
      </c>
    </row>
    <row r="68" spans="1:9" x14ac:dyDescent="0.3">
      <c r="A68" t="s">
        <v>417</v>
      </c>
      <c r="B68">
        <f>2610+707+6230</f>
        <v>9547</v>
      </c>
    </row>
    <row r="69" spans="1:9" x14ac:dyDescent="0.3">
      <c r="A69" t="s">
        <v>419</v>
      </c>
      <c r="B69">
        <f>707+885</f>
        <v>1592</v>
      </c>
    </row>
    <row r="70" spans="1:9" x14ac:dyDescent="0.3">
      <c r="A70" t="s">
        <v>422</v>
      </c>
      <c r="B70">
        <f>26567+6230</f>
        <v>32797</v>
      </c>
    </row>
    <row r="72" spans="1:9" x14ac:dyDescent="0.3">
      <c r="A72" s="95" t="s">
        <v>164</v>
      </c>
      <c r="B72" s="95"/>
      <c r="C72" s="87" t="s">
        <v>354</v>
      </c>
      <c r="D72" s="87" t="s">
        <v>32</v>
      </c>
      <c r="E72" s="95"/>
      <c r="F72" s="95" t="s">
        <v>425</v>
      </c>
      <c r="G72" s="95"/>
      <c r="H72" s="87" t="s">
        <v>354</v>
      </c>
      <c r="I72" s="87" t="s">
        <v>32</v>
      </c>
    </row>
    <row r="73" spans="1:9" x14ac:dyDescent="0.3">
      <c r="C73" t="s">
        <v>429</v>
      </c>
      <c r="H73" s="41" t="s">
        <v>429</v>
      </c>
    </row>
    <row r="74" spans="1:9" x14ac:dyDescent="0.3">
      <c r="A74" t="s">
        <v>426</v>
      </c>
      <c r="B74">
        <f>C74/1000</f>
        <v>8.4066666666666665E-2</v>
      </c>
      <c r="C74" s="45">
        <f>AVERAGE(106.5,70.2,75.5)</f>
        <v>84.066666666666663</v>
      </c>
      <c r="D74" s="41" t="s">
        <v>424</v>
      </c>
      <c r="F74" t="s">
        <v>427</v>
      </c>
      <c r="G74">
        <f>H74/1000</f>
        <v>3.5174999999999998E-2</v>
      </c>
      <c r="H74" s="45">
        <f>AVERAGE(23.5,64.2,53,0)</f>
        <v>35.174999999999997</v>
      </c>
      <c r="I74" s="41" t="s">
        <v>424</v>
      </c>
    </row>
    <row r="75" spans="1:9" s="41" customFormat="1" x14ac:dyDescent="0.3">
      <c r="A75" s="41" t="s">
        <v>430</v>
      </c>
      <c r="B75" s="41">
        <f>1-B74</f>
        <v>0.91593333333333338</v>
      </c>
      <c r="C75" s="45" t="s">
        <v>355</v>
      </c>
      <c r="D75" s="41" t="s">
        <v>424</v>
      </c>
      <c r="F75" s="41" t="s">
        <v>430</v>
      </c>
      <c r="G75" s="41">
        <f>1-G74</f>
        <v>0.96482500000000004</v>
      </c>
      <c r="H75" s="45" t="s">
        <v>355</v>
      </c>
      <c r="I75" s="41" t="s">
        <v>424</v>
      </c>
    </row>
    <row r="76" spans="1:9" s="41" customFormat="1" x14ac:dyDescent="0.3">
      <c r="C76" s="45"/>
      <c r="H76" s="45"/>
    </row>
    <row r="77" spans="1:9" x14ac:dyDescent="0.3">
      <c r="A77" t="s">
        <v>428</v>
      </c>
      <c r="B77">
        <f>C77/1000</f>
        <v>1.3200000000000002E-2</v>
      </c>
      <c r="C77">
        <f>AVERAGE(17.6,11.9,10.1)</f>
        <v>13.200000000000001</v>
      </c>
      <c r="D77" s="41" t="s">
        <v>424</v>
      </c>
      <c r="F77" t="s">
        <v>428</v>
      </c>
      <c r="G77">
        <f>H77/1000</f>
        <v>6.2333333333333338E-3</v>
      </c>
      <c r="H77" s="45">
        <f>AVERAGE(7.9,8.4,2.4)</f>
        <v>6.2333333333333334</v>
      </c>
      <c r="I77" s="41" t="s">
        <v>424</v>
      </c>
    </row>
    <row r="78" spans="1:9" x14ac:dyDescent="0.3">
      <c r="A78" t="s">
        <v>431</v>
      </c>
      <c r="B78">
        <f>1-B77</f>
        <v>0.98680000000000001</v>
      </c>
      <c r="C78" t="s">
        <v>355</v>
      </c>
      <c r="D78" s="41" t="s">
        <v>424</v>
      </c>
      <c r="F78" t="s">
        <v>431</v>
      </c>
      <c r="G78">
        <f>1-G77</f>
        <v>0.99376666666666669</v>
      </c>
      <c r="H78" t="s">
        <v>355</v>
      </c>
      <c r="I78" s="41" t="s">
        <v>424</v>
      </c>
    </row>
    <row r="80" spans="1:9" x14ac:dyDescent="0.3">
      <c r="A80" s="95" t="s">
        <v>10</v>
      </c>
      <c r="B80" s="95"/>
      <c r="C80" s="87" t="s">
        <v>354</v>
      </c>
      <c r="D80" s="87" t="s">
        <v>32</v>
      </c>
      <c r="E80" s="95"/>
      <c r="F80" s="95" t="s">
        <v>11</v>
      </c>
      <c r="G80" s="95"/>
      <c r="H80" s="87" t="s">
        <v>354</v>
      </c>
      <c r="I80" s="87" t="s">
        <v>32</v>
      </c>
    </row>
    <row r="81" spans="1:9" x14ac:dyDescent="0.3">
      <c r="A81" s="41" t="s">
        <v>9</v>
      </c>
      <c r="B81" s="45">
        <f>AVERAGE(B85:B88)</f>
        <v>0.45</v>
      </c>
      <c r="C81" t="s">
        <v>436</v>
      </c>
      <c r="D81" t="s">
        <v>439</v>
      </c>
      <c r="F81" t="s">
        <v>9</v>
      </c>
      <c r="G81">
        <v>0</v>
      </c>
    </row>
    <row r="82" spans="1:9" x14ac:dyDescent="0.3">
      <c r="A82" s="41" t="s">
        <v>203</v>
      </c>
      <c r="B82" s="45">
        <f>1-B81</f>
        <v>0.55000000000000004</v>
      </c>
      <c r="C82" t="s">
        <v>355</v>
      </c>
      <c r="F82" t="s">
        <v>203</v>
      </c>
      <c r="G82">
        <v>1</v>
      </c>
      <c r="H82" t="s">
        <v>438</v>
      </c>
      <c r="I82" t="s">
        <v>437</v>
      </c>
    </row>
    <row r="84" spans="1:9" x14ac:dyDescent="0.3">
      <c r="A84" s="107" t="s">
        <v>440</v>
      </c>
    </row>
    <row r="85" spans="1:9" x14ac:dyDescent="0.3">
      <c r="A85" t="s">
        <v>432</v>
      </c>
      <c r="B85" s="39">
        <v>0.8</v>
      </c>
    </row>
    <row r="86" spans="1:9" x14ac:dyDescent="0.3">
      <c r="A86" t="s">
        <v>433</v>
      </c>
      <c r="B86" s="39">
        <v>0.7</v>
      </c>
    </row>
    <row r="87" spans="1:9" x14ac:dyDescent="0.3">
      <c r="A87" t="s">
        <v>434</v>
      </c>
      <c r="B87" s="39">
        <v>0.25</v>
      </c>
    </row>
    <row r="88" spans="1:9" x14ac:dyDescent="0.3">
      <c r="A88" t="s">
        <v>435</v>
      </c>
      <c r="B88" s="39">
        <v>0.05</v>
      </c>
    </row>
    <row r="90" spans="1:9" x14ac:dyDescent="0.3">
      <c r="A90" s="95" t="s">
        <v>409</v>
      </c>
      <c r="B90" s="95"/>
      <c r="C90" s="87" t="s">
        <v>354</v>
      </c>
      <c r="D90" s="87" t="s">
        <v>32</v>
      </c>
      <c r="E90" s="95"/>
      <c r="F90" s="95" t="s">
        <v>408</v>
      </c>
      <c r="G90" s="95"/>
      <c r="H90" s="87" t="s">
        <v>354</v>
      </c>
      <c r="I90" s="87" t="s">
        <v>32</v>
      </c>
    </row>
    <row r="91" spans="1:9" x14ac:dyDescent="0.3">
      <c r="A91" s="41" t="s">
        <v>161</v>
      </c>
      <c r="B91" s="45">
        <v>0.2155</v>
      </c>
      <c r="C91" t="s">
        <v>444</v>
      </c>
      <c r="D91" t="s">
        <v>445</v>
      </c>
      <c r="F91" t="s">
        <v>161</v>
      </c>
      <c r="G91">
        <v>0.26</v>
      </c>
      <c r="H91" t="s">
        <v>442</v>
      </c>
      <c r="I91" t="s">
        <v>443</v>
      </c>
    </row>
    <row r="92" spans="1:9" x14ac:dyDescent="0.3">
      <c r="A92" s="41" t="s">
        <v>441</v>
      </c>
      <c r="B92" s="45">
        <f>1-B91</f>
        <v>0.78449999999999998</v>
      </c>
      <c r="C92" t="s">
        <v>355</v>
      </c>
      <c r="F92" t="s">
        <v>441</v>
      </c>
      <c r="G92">
        <f>1-G91</f>
        <v>0.74</v>
      </c>
      <c r="H92" t="s">
        <v>355</v>
      </c>
    </row>
    <row r="93" spans="1:9" s="41" customFormat="1" x14ac:dyDescent="0.3">
      <c r="B93" s="45"/>
    </row>
    <row r="94" spans="1:9" s="41" customFormat="1" x14ac:dyDescent="0.3">
      <c r="A94" s="95" t="s">
        <v>653</v>
      </c>
      <c r="B94" s="95"/>
      <c r="C94" s="87" t="s">
        <v>354</v>
      </c>
      <c r="D94" s="87" t="s">
        <v>32</v>
      </c>
      <c r="E94" s="87"/>
      <c r="F94" s="87" t="s">
        <v>654</v>
      </c>
      <c r="G94" s="87"/>
      <c r="H94" s="87" t="s">
        <v>354</v>
      </c>
      <c r="I94" s="87" t="s">
        <v>32</v>
      </c>
    </row>
    <row r="95" spans="1:9" s="41" customFormat="1" x14ac:dyDescent="0.3">
      <c r="A95" s="41" t="s">
        <v>161</v>
      </c>
      <c r="B95" s="45">
        <f>9/60</f>
        <v>0.15</v>
      </c>
      <c r="C95" s="41" t="s">
        <v>657</v>
      </c>
      <c r="D95" s="41" t="s">
        <v>658</v>
      </c>
      <c r="F95" s="41" t="s">
        <v>161</v>
      </c>
      <c r="G95" s="41">
        <v>0</v>
      </c>
      <c r="H95" s="41" t="s">
        <v>655</v>
      </c>
      <c r="I95" s="41" t="s">
        <v>656</v>
      </c>
    </row>
    <row r="96" spans="1:9" s="41" customFormat="1" x14ac:dyDescent="0.3">
      <c r="A96" s="41" t="s">
        <v>371</v>
      </c>
      <c r="B96" s="45">
        <f>1-B95</f>
        <v>0.85</v>
      </c>
      <c r="F96" s="41" t="s">
        <v>371</v>
      </c>
      <c r="G96" s="41">
        <v>1</v>
      </c>
    </row>
    <row r="98" spans="1:9" x14ac:dyDescent="0.3">
      <c r="A98" s="95" t="s">
        <v>9</v>
      </c>
      <c r="B98" s="95"/>
      <c r="C98" s="87" t="s">
        <v>354</v>
      </c>
      <c r="D98" s="87" t="s">
        <v>32</v>
      </c>
      <c r="E98" s="95"/>
      <c r="F98" s="95" t="s">
        <v>203</v>
      </c>
      <c r="G98" s="95"/>
      <c r="H98" s="87" t="s">
        <v>354</v>
      </c>
      <c r="I98" s="87" t="s">
        <v>32</v>
      </c>
    </row>
    <row r="99" spans="1:9" x14ac:dyDescent="0.3">
      <c r="A99" t="s">
        <v>368</v>
      </c>
      <c r="B99">
        <v>0.36099999999999999</v>
      </c>
      <c r="C99" t="s">
        <v>447</v>
      </c>
      <c r="D99" t="s">
        <v>448</v>
      </c>
      <c r="F99" s="41" t="s">
        <v>368</v>
      </c>
      <c r="G99">
        <v>0</v>
      </c>
    </row>
    <row r="100" spans="1:9" x14ac:dyDescent="0.3">
      <c r="A100" t="s">
        <v>446</v>
      </c>
      <c r="B100">
        <f>1-B99</f>
        <v>0.63900000000000001</v>
      </c>
      <c r="C100" t="s">
        <v>355</v>
      </c>
      <c r="F100" s="41" t="s">
        <v>446</v>
      </c>
      <c r="G100">
        <v>1</v>
      </c>
    </row>
    <row r="102" spans="1:9" x14ac:dyDescent="0.3">
      <c r="A102" s="95" t="s">
        <v>161</v>
      </c>
      <c r="B102" s="95"/>
      <c r="C102" s="87" t="s">
        <v>354</v>
      </c>
      <c r="D102" s="87" t="s">
        <v>32</v>
      </c>
      <c r="E102" s="95"/>
      <c r="F102" s="95" t="s">
        <v>371</v>
      </c>
      <c r="G102" s="95"/>
      <c r="H102" s="87" t="s">
        <v>354</v>
      </c>
      <c r="I102" s="87" t="s">
        <v>32</v>
      </c>
    </row>
    <row r="103" spans="1:9" x14ac:dyDescent="0.3">
      <c r="A103" t="s">
        <v>450</v>
      </c>
      <c r="B103">
        <f>77/1500</f>
        <v>5.1333333333333335E-2</v>
      </c>
      <c r="C103" t="s">
        <v>449</v>
      </c>
      <c r="D103" t="s">
        <v>453</v>
      </c>
      <c r="F103" t="s">
        <v>450</v>
      </c>
      <c r="G103">
        <f>3294/99560</f>
        <v>3.3085576536761752E-2</v>
      </c>
      <c r="H103" t="s">
        <v>452</v>
      </c>
      <c r="I103" s="41" t="s">
        <v>453</v>
      </c>
    </row>
    <row r="104" spans="1:9" x14ac:dyDescent="0.3">
      <c r="A104" t="s">
        <v>451</v>
      </c>
      <c r="B104">
        <f>1-B103</f>
        <v>0.94866666666666666</v>
      </c>
      <c r="C104" t="s">
        <v>355</v>
      </c>
      <c r="F104" t="s">
        <v>451</v>
      </c>
      <c r="G104">
        <f>1-G103</f>
        <v>0.9669144234632383</v>
      </c>
      <c r="H104" s="41" t="s">
        <v>355</v>
      </c>
    </row>
  </sheetData>
  <phoneticPr fontId="1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7"/>
  <sheetViews>
    <sheetView topLeftCell="A228" zoomScale="70" zoomScaleNormal="70" workbookViewId="0">
      <selection activeCell="A240" sqref="A240:B240"/>
    </sheetView>
  </sheetViews>
  <sheetFormatPr defaultRowHeight="14.4" x14ac:dyDescent="0.3"/>
  <cols>
    <col min="1" max="1" width="26.77734375" customWidth="1"/>
    <col min="2" max="2" width="14.33203125" bestFit="1" customWidth="1"/>
    <col min="3" max="3" width="40.44140625" style="41" bestFit="1" customWidth="1"/>
    <col min="4" max="4" width="42" style="41" bestFit="1" customWidth="1"/>
    <col min="5" max="5" width="6.77734375" customWidth="1"/>
    <col min="6" max="6" width="34.77734375" customWidth="1"/>
    <col min="7" max="7" width="9.5546875" bestFit="1" customWidth="1"/>
  </cols>
  <sheetData>
    <row r="1" spans="1:10" x14ac:dyDescent="0.3">
      <c r="A1" s="20" t="s">
        <v>43</v>
      </c>
      <c r="B1" s="20"/>
      <c r="C1" s="20"/>
      <c r="D1" s="20"/>
      <c r="E1" s="10"/>
      <c r="F1" s="10"/>
      <c r="G1" s="10"/>
      <c r="H1" s="10"/>
      <c r="I1" s="10"/>
      <c r="J1" s="10"/>
    </row>
    <row r="2" spans="1:10" s="44" customFormat="1" x14ac:dyDescent="0.3">
      <c r="A2" s="10"/>
      <c r="B2" s="10"/>
      <c r="C2" s="10"/>
      <c r="D2" s="10"/>
      <c r="E2" s="10"/>
      <c r="F2" s="10"/>
      <c r="G2" s="10"/>
      <c r="H2" s="10"/>
      <c r="I2" s="10"/>
      <c r="J2" s="10"/>
    </row>
    <row r="3" spans="1:10" s="44" customFormat="1" x14ac:dyDescent="0.3">
      <c r="A3" s="87" t="s">
        <v>290</v>
      </c>
      <c r="B3" s="87"/>
      <c r="C3" s="87" t="s">
        <v>302</v>
      </c>
      <c r="D3" s="87" t="s">
        <v>645</v>
      </c>
      <c r="E3" s="10"/>
      <c r="F3" s="10"/>
      <c r="G3" s="10"/>
      <c r="H3" s="10"/>
    </row>
    <row r="4" spans="1:10" s="44" customFormat="1" x14ac:dyDescent="0.3">
      <c r="A4" s="41"/>
      <c r="B4" s="41"/>
      <c r="C4" s="10"/>
      <c r="D4" s="10"/>
      <c r="E4" s="22"/>
      <c r="F4" s="10"/>
      <c r="G4" s="10"/>
      <c r="H4" s="10"/>
    </row>
    <row r="5" spans="1:10" s="44" customFormat="1" x14ac:dyDescent="0.3">
      <c r="A5" s="41" t="s">
        <v>291</v>
      </c>
      <c r="B5" s="45">
        <f>'Base case probabilities'!B5*(1+e_ANC)</f>
        <v>0.91493099999999994</v>
      </c>
      <c r="C5" s="10" t="s">
        <v>303</v>
      </c>
      <c r="D5" s="10" t="s">
        <v>644</v>
      </c>
      <c r="E5" s="10"/>
      <c r="F5" s="23"/>
      <c r="G5" s="49"/>
      <c r="H5" s="23"/>
      <c r="I5" s="10"/>
    </row>
    <row r="6" spans="1:10" s="44" customFormat="1" x14ac:dyDescent="0.3">
      <c r="A6" s="41" t="s">
        <v>292</v>
      </c>
      <c r="B6" s="45">
        <f>1-G2ANC</f>
        <v>8.5069000000000061E-2</v>
      </c>
      <c r="C6" s="10" t="s">
        <v>304</v>
      </c>
      <c r="D6" s="10"/>
      <c r="E6" s="10"/>
      <c r="F6" s="23"/>
      <c r="G6" s="49"/>
      <c r="H6" s="23"/>
      <c r="I6" s="10"/>
    </row>
    <row r="7" spans="1:10" s="44" customFormat="1" x14ac:dyDescent="0.3">
      <c r="A7" s="41"/>
      <c r="B7" s="45"/>
      <c r="C7" s="10"/>
      <c r="D7" s="10"/>
      <c r="E7" s="10"/>
      <c r="F7" s="23"/>
      <c r="G7" s="49"/>
      <c r="H7" s="23"/>
      <c r="I7" s="10"/>
    </row>
    <row r="8" spans="1:10" s="44" customFormat="1" x14ac:dyDescent="0.3">
      <c r="A8" s="113" t="s">
        <v>293</v>
      </c>
      <c r="B8" s="45"/>
      <c r="C8" s="10"/>
      <c r="D8" s="10"/>
      <c r="E8" s="10"/>
      <c r="F8" s="23" t="s">
        <v>717</v>
      </c>
      <c r="G8" s="49"/>
      <c r="H8" s="23"/>
      <c r="I8" s="10"/>
    </row>
    <row r="9" spans="1:10" s="44" customFormat="1" x14ac:dyDescent="0.3">
      <c r="A9" s="41" t="s">
        <v>454</v>
      </c>
      <c r="B9" s="45">
        <f>'Base case probabilities'!B9</f>
        <v>1.6422801402225271E-2</v>
      </c>
      <c r="C9" s="10" t="s">
        <v>456</v>
      </c>
      <c r="D9" s="10"/>
      <c r="E9" s="10"/>
      <c r="F9" s="23"/>
      <c r="G9" s="49"/>
      <c r="H9" s="23"/>
      <c r="I9" s="10"/>
    </row>
    <row r="10" spans="1:10" s="44" customFormat="1" x14ac:dyDescent="0.3">
      <c r="A10" s="41" t="s">
        <v>455</v>
      </c>
      <c r="B10" s="45">
        <f>'Base case probabilities'!B10</f>
        <v>0.9835771985977747</v>
      </c>
      <c r="C10" s="10" t="s">
        <v>457</v>
      </c>
      <c r="D10" s="10"/>
      <c r="E10" s="10"/>
      <c r="F10" s="23"/>
      <c r="G10" s="49"/>
      <c r="H10" s="23"/>
      <c r="I10" s="10"/>
    </row>
    <row r="11" spans="1:10" s="44" customFormat="1" x14ac:dyDescent="0.3">
      <c r="A11" s="41"/>
      <c r="B11" s="45"/>
      <c r="C11" s="10"/>
      <c r="D11" s="10"/>
      <c r="E11" s="10"/>
      <c r="F11" s="23"/>
      <c r="G11" s="49"/>
      <c r="H11" s="23"/>
      <c r="I11" s="10"/>
    </row>
    <row r="12" spans="1:10" s="44" customFormat="1" x14ac:dyDescent="0.3">
      <c r="A12" s="41" t="s">
        <v>458</v>
      </c>
      <c r="B12" s="45">
        <f>'Base case probabilities'!B26*e_preterm</f>
        <v>0.13286148238153098</v>
      </c>
      <c r="C12" s="10" t="s">
        <v>460</v>
      </c>
      <c r="D12" s="10" t="s">
        <v>644</v>
      </c>
      <c r="E12" s="10"/>
      <c r="F12" s="23"/>
      <c r="G12" s="49"/>
      <c r="H12" s="23"/>
      <c r="I12" s="10"/>
    </row>
    <row r="13" spans="1:10" s="44" customFormat="1" x14ac:dyDescent="0.3">
      <c r="A13" s="41" t="s">
        <v>459</v>
      </c>
      <c r="B13" s="45">
        <f>1-LB2prem_1</f>
        <v>0.86713851761846905</v>
      </c>
      <c r="C13" s="10" t="s">
        <v>461</v>
      </c>
      <c r="D13" s="10"/>
      <c r="E13" s="10"/>
      <c r="F13" s="23"/>
      <c r="G13" s="49"/>
      <c r="H13" s="23"/>
      <c r="I13" s="10"/>
    </row>
    <row r="14" spans="1:10" s="44" customFormat="1" x14ac:dyDescent="0.3">
      <c r="A14" s="41"/>
      <c r="B14" s="45"/>
      <c r="C14" s="10"/>
      <c r="D14" s="10"/>
      <c r="E14" s="10"/>
      <c r="F14" s="22"/>
      <c r="G14" s="10"/>
      <c r="H14" s="10"/>
      <c r="I14" s="10"/>
    </row>
    <row r="15" spans="1:10" s="44" customFormat="1" x14ac:dyDescent="0.3">
      <c r="A15" s="41" t="s">
        <v>294</v>
      </c>
      <c r="B15" s="45">
        <f>'Base case probabilities'!B43*e_LBW</f>
        <v>0.48376271186440678</v>
      </c>
      <c r="C15" s="10" t="s">
        <v>305</v>
      </c>
      <c r="D15" s="10" t="s">
        <v>644</v>
      </c>
      <c r="E15" s="10"/>
      <c r="F15" s="22"/>
      <c r="G15" s="10"/>
      <c r="H15" s="10"/>
      <c r="I15" s="10"/>
    </row>
    <row r="16" spans="1:10" s="44" customFormat="1" x14ac:dyDescent="0.3">
      <c r="A16" s="41" t="s">
        <v>470</v>
      </c>
      <c r="B16" s="45">
        <f>1-Prem2LBW_1</f>
        <v>0.51623728813559322</v>
      </c>
      <c r="C16" s="10" t="s">
        <v>306</v>
      </c>
      <c r="D16" s="10"/>
      <c r="E16" s="10"/>
      <c r="F16" s="22"/>
      <c r="G16" s="10"/>
      <c r="H16" s="10"/>
      <c r="I16" s="10"/>
    </row>
    <row r="17" spans="1:9" s="44" customFormat="1" x14ac:dyDescent="0.3">
      <c r="A17" s="41" t="s">
        <v>462</v>
      </c>
      <c r="B17" s="45">
        <f>'Base case probabilities'!G43*e_LBW</f>
        <v>0.24686153846153844</v>
      </c>
      <c r="C17" s="10" t="s">
        <v>463</v>
      </c>
      <c r="D17" s="10" t="s">
        <v>644</v>
      </c>
      <c r="E17" s="10"/>
      <c r="F17" s="23"/>
      <c r="G17" s="10"/>
      <c r="H17" s="10"/>
      <c r="I17" s="10"/>
    </row>
    <row r="18" spans="1:9" s="44" customFormat="1" x14ac:dyDescent="0.3">
      <c r="A18" s="41" t="s">
        <v>471</v>
      </c>
      <c r="B18" s="45">
        <f>1-LBW2norm_1</f>
        <v>0.75313846153846153</v>
      </c>
      <c r="C18" s="10" t="s">
        <v>308</v>
      </c>
      <c r="D18" s="10"/>
      <c r="E18" s="10"/>
      <c r="F18" s="22"/>
      <c r="G18" s="10"/>
      <c r="H18" s="10"/>
      <c r="I18" s="10"/>
    </row>
    <row r="19" spans="1:9" s="44" customFormat="1" x14ac:dyDescent="0.3">
      <c r="A19" s="41"/>
      <c r="B19" s="45"/>
      <c r="C19" s="10"/>
      <c r="D19" s="10"/>
      <c r="E19" s="10"/>
      <c r="F19" s="22"/>
      <c r="G19" s="10"/>
      <c r="H19" s="10"/>
      <c r="I19" s="10"/>
    </row>
    <row r="20" spans="1:9" s="44" customFormat="1" x14ac:dyDescent="0.3">
      <c r="A20" s="41" t="s">
        <v>464</v>
      </c>
      <c r="B20" s="45">
        <f>'Base case probabilities'!B55*e_SGA</f>
        <v>0.39968592964824123</v>
      </c>
      <c r="C20" s="10" t="s">
        <v>476</v>
      </c>
      <c r="D20" s="10" t="s">
        <v>644</v>
      </c>
      <c r="E20" s="10"/>
      <c r="F20" s="22"/>
      <c r="G20" s="10"/>
      <c r="H20" s="10"/>
      <c r="I20" s="10"/>
    </row>
    <row r="21" spans="1:9" s="44" customFormat="1" x14ac:dyDescent="0.3">
      <c r="A21" s="41" t="s">
        <v>467</v>
      </c>
      <c r="B21" s="45">
        <f>1-LBW_prem_2SGA_1</f>
        <v>0.60031407035175877</v>
      </c>
      <c r="C21" s="10" t="s">
        <v>479</v>
      </c>
      <c r="D21" s="10"/>
      <c r="E21" s="10"/>
      <c r="F21" s="22"/>
      <c r="G21" s="10"/>
      <c r="H21" s="10"/>
      <c r="I21" s="10"/>
    </row>
    <row r="22" spans="1:9" s="44" customFormat="1" x14ac:dyDescent="0.3">
      <c r="A22" s="41" t="s">
        <v>468</v>
      </c>
      <c r="B22" s="45">
        <f>'Base case probabilities'!G55*e_SGA</f>
        <v>0</v>
      </c>
      <c r="C22" s="10" t="s">
        <v>477</v>
      </c>
      <c r="D22" s="10" t="s">
        <v>644</v>
      </c>
      <c r="E22" s="10"/>
      <c r="F22" s="10"/>
      <c r="G22" s="10"/>
      <c r="H22" s="10"/>
    </row>
    <row r="23" spans="1:9" s="44" customFormat="1" x14ac:dyDescent="0.3">
      <c r="A23" s="41" t="s">
        <v>469</v>
      </c>
      <c r="B23" s="45">
        <f>1-NBW_prem_2SGA_1</f>
        <v>1</v>
      </c>
      <c r="C23" s="10" t="s">
        <v>478</v>
      </c>
      <c r="D23" s="10"/>
      <c r="E23" s="10"/>
      <c r="F23" s="10"/>
      <c r="G23" s="10"/>
      <c r="H23" s="10"/>
    </row>
    <row r="24" spans="1:9" s="44" customFormat="1" x14ac:dyDescent="0.3">
      <c r="A24" s="41" t="s">
        <v>472</v>
      </c>
      <c r="B24" s="45">
        <f>'Base case probabilities'!B59*e_SGA</f>
        <v>0.9</v>
      </c>
      <c r="C24" s="10" t="s">
        <v>480</v>
      </c>
      <c r="D24" s="10" t="s">
        <v>644</v>
      </c>
      <c r="E24" s="10"/>
      <c r="F24" s="10"/>
      <c r="G24" s="10"/>
      <c r="H24" s="10"/>
    </row>
    <row r="25" spans="1:9" s="44" customFormat="1" x14ac:dyDescent="0.3">
      <c r="A25" s="41" t="s">
        <v>473</v>
      </c>
      <c r="B25" s="45">
        <f>1-LBW_term_2SGA_1</f>
        <v>9.9999999999999978E-2</v>
      </c>
      <c r="C25" s="10" t="s">
        <v>481</v>
      </c>
      <c r="D25" s="10"/>
      <c r="E25" s="10"/>
      <c r="F25" s="10"/>
      <c r="G25" s="10"/>
      <c r="H25" s="10"/>
    </row>
    <row r="26" spans="1:9" s="44" customFormat="1" x14ac:dyDescent="0.3">
      <c r="A26" s="41" t="s">
        <v>474</v>
      </c>
      <c r="B26" s="45">
        <f>'Base case probabilities'!G59*e_SGA</f>
        <v>0.17096075860597007</v>
      </c>
      <c r="C26" s="10" t="s">
        <v>482</v>
      </c>
      <c r="D26" s="10" t="s">
        <v>644</v>
      </c>
      <c r="E26" s="10"/>
      <c r="F26" s="10"/>
      <c r="G26" s="10"/>
      <c r="H26" s="10"/>
    </row>
    <row r="27" spans="1:9" s="44" customFormat="1" x14ac:dyDescent="0.3">
      <c r="A27" s="41" t="s">
        <v>475</v>
      </c>
      <c r="B27" s="45">
        <f>1-Hypo2cog_1</f>
        <v>0.82903924139402996</v>
      </c>
      <c r="C27" s="10" t="s">
        <v>483</v>
      </c>
      <c r="D27" s="10"/>
      <c r="E27" s="10"/>
      <c r="F27" s="10"/>
      <c r="G27" s="10"/>
      <c r="H27" s="10"/>
    </row>
    <row r="28" spans="1:9" s="44" customFormat="1" x14ac:dyDescent="0.3">
      <c r="A28" s="41"/>
      <c r="B28" s="45"/>
      <c r="C28" s="10"/>
      <c r="D28" s="10"/>
      <c r="E28" s="10"/>
      <c r="F28" s="10"/>
      <c r="G28" s="10"/>
      <c r="H28" s="10"/>
    </row>
    <row r="29" spans="1:9" s="44" customFormat="1" x14ac:dyDescent="0.3">
      <c r="A29" s="88" t="s">
        <v>484</v>
      </c>
      <c r="B29" s="45">
        <f>'Base case probabilities'!B74-'Base case probabilities'!B74*(e_mortality)</f>
        <v>7.4819333333333335E-2</v>
      </c>
      <c r="C29" s="10" t="s">
        <v>492</v>
      </c>
      <c r="D29" s="10" t="s">
        <v>644</v>
      </c>
      <c r="E29" s="10"/>
      <c r="F29" s="10"/>
      <c r="G29" s="10"/>
      <c r="H29" s="10"/>
    </row>
    <row r="30" spans="1:9" s="44" customFormat="1" x14ac:dyDescent="0.3">
      <c r="A30" s="41" t="s">
        <v>485</v>
      </c>
      <c r="B30" s="45">
        <f>1-SGA_prem_2d_1</f>
        <v>0.92518066666666665</v>
      </c>
      <c r="C30" s="10" t="s">
        <v>493</v>
      </c>
      <c r="D30" s="10"/>
      <c r="E30" s="10"/>
      <c r="F30" s="10"/>
      <c r="G30" s="10"/>
      <c r="H30" s="10"/>
    </row>
    <row r="31" spans="1:9" s="44" customFormat="1" x14ac:dyDescent="0.3">
      <c r="A31" s="88" t="s">
        <v>486</v>
      </c>
      <c r="B31" s="45">
        <f>'Base case probabilities'!G74-'Base case probabilities'!G74*(e_mortality)</f>
        <v>3.130575E-2</v>
      </c>
      <c r="C31" s="10" t="s">
        <v>494</v>
      </c>
      <c r="D31" s="10" t="s">
        <v>644</v>
      </c>
      <c r="E31" s="10"/>
      <c r="F31" s="10"/>
      <c r="G31" s="10"/>
      <c r="H31" s="10"/>
    </row>
    <row r="32" spans="1:9" s="44" customFormat="1" x14ac:dyDescent="0.3">
      <c r="A32" s="41" t="s">
        <v>487</v>
      </c>
      <c r="B32" s="45">
        <f>1-AGA_prem_2d_1</f>
        <v>0.96869424999999998</v>
      </c>
      <c r="C32" s="10" t="s">
        <v>495</v>
      </c>
      <c r="D32" s="10"/>
      <c r="E32" s="10"/>
      <c r="F32" s="10"/>
      <c r="G32" s="10"/>
      <c r="H32" s="10"/>
    </row>
    <row r="33" spans="1:8" s="44" customFormat="1" x14ac:dyDescent="0.3">
      <c r="A33" s="88" t="s">
        <v>488</v>
      </c>
      <c r="B33" s="45">
        <f>'Base case probabilities'!B77-'Base case probabilities'!B77*(e_mortality)</f>
        <v>1.1748000000000001E-2</v>
      </c>
      <c r="C33" s="10" t="s">
        <v>496</v>
      </c>
      <c r="D33" s="10" t="s">
        <v>644</v>
      </c>
      <c r="E33" s="10"/>
      <c r="F33" s="10"/>
      <c r="G33" s="10"/>
      <c r="H33" s="10"/>
    </row>
    <row r="34" spans="1:8" s="44" customFormat="1" x14ac:dyDescent="0.3">
      <c r="A34" s="41" t="s">
        <v>489</v>
      </c>
      <c r="B34" s="45">
        <f>1-SGA_term_2d_1</f>
        <v>0.98825200000000002</v>
      </c>
      <c r="C34" s="10" t="s">
        <v>497</v>
      </c>
      <c r="D34" s="10"/>
      <c r="E34" s="10"/>
      <c r="F34" s="10"/>
      <c r="G34" s="10"/>
      <c r="H34" s="10"/>
    </row>
    <row r="35" spans="1:8" s="44" customFormat="1" x14ac:dyDescent="0.3">
      <c r="A35" s="88" t="s">
        <v>490</v>
      </c>
      <c r="B35" s="122">
        <f>'Base case probabilities'!G77-'Base case probabilities'!G77*(e_mortality)</f>
        <v>5.5476666666666669E-3</v>
      </c>
      <c r="C35" s="10" t="s">
        <v>498</v>
      </c>
      <c r="D35" s="10" t="s">
        <v>644</v>
      </c>
      <c r="E35" s="10" t="b">
        <f>F35=AGA_term_2d_1</f>
        <v>0</v>
      </c>
      <c r="F35" s="10">
        <f>'Base case probabilities'!G77</f>
        <v>6.2333333333333338E-3</v>
      </c>
      <c r="G35" s="10"/>
      <c r="H35" s="10"/>
    </row>
    <row r="36" spans="1:8" s="44" customFormat="1" x14ac:dyDescent="0.3">
      <c r="A36" s="41" t="s">
        <v>491</v>
      </c>
      <c r="B36" s="45">
        <f>1-AGA_term_2d_1</f>
        <v>0.99445233333333338</v>
      </c>
      <c r="C36" s="10" t="s">
        <v>499</v>
      </c>
      <c r="D36" s="10"/>
      <c r="E36" s="10"/>
      <c r="F36" s="10"/>
      <c r="G36" s="10"/>
      <c r="H36" s="10"/>
    </row>
    <row r="37" spans="1:8" s="44" customFormat="1" x14ac:dyDescent="0.3">
      <c r="A37" s="41"/>
      <c r="B37" s="45"/>
      <c r="C37" s="10"/>
      <c r="D37" s="10"/>
      <c r="E37" s="10"/>
      <c r="F37" s="10"/>
      <c r="G37" s="10"/>
      <c r="H37" s="10"/>
    </row>
    <row r="38" spans="1:8" s="44" customFormat="1" x14ac:dyDescent="0.3">
      <c r="A38" s="41" t="s">
        <v>500</v>
      </c>
      <c r="B38" s="45">
        <f>'Base case probabilities'!B81</f>
        <v>0.45</v>
      </c>
      <c r="C38" s="10" t="s">
        <v>504</v>
      </c>
      <c r="D38" s="10"/>
      <c r="E38" s="10"/>
      <c r="F38" s="10"/>
      <c r="G38" s="10"/>
      <c r="H38" s="10"/>
    </row>
    <row r="39" spans="1:8" s="44" customFormat="1" x14ac:dyDescent="0.3">
      <c r="A39" s="41" t="s">
        <v>501</v>
      </c>
      <c r="B39" s="45">
        <f>'Base case probabilities'!B82</f>
        <v>0.55000000000000004</v>
      </c>
      <c r="C39" s="10" t="s">
        <v>505</v>
      </c>
      <c r="D39" s="10"/>
      <c r="E39" s="10"/>
      <c r="F39" s="10"/>
      <c r="G39" s="10"/>
      <c r="H39" s="10"/>
    </row>
    <row r="40" spans="1:8" s="44" customFormat="1" x14ac:dyDescent="0.3">
      <c r="A40" s="41" t="s">
        <v>502</v>
      </c>
      <c r="B40" s="45">
        <f>'Base case probabilities'!G81</f>
        <v>0</v>
      </c>
      <c r="C40" s="10" t="s">
        <v>506</v>
      </c>
      <c r="D40" s="10"/>
      <c r="E40" s="10"/>
      <c r="F40" s="10"/>
      <c r="G40" s="10"/>
      <c r="H40" s="10"/>
    </row>
    <row r="41" spans="1:8" s="44" customFormat="1" x14ac:dyDescent="0.3">
      <c r="A41" s="41" t="s">
        <v>503</v>
      </c>
      <c r="B41" s="45">
        <f>'Base case probabilities'!G82</f>
        <v>1</v>
      </c>
      <c r="C41" s="10" t="s">
        <v>507</v>
      </c>
      <c r="D41" s="10"/>
      <c r="E41" s="10"/>
      <c r="F41" s="10"/>
      <c r="G41" s="10"/>
      <c r="H41" s="10"/>
    </row>
    <row r="42" spans="1:8" s="44" customFormat="1" x14ac:dyDescent="0.3">
      <c r="A42" s="41"/>
      <c r="B42" s="45"/>
      <c r="C42" s="10"/>
      <c r="D42" s="10"/>
      <c r="E42" s="10"/>
      <c r="F42" s="10"/>
      <c r="G42" s="10"/>
      <c r="H42" s="10"/>
    </row>
    <row r="43" spans="1:8" s="44" customFormat="1" x14ac:dyDescent="0.3">
      <c r="A43" s="41" t="s">
        <v>508</v>
      </c>
      <c r="B43" s="45">
        <f>'Base case probabilities'!B91</f>
        <v>0.2155</v>
      </c>
      <c r="C43" s="10" t="s">
        <v>515</v>
      </c>
      <c r="D43" s="10"/>
      <c r="E43" s="10"/>
      <c r="F43" s="10"/>
      <c r="G43" s="10"/>
      <c r="H43" s="10"/>
    </row>
    <row r="44" spans="1:8" s="44" customFormat="1" x14ac:dyDescent="0.3">
      <c r="A44" s="41" t="s">
        <v>513</v>
      </c>
      <c r="B44" s="45">
        <f>'Base case probabilities'!B92</f>
        <v>0.78449999999999998</v>
      </c>
      <c r="C44" s="10" t="s">
        <v>516</v>
      </c>
      <c r="D44" s="10"/>
      <c r="E44" s="10"/>
      <c r="F44" s="10"/>
      <c r="G44" s="10"/>
      <c r="H44" s="10"/>
    </row>
    <row r="45" spans="1:8" s="44" customFormat="1" x14ac:dyDescent="0.3">
      <c r="A45" s="41" t="s">
        <v>511</v>
      </c>
      <c r="B45" s="45">
        <f>'Base case probabilities'!G91</f>
        <v>0.26</v>
      </c>
      <c r="C45" s="10" t="s">
        <v>517</v>
      </c>
      <c r="D45" s="10"/>
      <c r="E45" s="10"/>
      <c r="F45" s="10"/>
      <c r="G45" s="10"/>
      <c r="H45" s="10"/>
    </row>
    <row r="46" spans="1:8" s="44" customFormat="1" x14ac:dyDescent="0.3">
      <c r="A46" s="41" t="s">
        <v>514</v>
      </c>
      <c r="B46" s="45">
        <f>'Base case probabilities'!G92</f>
        <v>0.74</v>
      </c>
      <c r="C46" s="10" t="s">
        <v>518</v>
      </c>
      <c r="D46" s="10"/>
      <c r="E46" s="10"/>
      <c r="F46" s="10"/>
      <c r="G46" s="10"/>
      <c r="H46" s="10"/>
    </row>
    <row r="47" spans="1:8" s="44" customFormat="1" x14ac:dyDescent="0.3">
      <c r="A47" s="41" t="s">
        <v>679</v>
      </c>
      <c r="B47" s="45">
        <f>'Base case probabilities'!B95</f>
        <v>0.15</v>
      </c>
      <c r="C47" s="10" t="s">
        <v>663</v>
      </c>
      <c r="D47" s="10"/>
      <c r="E47" s="10"/>
      <c r="F47" s="10"/>
      <c r="G47" s="10"/>
      <c r="H47" s="10"/>
    </row>
    <row r="48" spans="1:8" s="44" customFormat="1" x14ac:dyDescent="0.3">
      <c r="A48" s="41" t="s">
        <v>680</v>
      </c>
      <c r="B48" s="45">
        <f>'Base case probabilities'!B96</f>
        <v>0.85</v>
      </c>
      <c r="C48" s="10" t="s">
        <v>664</v>
      </c>
      <c r="D48" s="10"/>
      <c r="E48" s="10"/>
      <c r="F48" s="10"/>
      <c r="G48" s="10"/>
      <c r="H48" s="10"/>
    </row>
    <row r="49" spans="1:8" s="44" customFormat="1" x14ac:dyDescent="0.3">
      <c r="A49" s="41" t="s">
        <v>681</v>
      </c>
      <c r="B49" s="45">
        <f>'Base case probabilities'!G95</f>
        <v>0</v>
      </c>
      <c r="C49" s="10" t="s">
        <v>661</v>
      </c>
      <c r="D49" s="10"/>
      <c r="E49" s="10"/>
      <c r="F49" s="10"/>
      <c r="G49" s="10"/>
      <c r="H49" s="10"/>
    </row>
    <row r="50" spans="1:8" s="44" customFormat="1" x14ac:dyDescent="0.3">
      <c r="A50" s="41" t="s">
        <v>682</v>
      </c>
      <c r="B50" s="45">
        <f>'Base case probabilities'!G96</f>
        <v>1</v>
      </c>
      <c r="C50" s="10" t="s">
        <v>662</v>
      </c>
      <c r="D50" s="10"/>
      <c r="E50" s="10"/>
      <c r="F50" s="10"/>
      <c r="G50" s="10"/>
      <c r="H50" s="10"/>
    </row>
    <row r="51" spans="1:8" s="44" customFormat="1" x14ac:dyDescent="0.3">
      <c r="A51" s="41"/>
      <c r="B51" s="45"/>
      <c r="C51" s="10"/>
      <c r="D51" s="10"/>
      <c r="E51" s="10"/>
      <c r="F51" s="10"/>
      <c r="G51" s="10"/>
      <c r="H51" s="10"/>
    </row>
    <row r="52" spans="1:8" s="44" customFormat="1" x14ac:dyDescent="0.3">
      <c r="A52" s="41" t="s">
        <v>519</v>
      </c>
      <c r="B52" s="45">
        <f>'Base case probabilities'!B99</f>
        <v>0.36099999999999999</v>
      </c>
      <c r="C52" s="10" t="s">
        <v>307</v>
      </c>
      <c r="D52" s="10"/>
      <c r="E52" s="10"/>
      <c r="F52" s="10"/>
      <c r="G52" s="10"/>
      <c r="H52" s="10"/>
    </row>
    <row r="53" spans="1:8" s="44" customFormat="1" x14ac:dyDescent="0.3">
      <c r="A53" s="41" t="s">
        <v>521</v>
      </c>
      <c r="B53" s="45">
        <f>'Base case probabilities'!B100</f>
        <v>0.63900000000000001</v>
      </c>
      <c r="C53" s="10" t="s">
        <v>523</v>
      </c>
      <c r="D53" s="10"/>
      <c r="E53" s="10"/>
      <c r="F53" s="10"/>
      <c r="G53" s="10"/>
      <c r="H53" s="10"/>
    </row>
    <row r="54" spans="1:8" s="44" customFormat="1" x14ac:dyDescent="0.3">
      <c r="A54" s="41" t="s">
        <v>522</v>
      </c>
      <c r="B54" s="45">
        <f>'Base case probabilities'!G99</f>
        <v>0</v>
      </c>
      <c r="C54" s="10" t="s">
        <v>524</v>
      </c>
      <c r="D54" s="10"/>
      <c r="E54" s="10"/>
      <c r="F54" s="10"/>
      <c r="G54" s="10"/>
      <c r="H54" s="10"/>
    </row>
    <row r="55" spans="1:8" s="44" customFormat="1" x14ac:dyDescent="0.3">
      <c r="A55" s="41" t="s">
        <v>520</v>
      </c>
      <c r="B55" s="45">
        <f>'Base case probabilities'!G100</f>
        <v>1</v>
      </c>
      <c r="C55" s="10" t="s">
        <v>525</v>
      </c>
      <c r="D55" s="10"/>
      <c r="E55" s="10"/>
      <c r="F55" s="10"/>
      <c r="G55" s="10"/>
      <c r="H55" s="10"/>
    </row>
    <row r="56" spans="1:8" s="44" customFormat="1" x14ac:dyDescent="0.3">
      <c r="A56" s="41"/>
      <c r="B56" s="45"/>
      <c r="C56" s="10"/>
      <c r="D56" s="10"/>
      <c r="E56" s="10"/>
      <c r="F56" s="10"/>
      <c r="G56" s="10"/>
      <c r="H56" s="10"/>
    </row>
    <row r="57" spans="1:8" s="44" customFormat="1" x14ac:dyDescent="0.3">
      <c r="A57" s="41" t="s">
        <v>530</v>
      </c>
      <c r="B57" s="45">
        <f>'Base case probabilities'!B103</f>
        <v>5.1333333333333335E-2</v>
      </c>
      <c r="C57" s="10" t="s">
        <v>526</v>
      </c>
      <c r="D57" s="10"/>
      <c r="E57" s="10"/>
      <c r="F57" s="10"/>
      <c r="G57" s="10"/>
      <c r="H57" s="10"/>
    </row>
    <row r="58" spans="1:8" s="44" customFormat="1" x14ac:dyDescent="0.3">
      <c r="A58" s="41" t="s">
        <v>531</v>
      </c>
      <c r="B58" s="45">
        <f>'Base case probabilities'!B104</f>
        <v>0.94866666666666666</v>
      </c>
      <c r="C58" s="10" t="s">
        <v>527</v>
      </c>
      <c r="D58" s="10"/>
      <c r="E58" s="10"/>
      <c r="F58" s="10"/>
      <c r="G58" s="10"/>
      <c r="H58" s="10"/>
    </row>
    <row r="59" spans="1:8" s="44" customFormat="1" x14ac:dyDescent="0.3">
      <c r="A59" s="41" t="s">
        <v>532</v>
      </c>
      <c r="B59" s="45">
        <f>'Base case probabilities'!G103</f>
        <v>3.3085576536761752E-2</v>
      </c>
      <c r="C59" s="10" t="s">
        <v>528</v>
      </c>
      <c r="D59" s="10"/>
      <c r="E59" s="10"/>
      <c r="F59" s="10"/>
      <c r="G59" s="10"/>
      <c r="H59" s="10"/>
    </row>
    <row r="60" spans="1:8" s="44" customFormat="1" x14ac:dyDescent="0.3">
      <c r="A60" s="41" t="s">
        <v>533</v>
      </c>
      <c r="B60" s="45">
        <f>'Base case probabilities'!G104</f>
        <v>0.9669144234632383</v>
      </c>
      <c r="C60" s="10" t="s">
        <v>529</v>
      </c>
      <c r="D60" s="10"/>
      <c r="E60" s="10"/>
      <c r="F60" s="10"/>
      <c r="G60" s="10"/>
      <c r="H60" s="10"/>
    </row>
    <row r="61" spans="1:8" s="44" customFormat="1" x14ac:dyDescent="0.3">
      <c r="A61" s="41"/>
      <c r="B61" s="45"/>
      <c r="C61" s="10"/>
      <c r="D61" s="10"/>
      <c r="E61" s="10"/>
      <c r="F61" s="10"/>
      <c r="G61" s="10"/>
      <c r="H61" s="10"/>
    </row>
    <row r="62" spans="1:8" s="44" customFormat="1" x14ac:dyDescent="0.3">
      <c r="A62" s="95" t="s">
        <v>295</v>
      </c>
      <c r="B62" s="45"/>
      <c r="C62" s="10"/>
      <c r="D62" s="10"/>
      <c r="E62" s="10"/>
      <c r="F62" s="23" t="s">
        <v>717</v>
      </c>
      <c r="G62" s="10"/>
      <c r="H62" s="10"/>
    </row>
    <row r="63" spans="1:8" s="44" customFormat="1" x14ac:dyDescent="0.3">
      <c r="A63" s="41" t="s">
        <v>647</v>
      </c>
      <c r="B63" s="45">
        <f>'Base case probabilities'!G9</f>
        <v>3.1562974203338388E-2</v>
      </c>
      <c r="C63" s="10" t="s">
        <v>649</v>
      </c>
      <c r="D63" s="10"/>
      <c r="E63" s="10"/>
      <c r="F63" s="23"/>
      <c r="G63" s="10"/>
      <c r="H63" s="10"/>
    </row>
    <row r="64" spans="1:8" s="44" customFormat="1" x14ac:dyDescent="0.3">
      <c r="A64" s="41" t="s">
        <v>648</v>
      </c>
      <c r="B64" s="45">
        <f>'Base case probabilities'!G10</f>
        <v>0.96843702579666158</v>
      </c>
      <c r="C64" s="10" t="s">
        <v>650</v>
      </c>
      <c r="D64" s="10"/>
      <c r="E64" s="10"/>
      <c r="F64" s="23"/>
      <c r="G64" s="10"/>
      <c r="H64" s="10"/>
    </row>
    <row r="65" spans="1:8" s="44" customFormat="1" x14ac:dyDescent="0.3">
      <c r="A65" s="41"/>
      <c r="B65" s="45"/>
      <c r="C65" s="10"/>
      <c r="D65" s="10"/>
      <c r="E65" s="10"/>
      <c r="F65" s="23"/>
      <c r="G65" s="10"/>
      <c r="H65" s="10"/>
    </row>
    <row r="66" spans="1:8" s="44" customFormat="1" x14ac:dyDescent="0.3">
      <c r="A66" s="41" t="s">
        <v>536</v>
      </c>
      <c r="B66" s="45">
        <f>'Base case probabilities'!G26*e_preterm</f>
        <v>0.13176882661996497</v>
      </c>
      <c r="C66" s="10" t="s">
        <v>460</v>
      </c>
      <c r="D66" s="10" t="s">
        <v>644</v>
      </c>
      <c r="E66" s="10"/>
      <c r="F66" s="23"/>
      <c r="G66" s="10"/>
      <c r="H66" s="10"/>
    </row>
    <row r="67" spans="1:8" s="44" customFormat="1" x14ac:dyDescent="0.3">
      <c r="A67" s="41" t="s">
        <v>537</v>
      </c>
      <c r="B67" s="45">
        <f>1-LB2prem_2</f>
        <v>0.86823117338003497</v>
      </c>
      <c r="C67" s="10" t="s">
        <v>461</v>
      </c>
      <c r="D67" s="10"/>
      <c r="E67" s="10"/>
      <c r="F67" s="23"/>
      <c r="G67" s="10"/>
      <c r="H67" s="10"/>
    </row>
    <row r="68" spans="1:8" s="44" customFormat="1" x14ac:dyDescent="0.3">
      <c r="A68" s="41"/>
      <c r="B68" s="45"/>
      <c r="C68" s="10"/>
      <c r="D68" s="10"/>
      <c r="E68" s="10"/>
      <c r="F68" s="22"/>
      <c r="G68" s="10"/>
      <c r="H68" s="10"/>
    </row>
    <row r="69" spans="1:8" s="44" customFormat="1" x14ac:dyDescent="0.3">
      <c r="A69" s="41" t="s">
        <v>296</v>
      </c>
      <c r="B69" s="45">
        <f>'Base case probabilities'!B43*e_LBW</f>
        <v>0.48376271186440678</v>
      </c>
      <c r="C69" s="10" t="s">
        <v>305</v>
      </c>
      <c r="D69" s="10" t="s">
        <v>644</v>
      </c>
      <c r="E69" s="10"/>
      <c r="F69" s="22"/>
      <c r="G69" s="10"/>
      <c r="H69" s="10"/>
    </row>
    <row r="70" spans="1:8" s="44" customFormat="1" x14ac:dyDescent="0.3">
      <c r="A70" s="41" t="s">
        <v>538</v>
      </c>
      <c r="B70" s="45">
        <f>1-Prem2LBW_2</f>
        <v>0.51623728813559322</v>
      </c>
      <c r="C70" s="10" t="s">
        <v>306</v>
      </c>
      <c r="D70" s="10"/>
      <c r="E70" s="10"/>
      <c r="F70" s="22"/>
      <c r="G70" s="10"/>
      <c r="H70" s="10"/>
    </row>
    <row r="71" spans="1:8" s="44" customFormat="1" x14ac:dyDescent="0.3">
      <c r="A71" s="41" t="s">
        <v>539</v>
      </c>
      <c r="B71" s="45">
        <f>'Base case probabilities'!G43*e_LBW</f>
        <v>0.24686153846153844</v>
      </c>
      <c r="C71" s="10" t="s">
        <v>463</v>
      </c>
      <c r="D71" s="10" t="s">
        <v>644</v>
      </c>
      <c r="E71" s="10"/>
      <c r="F71" s="23"/>
      <c r="G71" s="10"/>
      <c r="H71" s="10"/>
    </row>
    <row r="72" spans="1:8" s="44" customFormat="1" x14ac:dyDescent="0.3">
      <c r="A72" s="41" t="s">
        <v>540</v>
      </c>
      <c r="B72" s="45">
        <f>1-Term2LBW_2</f>
        <v>0.75313846153846153</v>
      </c>
      <c r="C72" s="10" t="s">
        <v>308</v>
      </c>
      <c r="D72" s="10"/>
      <c r="E72" s="10"/>
      <c r="F72" s="22"/>
      <c r="G72" s="10"/>
      <c r="H72" s="10"/>
    </row>
    <row r="73" spans="1:8" s="44" customFormat="1" x14ac:dyDescent="0.3">
      <c r="A73" s="41"/>
      <c r="B73" s="45"/>
      <c r="C73" s="10"/>
      <c r="D73" s="10"/>
      <c r="E73" s="10"/>
      <c r="F73" s="22"/>
      <c r="G73" s="10"/>
      <c r="H73" s="10"/>
    </row>
    <row r="74" spans="1:8" s="44" customFormat="1" x14ac:dyDescent="0.3">
      <c r="A74" s="41" t="s">
        <v>465</v>
      </c>
      <c r="B74" s="45">
        <f>'Base case probabilities'!B55*e_SGA</f>
        <v>0.39968592964824123</v>
      </c>
      <c r="C74" s="10" t="s">
        <v>476</v>
      </c>
      <c r="D74" s="10" t="s">
        <v>644</v>
      </c>
      <c r="E74" s="10"/>
      <c r="F74" s="22"/>
      <c r="G74" s="10"/>
      <c r="H74" s="10"/>
    </row>
    <row r="75" spans="1:8" s="44" customFormat="1" x14ac:dyDescent="0.3">
      <c r="A75" s="41" t="s">
        <v>466</v>
      </c>
      <c r="B75" s="45">
        <f>1-LBW_prem_2SGA_2</f>
        <v>0.60031407035175877</v>
      </c>
      <c r="C75" s="10" t="s">
        <v>479</v>
      </c>
      <c r="D75" s="10"/>
      <c r="E75" s="10"/>
      <c r="F75" s="22"/>
      <c r="G75" s="10"/>
      <c r="H75" s="10"/>
    </row>
    <row r="76" spans="1:8" s="44" customFormat="1" x14ac:dyDescent="0.3">
      <c r="A76" s="41" t="s">
        <v>541</v>
      </c>
      <c r="B76" s="45">
        <f>'Base case probabilities'!G55*e_SGA</f>
        <v>0</v>
      </c>
      <c r="C76" s="10" t="s">
        <v>477</v>
      </c>
      <c r="D76" s="10" t="s">
        <v>644</v>
      </c>
      <c r="E76" s="10"/>
      <c r="F76" s="10"/>
      <c r="G76" s="10"/>
      <c r="H76" s="10"/>
    </row>
    <row r="77" spans="1:8" s="44" customFormat="1" x14ac:dyDescent="0.3">
      <c r="A77" s="41" t="s">
        <v>542</v>
      </c>
      <c r="B77" s="45">
        <f>1-NBW_prem_2SGA_2</f>
        <v>1</v>
      </c>
      <c r="C77" s="10" t="s">
        <v>478</v>
      </c>
      <c r="D77" s="10"/>
      <c r="E77" s="10"/>
      <c r="F77" s="10"/>
      <c r="G77" s="10"/>
      <c r="H77" s="10"/>
    </row>
    <row r="78" spans="1:8" s="44" customFormat="1" x14ac:dyDescent="0.3">
      <c r="A78" s="41" t="s">
        <v>543</v>
      </c>
      <c r="B78" s="45">
        <f>'Base case probabilities'!B59*e_SGA</f>
        <v>0.9</v>
      </c>
      <c r="C78" s="10" t="s">
        <v>480</v>
      </c>
      <c r="D78" s="10" t="s">
        <v>644</v>
      </c>
      <c r="E78" s="10"/>
      <c r="F78" s="10"/>
      <c r="G78" s="10"/>
      <c r="H78" s="10"/>
    </row>
    <row r="79" spans="1:8" s="44" customFormat="1" x14ac:dyDescent="0.3">
      <c r="A79" s="41" t="s">
        <v>544</v>
      </c>
      <c r="B79" s="45">
        <f>1-LBW_term_2SGA_2</f>
        <v>9.9999999999999978E-2</v>
      </c>
      <c r="C79" s="10" t="s">
        <v>481</v>
      </c>
      <c r="D79" s="10"/>
      <c r="E79" s="10"/>
      <c r="F79" s="10"/>
      <c r="G79" s="10"/>
      <c r="H79" s="10"/>
    </row>
    <row r="80" spans="1:8" s="44" customFormat="1" x14ac:dyDescent="0.3">
      <c r="A80" s="41" t="s">
        <v>545</v>
      </c>
      <c r="B80" s="45">
        <f>'Base case probabilities'!G59*e_SGA</f>
        <v>0.17096075860597007</v>
      </c>
      <c r="C80" s="10" t="s">
        <v>482</v>
      </c>
      <c r="D80" s="10" t="s">
        <v>644</v>
      </c>
      <c r="E80" s="10"/>
      <c r="F80" s="10"/>
      <c r="G80" s="10"/>
      <c r="H80" s="10"/>
    </row>
    <row r="81" spans="1:8" s="44" customFormat="1" x14ac:dyDescent="0.3">
      <c r="A81" s="41" t="s">
        <v>546</v>
      </c>
      <c r="B81" s="45">
        <f>1-NBW_term_2SGA_2</f>
        <v>0.82903924139402996</v>
      </c>
      <c r="C81" s="10" t="s">
        <v>483</v>
      </c>
      <c r="D81" s="10"/>
      <c r="E81" s="10"/>
      <c r="F81" s="10"/>
      <c r="G81" s="10"/>
      <c r="H81" s="10"/>
    </row>
    <row r="82" spans="1:8" s="44" customFormat="1" x14ac:dyDescent="0.3">
      <c r="A82" s="41"/>
      <c r="B82" s="45"/>
      <c r="C82" s="10"/>
      <c r="D82" s="10"/>
      <c r="E82" s="10"/>
      <c r="F82" s="10"/>
      <c r="G82" s="10"/>
      <c r="H82" s="10"/>
    </row>
    <row r="83" spans="1:8" s="44" customFormat="1" x14ac:dyDescent="0.3">
      <c r="A83" s="88" t="s">
        <v>547</v>
      </c>
      <c r="B83" s="45">
        <f>'Base case probabilities'!B74-'Base case probabilities'!B74*(e_mortality)</f>
        <v>7.4819333333333335E-2</v>
      </c>
      <c r="C83" s="10" t="s">
        <v>492</v>
      </c>
      <c r="D83" s="10" t="s">
        <v>644</v>
      </c>
      <c r="E83" s="10"/>
      <c r="F83" s="10"/>
      <c r="G83" s="10"/>
      <c r="H83" s="10"/>
    </row>
    <row r="84" spans="1:8" s="44" customFormat="1" x14ac:dyDescent="0.3">
      <c r="A84" s="41" t="s">
        <v>548</v>
      </c>
      <c r="B84" s="45">
        <f>1-SGA_prem_2d_2</f>
        <v>0.92518066666666665</v>
      </c>
      <c r="C84" s="10" t="s">
        <v>493</v>
      </c>
      <c r="D84" s="10"/>
      <c r="E84" s="10"/>
      <c r="F84" s="10"/>
      <c r="G84" s="10"/>
      <c r="H84" s="10"/>
    </row>
    <row r="85" spans="1:8" s="44" customFormat="1" x14ac:dyDescent="0.3">
      <c r="A85" s="88" t="s">
        <v>549</v>
      </c>
      <c r="B85" s="45">
        <f>'Base case probabilities'!G74-'Base case probabilities'!G74*(e_mortality)</f>
        <v>3.130575E-2</v>
      </c>
      <c r="C85" s="10" t="s">
        <v>494</v>
      </c>
      <c r="D85" s="10" t="s">
        <v>644</v>
      </c>
      <c r="E85" s="10"/>
      <c r="F85" s="10"/>
      <c r="G85" s="10"/>
      <c r="H85" s="10"/>
    </row>
    <row r="86" spans="1:8" s="44" customFormat="1" x14ac:dyDescent="0.3">
      <c r="A86" s="41" t="s">
        <v>550</v>
      </c>
      <c r="B86" s="45">
        <f>1-AGA_prem_2d_2</f>
        <v>0.96869424999999998</v>
      </c>
      <c r="C86" s="10" t="s">
        <v>495</v>
      </c>
      <c r="D86" s="10"/>
      <c r="E86" s="10"/>
      <c r="F86" s="10"/>
      <c r="G86" s="10"/>
      <c r="H86" s="10"/>
    </row>
    <row r="87" spans="1:8" s="44" customFormat="1" x14ac:dyDescent="0.3">
      <c r="A87" s="88" t="s">
        <v>551</v>
      </c>
      <c r="B87" s="122">
        <f>'Base case probabilities'!B77-'Base case probabilities'!B77*(e_mortality)</f>
        <v>1.1748000000000001E-2</v>
      </c>
      <c r="C87" s="10" t="s">
        <v>496</v>
      </c>
      <c r="D87" s="10" t="s">
        <v>644</v>
      </c>
      <c r="E87" s="10"/>
      <c r="F87" s="10"/>
      <c r="G87" s="10"/>
      <c r="H87" s="10"/>
    </row>
    <row r="88" spans="1:8" s="44" customFormat="1" x14ac:dyDescent="0.3">
      <c r="A88" s="41" t="s">
        <v>552</v>
      </c>
      <c r="B88" s="45">
        <f>1-SGA_term_2d_2</f>
        <v>0.98825200000000002</v>
      </c>
      <c r="C88" s="10" t="s">
        <v>497</v>
      </c>
      <c r="D88" s="10"/>
      <c r="E88" s="10"/>
      <c r="F88" s="10"/>
      <c r="G88" s="10"/>
      <c r="H88" s="10"/>
    </row>
    <row r="89" spans="1:8" s="44" customFormat="1" x14ac:dyDescent="0.3">
      <c r="A89" s="88" t="s">
        <v>553</v>
      </c>
      <c r="B89" s="45">
        <f>'Base case probabilities'!G77-'Base case probabilities'!G77*(e_mortality)</f>
        <v>5.5476666666666669E-3</v>
      </c>
      <c r="C89" s="10" t="s">
        <v>498</v>
      </c>
      <c r="D89" s="10" t="s">
        <v>644</v>
      </c>
      <c r="E89" s="10"/>
      <c r="F89" s="10"/>
      <c r="G89" s="10"/>
      <c r="H89" s="10"/>
    </row>
    <row r="90" spans="1:8" s="44" customFormat="1" x14ac:dyDescent="0.3">
      <c r="A90" s="41" t="s">
        <v>554</v>
      </c>
      <c r="B90" s="45">
        <f>1-AGA_term_2d_2</f>
        <v>0.99445233333333338</v>
      </c>
      <c r="C90" s="10" t="s">
        <v>499</v>
      </c>
      <c r="D90" s="10"/>
      <c r="E90" s="10"/>
      <c r="F90" s="10"/>
      <c r="G90" s="10"/>
      <c r="H90" s="10"/>
    </row>
    <row r="91" spans="1:8" s="44" customFormat="1" x14ac:dyDescent="0.3">
      <c r="A91" s="41"/>
      <c r="B91" s="45"/>
      <c r="C91" s="10"/>
      <c r="D91" s="10"/>
      <c r="E91" s="10"/>
      <c r="F91" s="10"/>
      <c r="G91" s="10"/>
      <c r="H91" s="10"/>
    </row>
    <row r="92" spans="1:8" s="44" customFormat="1" x14ac:dyDescent="0.3">
      <c r="A92" s="41" t="s">
        <v>555</v>
      </c>
      <c r="B92" s="45">
        <f>'Base case probabilities'!B81</f>
        <v>0.45</v>
      </c>
      <c r="C92" s="10" t="s">
        <v>504</v>
      </c>
      <c r="D92" s="10"/>
      <c r="E92" s="10"/>
      <c r="F92" s="10"/>
      <c r="G92" s="10"/>
      <c r="H92" s="10"/>
    </row>
    <row r="93" spans="1:8" s="44" customFormat="1" x14ac:dyDescent="0.3">
      <c r="A93" s="41" t="s">
        <v>556</v>
      </c>
      <c r="B93" s="45">
        <f>'Base case probabilities'!B82</f>
        <v>0.55000000000000004</v>
      </c>
      <c r="C93" s="10" t="s">
        <v>505</v>
      </c>
      <c r="D93" s="10"/>
      <c r="E93" s="10"/>
      <c r="F93" s="10"/>
      <c r="G93" s="10"/>
      <c r="H93" s="10"/>
    </row>
    <row r="94" spans="1:8" s="44" customFormat="1" x14ac:dyDescent="0.3">
      <c r="A94" s="41" t="s">
        <v>557</v>
      </c>
      <c r="B94" s="45">
        <f>'Base case probabilities'!G81</f>
        <v>0</v>
      </c>
      <c r="C94" s="10" t="s">
        <v>506</v>
      </c>
      <c r="D94" s="10"/>
      <c r="E94" s="10"/>
      <c r="F94" s="10"/>
      <c r="G94" s="10"/>
      <c r="H94" s="10"/>
    </row>
    <row r="95" spans="1:8" s="44" customFormat="1" x14ac:dyDescent="0.3">
      <c r="A95" s="41" t="s">
        <v>558</v>
      </c>
      <c r="B95" s="45">
        <f>'Base case probabilities'!G82</f>
        <v>1</v>
      </c>
      <c r="C95" s="10" t="s">
        <v>507</v>
      </c>
      <c r="D95" s="10"/>
      <c r="E95" s="10"/>
      <c r="F95" s="10"/>
      <c r="G95" s="10"/>
      <c r="H95" s="10"/>
    </row>
    <row r="96" spans="1:8" s="44" customFormat="1" x14ac:dyDescent="0.3">
      <c r="A96" s="41"/>
      <c r="B96" s="45"/>
      <c r="C96" s="10"/>
      <c r="D96" s="10"/>
      <c r="E96" s="10"/>
      <c r="F96" s="10"/>
      <c r="G96" s="10"/>
      <c r="H96" s="10"/>
    </row>
    <row r="97" spans="1:8" s="44" customFormat="1" x14ac:dyDescent="0.3">
      <c r="A97" s="41" t="s">
        <v>509</v>
      </c>
      <c r="B97" s="45">
        <f>'Base case probabilities'!B91</f>
        <v>0.2155</v>
      </c>
      <c r="C97" s="10" t="s">
        <v>515</v>
      </c>
      <c r="D97" s="10"/>
      <c r="E97" s="10"/>
      <c r="F97" s="10"/>
      <c r="G97" s="10"/>
      <c r="H97" s="10"/>
    </row>
    <row r="98" spans="1:8" s="44" customFormat="1" x14ac:dyDescent="0.3">
      <c r="A98" s="41" t="s">
        <v>510</v>
      </c>
      <c r="B98" s="45">
        <f>'Base case probabilities'!B92</f>
        <v>0.78449999999999998</v>
      </c>
      <c r="C98" s="10" t="s">
        <v>516</v>
      </c>
      <c r="D98" s="10"/>
      <c r="E98" s="10"/>
      <c r="F98" s="10"/>
      <c r="G98" s="10"/>
      <c r="H98" s="10"/>
    </row>
    <row r="99" spans="1:8" s="44" customFormat="1" x14ac:dyDescent="0.3">
      <c r="A99" s="41" t="s">
        <v>559</v>
      </c>
      <c r="B99" s="45">
        <f>'Base case probabilities'!G91</f>
        <v>0.26</v>
      </c>
      <c r="C99" s="10" t="s">
        <v>517</v>
      </c>
      <c r="D99" s="10"/>
      <c r="E99" s="10"/>
      <c r="F99" s="10"/>
      <c r="G99" s="10"/>
      <c r="H99" s="10"/>
    </row>
    <row r="100" spans="1:8" s="44" customFormat="1" x14ac:dyDescent="0.3">
      <c r="A100" s="41" t="s">
        <v>512</v>
      </c>
      <c r="B100" s="45">
        <f>'Base case probabilities'!G92</f>
        <v>0.74</v>
      </c>
      <c r="C100" s="10" t="s">
        <v>518</v>
      </c>
      <c r="D100" s="10"/>
      <c r="E100" s="10"/>
      <c r="F100" s="10"/>
      <c r="G100" s="10"/>
      <c r="H100" s="10"/>
    </row>
    <row r="101" spans="1:8" s="44" customFormat="1" x14ac:dyDescent="0.3">
      <c r="A101" s="41" t="s">
        <v>683</v>
      </c>
      <c r="B101" s="45">
        <f>'Base case probabilities'!B95</f>
        <v>0.15</v>
      </c>
      <c r="C101" s="10" t="s">
        <v>663</v>
      </c>
      <c r="D101" s="10"/>
      <c r="E101" s="10"/>
      <c r="F101" s="10"/>
      <c r="G101" s="10"/>
      <c r="H101" s="10"/>
    </row>
    <row r="102" spans="1:8" s="44" customFormat="1" x14ac:dyDescent="0.3">
      <c r="A102" s="41" t="s">
        <v>684</v>
      </c>
      <c r="B102" s="45">
        <f>'Base case probabilities'!B96</f>
        <v>0.85</v>
      </c>
      <c r="C102" s="10" t="s">
        <v>664</v>
      </c>
      <c r="D102" s="10"/>
      <c r="E102" s="10"/>
      <c r="F102" s="10"/>
      <c r="G102" s="10"/>
      <c r="H102" s="10"/>
    </row>
    <row r="103" spans="1:8" s="44" customFormat="1" x14ac:dyDescent="0.3">
      <c r="A103" s="41" t="s">
        <v>685</v>
      </c>
      <c r="B103" s="45">
        <f>'Base case probabilities'!G95</f>
        <v>0</v>
      </c>
      <c r="C103" s="10" t="s">
        <v>661</v>
      </c>
      <c r="D103" s="10"/>
      <c r="E103" s="10"/>
      <c r="F103" s="10"/>
      <c r="G103" s="10"/>
      <c r="H103" s="10"/>
    </row>
    <row r="104" spans="1:8" s="44" customFormat="1" x14ac:dyDescent="0.3">
      <c r="A104" s="41" t="s">
        <v>686</v>
      </c>
      <c r="B104" s="45">
        <f>'Base case probabilities'!G96</f>
        <v>1</v>
      </c>
      <c r="C104" s="10" t="s">
        <v>662</v>
      </c>
      <c r="D104" s="10"/>
      <c r="E104" s="10"/>
      <c r="F104" s="10"/>
      <c r="G104" s="10"/>
      <c r="H104" s="10"/>
    </row>
    <row r="105" spans="1:8" s="44" customFormat="1" x14ac:dyDescent="0.3">
      <c r="A105" s="41"/>
      <c r="B105" s="45"/>
      <c r="C105" s="10"/>
      <c r="D105" s="10"/>
      <c r="E105" s="10"/>
      <c r="F105" s="10"/>
      <c r="G105" s="10"/>
      <c r="H105" s="10"/>
    </row>
    <row r="106" spans="1:8" s="44" customFormat="1" x14ac:dyDescent="0.3">
      <c r="A106" s="41" t="s">
        <v>560</v>
      </c>
      <c r="B106" s="45">
        <f>'Base case probabilities'!B99</f>
        <v>0.36099999999999999</v>
      </c>
      <c r="C106" s="10" t="s">
        <v>307</v>
      </c>
      <c r="D106" s="10"/>
      <c r="E106" s="10"/>
      <c r="F106" s="10"/>
      <c r="G106" s="10"/>
      <c r="H106" s="10"/>
    </row>
    <row r="107" spans="1:8" s="44" customFormat="1" x14ac:dyDescent="0.3">
      <c r="A107" s="41" t="s">
        <v>561</v>
      </c>
      <c r="B107" s="45">
        <f>'Base case probabilities'!B100</f>
        <v>0.63900000000000001</v>
      </c>
      <c r="C107" s="10" t="s">
        <v>523</v>
      </c>
      <c r="D107" s="10"/>
      <c r="E107" s="10"/>
      <c r="F107" s="10"/>
      <c r="G107" s="10"/>
      <c r="H107" s="10"/>
    </row>
    <row r="108" spans="1:8" s="44" customFormat="1" x14ac:dyDescent="0.3">
      <c r="A108" s="41" t="s">
        <v>562</v>
      </c>
      <c r="B108" s="45">
        <f>'Base case probabilities'!G99</f>
        <v>0</v>
      </c>
      <c r="C108" s="10" t="s">
        <v>524</v>
      </c>
      <c r="D108" s="10"/>
      <c r="E108" s="10"/>
      <c r="F108" s="10"/>
      <c r="G108" s="10"/>
      <c r="H108" s="10"/>
    </row>
    <row r="109" spans="1:8" s="44" customFormat="1" x14ac:dyDescent="0.3">
      <c r="A109" s="41" t="s">
        <v>563</v>
      </c>
      <c r="B109" s="45">
        <f>'Base case probabilities'!G100</f>
        <v>1</v>
      </c>
      <c r="C109" s="10" t="s">
        <v>525</v>
      </c>
      <c r="D109" s="10"/>
      <c r="E109" s="10"/>
      <c r="F109" s="10"/>
      <c r="G109" s="10"/>
      <c r="H109" s="10"/>
    </row>
    <row r="110" spans="1:8" s="44" customFormat="1" x14ac:dyDescent="0.3">
      <c r="A110" s="41"/>
      <c r="B110" s="45"/>
      <c r="C110" s="10"/>
      <c r="D110" s="10"/>
      <c r="E110" s="10"/>
      <c r="F110" s="10"/>
      <c r="G110" s="10"/>
      <c r="H110" s="10"/>
    </row>
    <row r="111" spans="1:8" s="44" customFormat="1" x14ac:dyDescent="0.3">
      <c r="A111" s="41" t="s">
        <v>564</v>
      </c>
      <c r="B111" s="45">
        <f>'Base case probabilities'!B103</f>
        <v>5.1333333333333335E-2</v>
      </c>
      <c r="C111" s="10" t="s">
        <v>526</v>
      </c>
      <c r="D111" s="10"/>
      <c r="E111" s="10"/>
      <c r="F111" s="10"/>
      <c r="G111" s="10"/>
      <c r="H111" s="10"/>
    </row>
    <row r="112" spans="1:8" s="44" customFormat="1" x14ac:dyDescent="0.3">
      <c r="A112" s="41" t="s">
        <v>565</v>
      </c>
      <c r="B112" s="45">
        <f>'Base case probabilities'!B104</f>
        <v>0.94866666666666666</v>
      </c>
      <c r="C112" s="10" t="s">
        <v>527</v>
      </c>
      <c r="D112" s="10"/>
      <c r="E112" s="10"/>
      <c r="F112" s="10"/>
      <c r="G112" s="10"/>
      <c r="H112" s="10"/>
    </row>
    <row r="113" spans="1:10" s="44" customFormat="1" x14ac:dyDescent="0.3">
      <c r="A113" s="41" t="s">
        <v>566</v>
      </c>
      <c r="B113" s="45">
        <f>'Base case probabilities'!G103</f>
        <v>3.3085576536761752E-2</v>
      </c>
      <c r="C113" s="10" t="s">
        <v>528</v>
      </c>
      <c r="D113" s="10"/>
      <c r="E113" s="10"/>
      <c r="F113" s="10"/>
      <c r="G113" s="10"/>
      <c r="H113" s="10"/>
    </row>
    <row r="114" spans="1:10" s="44" customFormat="1" x14ac:dyDescent="0.3">
      <c r="A114" s="41" t="s">
        <v>567</v>
      </c>
      <c r="B114" s="45">
        <f>'Base case probabilities'!G104</f>
        <v>0.9669144234632383</v>
      </c>
      <c r="C114" s="10" t="s">
        <v>529</v>
      </c>
      <c r="D114" s="10"/>
      <c r="E114" s="10"/>
      <c r="F114" s="10"/>
      <c r="G114" s="10"/>
      <c r="H114" s="10"/>
      <c r="I114" s="10"/>
    </row>
    <row r="115" spans="1:10" s="44" customFormat="1" x14ac:dyDescent="0.3">
      <c r="A115" s="41"/>
      <c r="B115" s="45"/>
      <c r="C115" s="10"/>
      <c r="D115" s="10"/>
      <c r="E115" s="10"/>
      <c r="F115" s="10"/>
      <c r="G115" s="10"/>
      <c r="H115" s="10"/>
    </row>
    <row r="116" spans="1:10" s="44" customFormat="1" x14ac:dyDescent="0.3">
      <c r="A116" s="87" t="s">
        <v>297</v>
      </c>
      <c r="B116" s="87"/>
      <c r="C116" s="87" t="s">
        <v>302</v>
      </c>
      <c r="D116" s="87"/>
      <c r="E116" s="10"/>
      <c r="F116" s="10"/>
      <c r="G116" s="10"/>
      <c r="H116" s="10"/>
    </row>
    <row r="117" spans="1:10" s="44" customFormat="1" x14ac:dyDescent="0.3">
      <c r="A117" s="41"/>
      <c r="B117" s="41"/>
      <c r="C117" s="10"/>
      <c r="D117" s="10"/>
      <c r="E117" s="22"/>
      <c r="F117" s="10"/>
      <c r="G117" s="10"/>
      <c r="H117" s="10"/>
    </row>
    <row r="118" spans="1:10" s="44" customFormat="1" x14ac:dyDescent="0.3">
      <c r="A118" s="41" t="s">
        <v>534</v>
      </c>
      <c r="B118" s="45">
        <f>'Base case probabilities'!B5</f>
        <v>0.83099999999999996</v>
      </c>
      <c r="C118" s="10" t="s">
        <v>309</v>
      </c>
      <c r="D118" s="10">
        <f>G2ANC</f>
        <v>0.91493099999999994</v>
      </c>
      <c r="E118" s="10"/>
      <c r="F118" s="10" t="b">
        <f>D118=B118</f>
        <v>0</v>
      </c>
      <c r="G118" s="10"/>
      <c r="H118" s="10"/>
    </row>
    <row r="119" spans="1:10" s="44" customFormat="1" x14ac:dyDescent="0.3">
      <c r="A119" s="41" t="s">
        <v>535</v>
      </c>
      <c r="B119" s="45">
        <f>'Base case probabilities'!B6</f>
        <v>0.16900000000000004</v>
      </c>
      <c r="C119" s="10" t="s">
        <v>310</v>
      </c>
      <c r="D119" s="10"/>
      <c r="E119" s="10"/>
      <c r="F119" s="10"/>
      <c r="G119" s="10"/>
      <c r="H119" s="10"/>
    </row>
    <row r="120" spans="1:10" s="44" customFormat="1" x14ac:dyDescent="0.3">
      <c r="A120" s="41"/>
      <c r="B120" s="45"/>
      <c r="C120" s="10"/>
      <c r="D120" s="10"/>
      <c r="E120" s="10"/>
      <c r="F120" s="10"/>
      <c r="G120" s="10"/>
      <c r="H120" s="10"/>
    </row>
    <row r="121" spans="1:10" s="44" customFormat="1" x14ac:dyDescent="0.3">
      <c r="A121" s="113" t="s">
        <v>298</v>
      </c>
      <c r="B121" s="45"/>
      <c r="C121" s="10"/>
      <c r="D121" s="10"/>
      <c r="E121" s="10"/>
      <c r="F121" s="10" t="s">
        <v>717</v>
      </c>
      <c r="G121" s="10"/>
      <c r="H121" s="10"/>
    </row>
    <row r="122" spans="1:10" s="44" customFormat="1" x14ac:dyDescent="0.3">
      <c r="A122" s="41" t="s">
        <v>568</v>
      </c>
      <c r="B122" s="45">
        <f>'Base case probabilities'!B9</f>
        <v>1.6422801402225271E-2</v>
      </c>
      <c r="C122" s="10" t="s">
        <v>456</v>
      </c>
      <c r="D122" s="10"/>
      <c r="E122" s="10"/>
      <c r="F122" s="10"/>
      <c r="G122" s="10"/>
      <c r="H122" s="10"/>
      <c r="I122" s="10"/>
    </row>
    <row r="123" spans="1:10" x14ac:dyDescent="0.3">
      <c r="A123" s="41" t="s">
        <v>569</v>
      </c>
      <c r="B123" s="45">
        <f>'Base case probabilities'!B10</f>
        <v>0.9835771985977747</v>
      </c>
      <c r="C123" s="10" t="s">
        <v>457</v>
      </c>
      <c r="D123" s="10">
        <f>ANC2LB_1</f>
        <v>0.9835771985977747</v>
      </c>
      <c r="E123" s="10"/>
      <c r="F123" s="10" t="b">
        <f>D123=B123</f>
        <v>1</v>
      </c>
      <c r="G123" s="10"/>
      <c r="H123" s="10"/>
      <c r="I123" s="10"/>
      <c r="J123" s="10"/>
    </row>
    <row r="124" spans="1:10" x14ac:dyDescent="0.3">
      <c r="A124" s="41"/>
      <c r="B124" s="45"/>
      <c r="C124" s="10"/>
      <c r="D124" s="10"/>
      <c r="E124" s="10"/>
      <c r="F124" s="10"/>
      <c r="G124" s="10"/>
      <c r="H124" s="10"/>
      <c r="I124" s="10"/>
      <c r="J124" s="10"/>
    </row>
    <row r="125" spans="1:10" x14ac:dyDescent="0.3">
      <c r="A125" s="41" t="s">
        <v>570</v>
      </c>
      <c r="B125" s="45">
        <f>'Base case probabilities'!B26</f>
        <v>0.17481773997569866</v>
      </c>
      <c r="C125" s="10" t="s">
        <v>460</v>
      </c>
      <c r="D125" s="10"/>
      <c r="E125" s="10"/>
      <c r="F125" s="10"/>
      <c r="G125" s="10"/>
      <c r="H125" s="10"/>
      <c r="I125" s="10"/>
      <c r="J125" s="10"/>
    </row>
    <row r="126" spans="1:10" s="41" customFormat="1" x14ac:dyDescent="0.3">
      <c r="A126" s="41" t="s">
        <v>571</v>
      </c>
      <c r="B126" s="45">
        <f>'Base case probabilities'!B27</f>
        <v>0.82518226002430128</v>
      </c>
      <c r="C126" s="10" t="s">
        <v>461</v>
      </c>
      <c r="D126" s="10">
        <f>LB2term_1</f>
        <v>0.86713851761846905</v>
      </c>
      <c r="E126" s="10"/>
      <c r="F126" s="10" t="b">
        <f>D126=B126</f>
        <v>0</v>
      </c>
      <c r="G126" s="10"/>
      <c r="H126" s="10"/>
      <c r="I126" s="10"/>
      <c r="J126" s="10"/>
    </row>
    <row r="127" spans="1:10" x14ac:dyDescent="0.3">
      <c r="A127" s="41"/>
      <c r="B127" s="45"/>
      <c r="C127" s="10"/>
      <c r="D127" s="10"/>
      <c r="E127" s="10"/>
      <c r="F127" s="10"/>
      <c r="G127" s="10"/>
      <c r="H127" s="10"/>
      <c r="I127" s="10"/>
      <c r="J127" s="10"/>
    </row>
    <row r="128" spans="1:10" s="41" customFormat="1" x14ac:dyDescent="0.3">
      <c r="A128" s="41" t="s">
        <v>299</v>
      </c>
      <c r="B128" s="45">
        <f>'Base case probabilities'!B43</f>
        <v>0.68135593220338986</v>
      </c>
      <c r="C128" s="10" t="s">
        <v>305</v>
      </c>
      <c r="D128" s="10"/>
      <c r="E128" s="10"/>
      <c r="F128" s="10"/>
      <c r="G128" s="10"/>
      <c r="H128" s="10"/>
      <c r="I128" s="10"/>
      <c r="J128" s="10"/>
    </row>
    <row r="129" spans="1:10" x14ac:dyDescent="0.3">
      <c r="A129" s="41" t="s">
        <v>572</v>
      </c>
      <c r="B129" s="45">
        <f>'Base case probabilities'!B44</f>
        <v>0.31864406779661014</v>
      </c>
      <c r="C129" s="10" t="s">
        <v>306</v>
      </c>
      <c r="D129" s="10"/>
      <c r="E129" s="10"/>
      <c r="F129" s="10"/>
      <c r="G129" s="10"/>
      <c r="H129" s="10"/>
      <c r="I129" s="10"/>
      <c r="J129" s="10"/>
    </row>
    <row r="130" spans="1:10" x14ac:dyDescent="0.3">
      <c r="A130" s="41" t="s">
        <v>573</v>
      </c>
      <c r="B130" s="45">
        <f>'Base case probabilities'!G43</f>
        <v>0.34769230769230769</v>
      </c>
      <c r="C130" s="10" t="s">
        <v>463</v>
      </c>
      <c r="D130" s="10"/>
      <c r="E130" s="10"/>
      <c r="F130" s="10"/>
      <c r="G130" s="10"/>
      <c r="H130" s="10"/>
      <c r="I130" s="10"/>
      <c r="J130" s="10"/>
    </row>
    <row r="131" spans="1:10" x14ac:dyDescent="0.3">
      <c r="A131" s="41" t="s">
        <v>574</v>
      </c>
      <c r="B131" s="45">
        <f>'Base case probabilities'!G44</f>
        <v>0.65230769230769226</v>
      </c>
      <c r="C131" s="10" t="s">
        <v>308</v>
      </c>
      <c r="D131" s="10">
        <f>Term2NBW_1</f>
        <v>0.75313846153846153</v>
      </c>
      <c r="E131" s="10"/>
      <c r="F131" s="10" t="b">
        <f>D131=B131</f>
        <v>0</v>
      </c>
      <c r="G131" s="10"/>
      <c r="H131" s="10"/>
      <c r="I131" s="10"/>
      <c r="J131" s="10"/>
    </row>
    <row r="132" spans="1:10" x14ac:dyDescent="0.3">
      <c r="A132" s="41"/>
      <c r="B132" s="45"/>
      <c r="C132" s="10"/>
      <c r="D132" s="10"/>
      <c r="E132" s="10"/>
      <c r="F132" s="10"/>
      <c r="G132" s="10"/>
      <c r="H132" s="10"/>
      <c r="I132" s="10"/>
      <c r="J132" s="10"/>
    </row>
    <row r="133" spans="1:10" x14ac:dyDescent="0.3">
      <c r="A133" s="41" t="s">
        <v>575</v>
      </c>
      <c r="B133" s="45">
        <f>'Base case probabilities'!B55</f>
        <v>0.44409547738693467</v>
      </c>
      <c r="C133" s="10" t="s">
        <v>476</v>
      </c>
      <c r="E133" s="10"/>
      <c r="F133" s="10"/>
      <c r="G133" s="10"/>
      <c r="H133" s="10"/>
      <c r="I133" s="10"/>
      <c r="J133" s="10"/>
    </row>
    <row r="134" spans="1:10" x14ac:dyDescent="0.3">
      <c r="A134" s="41" t="s">
        <v>576</v>
      </c>
      <c r="B134" s="45">
        <f>'Base case probabilities'!B56</f>
        <v>0.55590452261306533</v>
      </c>
      <c r="C134" s="10" t="s">
        <v>479</v>
      </c>
      <c r="D134" s="10">
        <f>LBW_prem_2AGA_1</f>
        <v>0.60031407035175877</v>
      </c>
      <c r="E134" s="10"/>
      <c r="F134" s="10" t="b">
        <f>D134=B134</f>
        <v>0</v>
      </c>
      <c r="G134" s="10"/>
      <c r="H134" s="10"/>
      <c r="I134" s="10"/>
      <c r="J134" s="10"/>
    </row>
    <row r="135" spans="1:10" x14ac:dyDescent="0.3">
      <c r="A135" s="41" t="s">
        <v>577</v>
      </c>
      <c r="B135" s="45">
        <f>'Base case probabilities'!G55</f>
        <v>0</v>
      </c>
      <c r="C135" s="10" t="s">
        <v>477</v>
      </c>
      <c r="D135" s="10"/>
      <c r="E135" s="10"/>
      <c r="F135" s="10"/>
      <c r="G135" s="10"/>
      <c r="H135" s="10"/>
      <c r="I135" s="10"/>
      <c r="J135" s="10"/>
    </row>
    <row r="136" spans="1:10" x14ac:dyDescent="0.3">
      <c r="A136" s="41" t="s">
        <v>578</v>
      </c>
      <c r="B136" s="45">
        <f>'Base case probabilities'!G56</f>
        <v>1</v>
      </c>
      <c r="C136" s="10" t="s">
        <v>478</v>
      </c>
      <c r="D136" s="10"/>
      <c r="E136" s="10"/>
      <c r="F136" s="10"/>
      <c r="G136" s="10"/>
      <c r="H136" s="10"/>
      <c r="I136" s="10"/>
      <c r="J136" s="10"/>
    </row>
    <row r="137" spans="1:10" s="41" customFormat="1" x14ac:dyDescent="0.3">
      <c r="A137" s="41" t="s">
        <v>579</v>
      </c>
      <c r="B137" s="45">
        <f>'Base case probabilities'!B59</f>
        <v>1</v>
      </c>
      <c r="C137" s="10" t="s">
        <v>480</v>
      </c>
      <c r="D137" s="10">
        <f>NBW_term_2AGA_3</f>
        <v>0.81004360154892219</v>
      </c>
      <c r="E137" s="10"/>
      <c r="F137" s="10"/>
      <c r="G137" s="10"/>
      <c r="H137" s="10"/>
      <c r="I137" s="10"/>
      <c r="J137" s="10"/>
    </row>
    <row r="138" spans="1:10" x14ac:dyDescent="0.3">
      <c r="A138" s="41" t="s">
        <v>580</v>
      </c>
      <c r="B138" s="45">
        <f>'Base case probabilities'!B60</f>
        <v>0</v>
      </c>
      <c r="C138" s="10" t="s">
        <v>481</v>
      </c>
      <c r="D138" s="10"/>
      <c r="E138" s="10"/>
      <c r="F138" s="10"/>
      <c r="G138" s="10"/>
      <c r="H138" s="10"/>
      <c r="I138" s="10"/>
      <c r="J138" s="10"/>
    </row>
    <row r="139" spans="1:10" x14ac:dyDescent="0.3">
      <c r="A139" s="41" t="s">
        <v>581</v>
      </c>
      <c r="B139" s="45">
        <f>'Base case probabilities'!G59</f>
        <v>0.18995639845107784</v>
      </c>
      <c r="C139" s="10" t="s">
        <v>482</v>
      </c>
      <c r="D139" s="10"/>
      <c r="E139" s="10"/>
      <c r="F139" s="10"/>
      <c r="G139" s="10"/>
      <c r="H139" s="47"/>
      <c r="I139" s="10"/>
      <c r="J139" s="10"/>
    </row>
    <row r="140" spans="1:10" x14ac:dyDescent="0.3">
      <c r="A140" s="41" t="s">
        <v>582</v>
      </c>
      <c r="B140" s="45">
        <f>'Base case probabilities'!G60</f>
        <v>0.81004360154892219</v>
      </c>
      <c r="C140" s="10" t="s">
        <v>483</v>
      </c>
      <c r="D140" s="10"/>
      <c r="E140" s="10"/>
      <c r="F140" s="10"/>
      <c r="G140" s="10"/>
      <c r="H140" s="10"/>
      <c r="I140" s="10"/>
      <c r="J140" s="10"/>
    </row>
    <row r="141" spans="1:10" x14ac:dyDescent="0.3">
      <c r="A141" s="41"/>
      <c r="B141" s="45"/>
      <c r="C141" s="10"/>
      <c r="D141" s="10"/>
      <c r="E141" s="10"/>
      <c r="F141" s="10"/>
      <c r="G141" s="10"/>
      <c r="H141" s="10"/>
      <c r="I141" s="10"/>
      <c r="J141" s="10"/>
    </row>
    <row r="142" spans="1:10" x14ac:dyDescent="0.3">
      <c r="A142" s="88" t="s">
        <v>583</v>
      </c>
      <c r="B142" s="45">
        <f>'Base case probabilities'!B74</f>
        <v>8.4066666666666665E-2</v>
      </c>
      <c r="C142" s="10" t="s">
        <v>492</v>
      </c>
      <c r="D142" s="10"/>
      <c r="E142" s="10"/>
      <c r="F142" s="10"/>
      <c r="G142" s="10"/>
      <c r="H142" s="10"/>
      <c r="I142" s="10"/>
      <c r="J142" s="10"/>
    </row>
    <row r="143" spans="1:10" s="41" customFormat="1" x14ac:dyDescent="0.3">
      <c r="A143" s="41" t="s">
        <v>584</v>
      </c>
      <c r="B143" s="45">
        <f>'Base case probabilities'!B75</f>
        <v>0.91593333333333338</v>
      </c>
      <c r="C143" s="10" t="s">
        <v>493</v>
      </c>
      <c r="D143" s="10">
        <f>SGA_prem_2s_1</f>
        <v>0.92518066666666665</v>
      </c>
      <c r="E143" s="10"/>
      <c r="F143" s="10" t="b">
        <f>D143=B143</f>
        <v>0</v>
      </c>
      <c r="G143" s="10"/>
      <c r="H143" s="10"/>
      <c r="I143" s="10"/>
      <c r="J143" s="10"/>
    </row>
    <row r="144" spans="1:10" s="41" customFormat="1" x14ac:dyDescent="0.3">
      <c r="A144" s="88" t="s">
        <v>585</v>
      </c>
      <c r="B144" s="45">
        <f>'Base case probabilities'!G74</f>
        <v>3.5174999999999998E-2</v>
      </c>
      <c r="C144" s="10" t="s">
        <v>494</v>
      </c>
      <c r="D144" s="10"/>
      <c r="E144" s="10"/>
      <c r="G144" s="10"/>
      <c r="H144" s="10"/>
      <c r="I144" s="10"/>
      <c r="J144" s="10"/>
    </row>
    <row r="145" spans="1:11" x14ac:dyDescent="0.3">
      <c r="A145" s="41" t="s">
        <v>586</v>
      </c>
      <c r="B145" s="45">
        <f>'Base case probabilities'!G75</f>
        <v>0.96482500000000004</v>
      </c>
      <c r="C145" s="10" t="s">
        <v>495</v>
      </c>
      <c r="D145" s="10">
        <f>AGA_prem_2s_1</f>
        <v>0.96869424999999998</v>
      </c>
      <c r="E145" s="10"/>
      <c r="F145" s="10" t="b">
        <f>D145=B145</f>
        <v>0</v>
      </c>
      <c r="G145" s="10"/>
      <c r="H145" s="10"/>
      <c r="I145" s="10"/>
      <c r="J145" s="10"/>
    </row>
    <row r="146" spans="1:11" x14ac:dyDescent="0.3">
      <c r="A146" s="88" t="s">
        <v>587</v>
      </c>
      <c r="B146" s="45">
        <f>'Base case probabilities'!B77</f>
        <v>1.3200000000000002E-2</v>
      </c>
      <c r="C146" s="10" t="s">
        <v>496</v>
      </c>
      <c r="D146" s="10"/>
      <c r="E146" s="10"/>
      <c r="F146" s="10"/>
      <c r="G146" s="10"/>
      <c r="H146" s="10"/>
      <c r="I146" s="10"/>
      <c r="J146" s="10"/>
    </row>
    <row r="147" spans="1:11" s="41" customFormat="1" x14ac:dyDescent="0.3">
      <c r="A147" s="41" t="s">
        <v>588</v>
      </c>
      <c r="B147" s="45">
        <f>'Base case probabilities'!B78</f>
        <v>0.98680000000000001</v>
      </c>
      <c r="C147" s="10" t="s">
        <v>497</v>
      </c>
      <c r="D147" s="10"/>
      <c r="E147" s="10"/>
      <c r="F147" s="10"/>
      <c r="G147" s="10"/>
      <c r="H147" s="10"/>
      <c r="I147" s="10"/>
      <c r="J147" s="10"/>
    </row>
    <row r="148" spans="1:11" s="41" customFormat="1" x14ac:dyDescent="0.3">
      <c r="A148" s="88" t="s">
        <v>589</v>
      </c>
      <c r="B148" s="45">
        <f>'Base case probabilities'!G77</f>
        <v>6.2333333333333338E-3</v>
      </c>
      <c r="C148" s="10" t="s">
        <v>498</v>
      </c>
      <c r="D148" s="10">
        <f>AGA_term_2d_1</f>
        <v>5.5476666666666669E-3</v>
      </c>
      <c r="E148" s="10"/>
      <c r="G148" s="10"/>
      <c r="H148" s="10"/>
      <c r="I148" s="10"/>
      <c r="J148" s="10"/>
    </row>
    <row r="149" spans="1:11" s="41" customFormat="1" x14ac:dyDescent="0.3">
      <c r="A149" s="41" t="s">
        <v>590</v>
      </c>
      <c r="B149" s="45">
        <f>'Base case probabilities'!G78</f>
        <v>0.99376666666666669</v>
      </c>
      <c r="C149" s="10" t="s">
        <v>499</v>
      </c>
      <c r="D149" s="10"/>
      <c r="E149" s="10"/>
      <c r="F149" s="10"/>
      <c r="G149" s="10"/>
      <c r="H149" s="10"/>
      <c r="I149" s="10"/>
      <c r="J149" s="10"/>
    </row>
    <row r="150" spans="1:11" x14ac:dyDescent="0.3">
      <c r="A150" s="41"/>
      <c r="B150" s="45"/>
      <c r="C150" s="10"/>
      <c r="D150" s="10"/>
      <c r="E150" s="10"/>
      <c r="F150" s="10"/>
      <c r="G150" s="10"/>
      <c r="H150" s="10"/>
      <c r="I150" s="10"/>
      <c r="J150" s="10"/>
    </row>
    <row r="151" spans="1:11" x14ac:dyDescent="0.3">
      <c r="A151" s="41" t="s">
        <v>591</v>
      </c>
      <c r="B151" s="45">
        <f>'Base case probabilities'!B81</f>
        <v>0.45</v>
      </c>
      <c r="C151" s="10" t="s">
        <v>504</v>
      </c>
      <c r="D151" s="10">
        <f>S_prem_2RDS_1</f>
        <v>0.45</v>
      </c>
      <c r="E151" s="10"/>
      <c r="F151" s="10" t="b">
        <f t="shared" ref="F151:F152" si="0">D151=B151</f>
        <v>1</v>
      </c>
      <c r="G151" s="10"/>
      <c r="H151" s="10"/>
      <c r="I151" s="10"/>
      <c r="J151" s="10"/>
    </row>
    <row r="152" spans="1:11" x14ac:dyDescent="0.3">
      <c r="A152" s="41" t="s">
        <v>592</v>
      </c>
      <c r="B152" s="121">
        <f>'Base case probabilities'!B82</f>
        <v>0.55000000000000004</v>
      </c>
      <c r="C152" s="10" t="s">
        <v>505</v>
      </c>
      <c r="D152" s="120">
        <f>S_prem_2noRDS_1</f>
        <v>0.55000000000000004</v>
      </c>
      <c r="E152" s="10"/>
      <c r="F152" s="10" t="b">
        <f t="shared" si="0"/>
        <v>1</v>
      </c>
      <c r="G152" s="10"/>
      <c r="I152" s="10"/>
      <c r="J152" s="10"/>
    </row>
    <row r="153" spans="1:11" ht="15.6" x14ac:dyDescent="0.3">
      <c r="A153" s="41" t="s">
        <v>593</v>
      </c>
      <c r="B153" s="45">
        <f>'Base case probabilities'!G81</f>
        <v>0</v>
      </c>
      <c r="C153" s="10" t="s">
        <v>506</v>
      </c>
      <c r="D153" s="10"/>
      <c r="E153" s="10"/>
      <c r="F153" s="10"/>
      <c r="G153" s="24"/>
      <c r="I153" s="10"/>
      <c r="J153" s="10"/>
      <c r="K153" s="10"/>
    </row>
    <row r="154" spans="1:11" ht="15.6" x14ac:dyDescent="0.3">
      <c r="A154" s="41" t="s">
        <v>594</v>
      </c>
      <c r="B154" s="45">
        <f>'Base case probabilities'!G82</f>
        <v>1</v>
      </c>
      <c r="C154" s="10" t="s">
        <v>507</v>
      </c>
      <c r="D154" s="10"/>
      <c r="E154" s="10"/>
      <c r="F154" s="10"/>
      <c r="G154" s="24"/>
      <c r="I154" s="10"/>
      <c r="J154" s="10"/>
      <c r="K154" s="10"/>
    </row>
    <row r="155" spans="1:11" x14ac:dyDescent="0.3">
      <c r="A155" s="41"/>
      <c r="B155" s="45"/>
      <c r="C155" s="10"/>
      <c r="D155" s="10"/>
      <c r="E155" s="10"/>
      <c r="F155" s="10"/>
      <c r="G155" s="10"/>
      <c r="I155" s="10"/>
      <c r="J155" s="10"/>
      <c r="K155" s="10"/>
    </row>
    <row r="156" spans="1:11" s="41" customFormat="1" x14ac:dyDescent="0.3">
      <c r="A156" s="41" t="s">
        <v>595</v>
      </c>
      <c r="B156" s="45">
        <f>'Base case probabilities'!B91</f>
        <v>0.2155</v>
      </c>
      <c r="C156" s="10" t="s">
        <v>515</v>
      </c>
      <c r="D156" s="10"/>
      <c r="E156" s="10"/>
      <c r="F156" s="10"/>
      <c r="G156" s="10"/>
      <c r="I156" s="10"/>
      <c r="J156" s="10"/>
      <c r="K156" s="10"/>
    </row>
    <row r="157" spans="1:11" x14ac:dyDescent="0.3">
      <c r="A157" s="41" t="s">
        <v>596</v>
      </c>
      <c r="B157" s="45">
        <f>'Base case probabilities'!B92</f>
        <v>0.78449999999999998</v>
      </c>
      <c r="C157" s="10" t="s">
        <v>516</v>
      </c>
      <c r="D157" s="10"/>
      <c r="E157" s="10"/>
      <c r="F157" s="10"/>
      <c r="G157" s="10"/>
      <c r="I157" s="10"/>
      <c r="J157" s="10"/>
      <c r="K157" s="10"/>
    </row>
    <row r="158" spans="1:11" s="41" customFormat="1" x14ac:dyDescent="0.3">
      <c r="A158" s="41" t="s">
        <v>597</v>
      </c>
      <c r="B158" s="45">
        <f>'Base case probabilities'!G91</f>
        <v>0.26</v>
      </c>
      <c r="C158" s="10" t="s">
        <v>517</v>
      </c>
      <c r="D158" s="10"/>
      <c r="E158" s="10"/>
      <c r="F158" s="10"/>
      <c r="G158" s="10"/>
      <c r="I158" s="10"/>
      <c r="J158" s="10"/>
      <c r="K158" s="10"/>
    </row>
    <row r="159" spans="1:11" s="41" customFormat="1" x14ac:dyDescent="0.3">
      <c r="A159" s="41" t="s">
        <v>598</v>
      </c>
      <c r="B159" s="45">
        <f>'Base case probabilities'!G92</f>
        <v>0.74</v>
      </c>
      <c r="C159" s="10" t="s">
        <v>518</v>
      </c>
      <c r="D159" s="10"/>
      <c r="E159" s="10"/>
      <c r="F159" s="10"/>
      <c r="G159" s="10"/>
      <c r="I159" s="10"/>
      <c r="J159" s="10"/>
    </row>
    <row r="160" spans="1:11" s="41" customFormat="1" x14ac:dyDescent="0.3">
      <c r="A160" s="41" t="s">
        <v>687</v>
      </c>
      <c r="B160" s="45">
        <f>'Base case probabilities'!B95</f>
        <v>0.15</v>
      </c>
      <c r="C160" s="10" t="s">
        <v>663</v>
      </c>
      <c r="D160" s="10">
        <f>AGA_prem_2hypoglycaemia_1</f>
        <v>0.15</v>
      </c>
      <c r="E160" s="10"/>
      <c r="F160" s="10" t="b">
        <f t="shared" ref="F160" si="1">D160=B160</f>
        <v>1</v>
      </c>
      <c r="G160" s="10"/>
      <c r="H160" s="10"/>
      <c r="I160" s="10"/>
      <c r="J160" s="10"/>
    </row>
    <row r="161" spans="1:10" s="41" customFormat="1" x14ac:dyDescent="0.3">
      <c r="A161" s="41" t="s">
        <v>688</v>
      </c>
      <c r="B161" s="45">
        <f>'Base case probabilities'!B96</f>
        <v>0.85</v>
      </c>
      <c r="C161" s="10" t="s">
        <v>664</v>
      </c>
      <c r="D161" s="10"/>
      <c r="E161" s="10"/>
      <c r="F161" s="10"/>
      <c r="G161" s="10"/>
      <c r="H161" s="10"/>
      <c r="I161" s="10"/>
      <c r="J161" s="10"/>
    </row>
    <row r="162" spans="1:10" s="41" customFormat="1" x14ac:dyDescent="0.3">
      <c r="A162" s="41" t="s">
        <v>689</v>
      </c>
      <c r="B162" s="45">
        <f>'Base case probabilities'!G95</f>
        <v>0</v>
      </c>
      <c r="C162" s="10" t="s">
        <v>661</v>
      </c>
      <c r="D162" s="10"/>
      <c r="E162" s="10"/>
      <c r="F162" s="10"/>
      <c r="G162" s="10"/>
      <c r="H162" s="10"/>
      <c r="I162" s="10"/>
      <c r="J162" s="10"/>
    </row>
    <row r="163" spans="1:10" s="41" customFormat="1" x14ac:dyDescent="0.3">
      <c r="A163" s="41" t="s">
        <v>690</v>
      </c>
      <c r="B163" s="45">
        <f>'Base case probabilities'!G96</f>
        <v>1</v>
      </c>
      <c r="C163" s="10" t="s">
        <v>662</v>
      </c>
      <c r="D163" s="10"/>
      <c r="E163" s="10"/>
      <c r="F163" s="10"/>
      <c r="G163" s="10"/>
      <c r="H163" s="10"/>
      <c r="I163" s="10"/>
      <c r="J163" s="10"/>
    </row>
    <row r="164" spans="1:10" s="41" customFormat="1" x14ac:dyDescent="0.3">
      <c r="B164" s="45"/>
      <c r="C164" s="10"/>
      <c r="D164" s="10"/>
      <c r="E164" s="10"/>
      <c r="F164" s="10"/>
      <c r="G164" s="10"/>
      <c r="H164" s="10"/>
      <c r="I164" s="10"/>
      <c r="J164" s="10"/>
    </row>
    <row r="165" spans="1:10" s="41" customFormat="1" x14ac:dyDescent="0.3">
      <c r="A165" s="41" t="s">
        <v>599</v>
      </c>
      <c r="B165" s="45">
        <f>'Base case probabilities'!B99</f>
        <v>0.36099999999999999</v>
      </c>
      <c r="C165" s="10" t="s">
        <v>307</v>
      </c>
      <c r="D165" s="10">
        <f>RDS2CLD_1</f>
        <v>0.36099999999999999</v>
      </c>
      <c r="E165" s="10"/>
      <c r="F165" s="10" t="b">
        <f t="shared" ref="F165" si="2">D165=B165</f>
        <v>1</v>
      </c>
      <c r="G165" s="10"/>
      <c r="H165" s="10"/>
      <c r="I165" s="10"/>
      <c r="J165" s="10"/>
    </row>
    <row r="166" spans="1:10" s="41" customFormat="1" x14ac:dyDescent="0.3">
      <c r="A166" s="41" t="s">
        <v>600</v>
      </c>
      <c r="B166" s="45">
        <f>'Base case probabilities'!B100</f>
        <v>0.63900000000000001</v>
      </c>
      <c r="C166" s="10" t="s">
        <v>523</v>
      </c>
      <c r="D166" s="10"/>
      <c r="E166" s="10"/>
      <c r="F166" s="10"/>
      <c r="G166" s="10"/>
      <c r="H166" s="10"/>
      <c r="I166" s="10"/>
      <c r="J166" s="10"/>
    </row>
    <row r="167" spans="1:10" s="41" customFormat="1" x14ac:dyDescent="0.3">
      <c r="A167" s="41" t="s">
        <v>601</v>
      </c>
      <c r="B167" s="45">
        <f>'Base case probabilities'!G99</f>
        <v>0</v>
      </c>
      <c r="C167" s="10" t="s">
        <v>524</v>
      </c>
      <c r="D167" s="10"/>
      <c r="E167" s="10"/>
      <c r="F167" s="10"/>
      <c r="G167" s="10"/>
      <c r="H167" s="10"/>
      <c r="I167" s="10"/>
      <c r="J167" s="10"/>
    </row>
    <row r="168" spans="1:10" s="41" customFormat="1" x14ac:dyDescent="0.3">
      <c r="A168" s="41" t="s">
        <v>602</v>
      </c>
      <c r="B168" s="45">
        <f>'Base case probabilities'!G100</f>
        <v>1</v>
      </c>
      <c r="C168" s="10" t="s">
        <v>525</v>
      </c>
      <c r="D168" s="10"/>
      <c r="E168" s="10"/>
      <c r="F168" s="10"/>
      <c r="G168" s="10"/>
      <c r="H168" s="10"/>
      <c r="I168" s="10"/>
      <c r="J168" s="10"/>
    </row>
    <row r="169" spans="1:10" s="41" customFormat="1" x14ac:dyDescent="0.3">
      <c r="B169" s="45"/>
      <c r="C169" s="10"/>
      <c r="D169" s="10"/>
      <c r="E169" s="10"/>
      <c r="F169" s="10"/>
      <c r="G169" s="10"/>
      <c r="H169" s="10"/>
      <c r="I169" s="10"/>
      <c r="J169" s="10"/>
    </row>
    <row r="170" spans="1:10" s="41" customFormat="1" x14ac:dyDescent="0.3">
      <c r="A170" s="41" t="s">
        <v>603</v>
      </c>
      <c r="B170" s="45">
        <f>'Base case probabilities'!B103</f>
        <v>5.1333333333333335E-2</v>
      </c>
      <c r="C170" s="10" t="s">
        <v>526</v>
      </c>
      <c r="D170" s="10">
        <f>Hypo2CI_1</f>
        <v>5.1333333333333335E-2</v>
      </c>
      <c r="E170" s="10"/>
      <c r="F170" s="10" t="b">
        <f t="shared" ref="F170" si="3">D170=B170</f>
        <v>1</v>
      </c>
      <c r="G170" s="10"/>
      <c r="H170" s="10"/>
      <c r="I170" s="10"/>
      <c r="J170" s="10"/>
    </row>
    <row r="171" spans="1:10" s="41" customFormat="1" x14ac:dyDescent="0.3">
      <c r="A171" s="41" t="s">
        <v>604</v>
      </c>
      <c r="B171" s="45">
        <f>'Base case probabilities'!B104</f>
        <v>0.94866666666666666</v>
      </c>
      <c r="C171" s="10" t="s">
        <v>527</v>
      </c>
      <c r="D171" s="10"/>
      <c r="E171" s="10"/>
      <c r="F171" s="10"/>
      <c r="G171" s="10"/>
      <c r="H171" s="10"/>
      <c r="I171" s="10"/>
      <c r="J171" s="10"/>
    </row>
    <row r="172" spans="1:10" s="41" customFormat="1" x14ac:dyDescent="0.3">
      <c r="A172" s="41" t="s">
        <v>605</v>
      </c>
      <c r="B172" s="45">
        <f>'Base case probabilities'!G103</f>
        <v>3.3085576536761752E-2</v>
      </c>
      <c r="C172" s="10" t="s">
        <v>528</v>
      </c>
      <c r="D172" s="10"/>
      <c r="E172" s="10"/>
      <c r="F172" s="10"/>
      <c r="G172" s="10"/>
      <c r="H172" s="10"/>
      <c r="I172" s="10"/>
      <c r="J172" s="10"/>
    </row>
    <row r="173" spans="1:10" s="41" customFormat="1" x14ac:dyDescent="0.3">
      <c r="A173" s="41" t="s">
        <v>606</v>
      </c>
      <c r="B173" s="45">
        <f>'Base case probabilities'!G104</f>
        <v>0.9669144234632383</v>
      </c>
      <c r="C173" s="10" t="s">
        <v>529</v>
      </c>
      <c r="D173" s="10"/>
      <c r="E173" s="10"/>
      <c r="F173" s="10"/>
      <c r="G173" s="10"/>
      <c r="H173" s="10"/>
      <c r="I173" s="10"/>
      <c r="J173" s="10"/>
    </row>
    <row r="174" spans="1:10" s="41" customFormat="1" x14ac:dyDescent="0.3">
      <c r="B174" s="45"/>
      <c r="C174" s="10"/>
      <c r="D174" s="10"/>
      <c r="E174" s="10"/>
      <c r="F174" s="10"/>
      <c r="G174" s="10"/>
      <c r="H174" s="10"/>
      <c r="I174" s="10"/>
      <c r="J174" s="10"/>
    </row>
    <row r="175" spans="1:10" s="41" customFormat="1" x14ac:dyDescent="0.3">
      <c r="A175" s="95" t="s">
        <v>300</v>
      </c>
      <c r="B175" s="45"/>
      <c r="C175" s="10"/>
      <c r="D175" s="10"/>
      <c r="E175" s="10"/>
      <c r="F175" s="10" t="s">
        <v>717</v>
      </c>
      <c r="G175" s="10"/>
      <c r="H175" s="10"/>
      <c r="I175" s="10"/>
      <c r="J175" s="10"/>
    </row>
    <row r="176" spans="1:10" s="41" customFormat="1" x14ac:dyDescent="0.3">
      <c r="A176" s="41" t="s">
        <v>651</v>
      </c>
      <c r="B176" s="45">
        <f>'Base case probabilities'!G9</f>
        <v>3.1562974203338388E-2</v>
      </c>
      <c r="C176" s="10" t="s">
        <v>649</v>
      </c>
      <c r="D176" s="10"/>
      <c r="E176" s="10"/>
      <c r="F176" s="10"/>
      <c r="G176" s="10"/>
      <c r="H176" s="10"/>
      <c r="I176" s="10"/>
      <c r="J176" s="10"/>
    </row>
    <row r="177" spans="1:10" s="41" customFormat="1" x14ac:dyDescent="0.3">
      <c r="A177" s="41" t="s">
        <v>652</v>
      </c>
      <c r="B177" s="45">
        <f>'Base case probabilities'!G10</f>
        <v>0.96843702579666158</v>
      </c>
      <c r="C177" s="10" t="s">
        <v>650</v>
      </c>
      <c r="D177" s="10"/>
      <c r="E177" s="10"/>
      <c r="F177"/>
      <c r="G177" s="10"/>
      <c r="H177" s="10"/>
      <c r="I177" s="10"/>
      <c r="J177" s="10"/>
    </row>
    <row r="178" spans="1:10" s="41" customFormat="1" x14ac:dyDescent="0.3">
      <c r="B178" s="45"/>
      <c r="C178" s="10"/>
      <c r="D178" s="10"/>
      <c r="E178" s="10"/>
      <c r="F178"/>
      <c r="G178" s="10"/>
      <c r="H178" s="10"/>
      <c r="I178" s="10"/>
      <c r="J178" s="10"/>
    </row>
    <row r="179" spans="1:10" s="41" customFormat="1" x14ac:dyDescent="0.3">
      <c r="A179" s="41" t="s">
        <v>607</v>
      </c>
      <c r="B179" s="45">
        <f>'Base case probabilities'!G26</f>
        <v>0.1733800350262697</v>
      </c>
      <c r="C179" s="10" t="s">
        <v>460</v>
      </c>
      <c r="D179" s="10"/>
      <c r="E179" s="10"/>
      <c r="F179"/>
      <c r="G179" s="10"/>
      <c r="H179" s="10"/>
      <c r="I179" s="10"/>
      <c r="J179" s="10"/>
    </row>
    <row r="180" spans="1:10" s="41" customFormat="1" x14ac:dyDescent="0.3">
      <c r="A180" s="41" t="s">
        <v>608</v>
      </c>
      <c r="B180" s="45">
        <f>'Base case probabilities'!G27</f>
        <v>0.82661996497373025</v>
      </c>
      <c r="C180" s="10" t="s">
        <v>461</v>
      </c>
      <c r="D180" s="10"/>
      <c r="E180" s="10"/>
      <c r="F180"/>
      <c r="G180" s="10"/>
      <c r="H180" s="10"/>
      <c r="I180" s="10"/>
      <c r="J180" s="10"/>
    </row>
    <row r="181" spans="1:10" x14ac:dyDescent="0.3">
      <c r="A181" s="41"/>
      <c r="B181" s="45"/>
      <c r="C181" s="10"/>
      <c r="D181" s="10"/>
      <c r="E181" s="10"/>
      <c r="G181" s="10"/>
      <c r="H181" s="10"/>
      <c r="I181" s="10"/>
      <c r="J181" s="10"/>
    </row>
    <row r="182" spans="1:10" s="41" customFormat="1" x14ac:dyDescent="0.3">
      <c r="A182" s="41" t="s">
        <v>301</v>
      </c>
      <c r="B182" s="45">
        <f>'Base case probabilities'!B43</f>
        <v>0.68135593220338986</v>
      </c>
      <c r="C182" s="10" t="s">
        <v>305</v>
      </c>
      <c r="D182" s="10"/>
      <c r="E182" s="10"/>
      <c r="F182"/>
      <c r="G182" s="10"/>
      <c r="H182" s="10"/>
      <c r="I182" s="10"/>
      <c r="J182" s="10"/>
    </row>
    <row r="183" spans="1:10" s="41" customFormat="1" x14ac:dyDescent="0.3">
      <c r="A183" s="41" t="s">
        <v>609</v>
      </c>
      <c r="B183" s="45">
        <f>'Base case probabilities'!B44</f>
        <v>0.31864406779661014</v>
      </c>
      <c r="C183" s="10" t="s">
        <v>306</v>
      </c>
      <c r="D183" s="10"/>
      <c r="E183" s="10"/>
      <c r="F183"/>
      <c r="G183" s="10"/>
      <c r="H183" s="10"/>
      <c r="I183" s="10"/>
      <c r="J183" s="10"/>
    </row>
    <row r="184" spans="1:10" x14ac:dyDescent="0.3">
      <c r="A184" s="41" t="s">
        <v>610</v>
      </c>
      <c r="B184" s="45">
        <f>'Base case probabilities'!G43</f>
        <v>0.34769230769230769</v>
      </c>
      <c r="C184" s="10" t="s">
        <v>463</v>
      </c>
      <c r="D184" s="10"/>
      <c r="E184" s="10"/>
      <c r="G184" s="10"/>
      <c r="H184" s="10"/>
      <c r="I184" s="10"/>
      <c r="J184" s="10"/>
    </row>
    <row r="185" spans="1:10" x14ac:dyDescent="0.3">
      <c r="A185" s="41" t="s">
        <v>611</v>
      </c>
      <c r="B185" s="45">
        <f>'Base case probabilities'!G44</f>
        <v>0.65230769230769226</v>
      </c>
      <c r="C185" s="10" t="s">
        <v>308</v>
      </c>
      <c r="D185" s="10"/>
      <c r="E185" s="10"/>
      <c r="G185" s="10"/>
      <c r="H185" s="10"/>
      <c r="I185" s="10"/>
      <c r="J185" s="10"/>
    </row>
    <row r="186" spans="1:10" x14ac:dyDescent="0.3">
      <c r="A186" s="41"/>
      <c r="B186" s="45"/>
      <c r="C186" s="10"/>
      <c r="D186" s="10"/>
      <c r="E186" s="10"/>
      <c r="G186" s="10"/>
      <c r="H186" s="10"/>
      <c r="I186" s="10"/>
      <c r="J186" s="10"/>
    </row>
    <row r="187" spans="1:10" x14ac:dyDescent="0.3">
      <c r="A187" s="41" t="s">
        <v>612</v>
      </c>
      <c r="B187" s="45">
        <f>'Base case probabilities'!B55</f>
        <v>0.44409547738693467</v>
      </c>
      <c r="C187" s="10" t="s">
        <v>476</v>
      </c>
      <c r="E187" s="10"/>
      <c r="G187" s="10"/>
      <c r="H187" s="10"/>
      <c r="I187" s="10"/>
      <c r="J187" s="10"/>
    </row>
    <row r="188" spans="1:10" x14ac:dyDescent="0.3">
      <c r="A188" s="41" t="s">
        <v>613</v>
      </c>
      <c r="B188" s="45">
        <f>'Base case probabilities'!B56</f>
        <v>0.55590452261306533</v>
      </c>
      <c r="C188" s="10" t="s">
        <v>479</v>
      </c>
      <c r="D188" s="10"/>
      <c r="E188" s="10"/>
      <c r="G188" s="10"/>
      <c r="H188" s="10"/>
      <c r="I188" s="10"/>
      <c r="J188" s="10"/>
    </row>
    <row r="189" spans="1:10" x14ac:dyDescent="0.3">
      <c r="A189" s="41" t="s">
        <v>614</v>
      </c>
      <c r="B189" s="45">
        <f>'Base case probabilities'!G55</f>
        <v>0</v>
      </c>
      <c r="C189" s="10" t="s">
        <v>477</v>
      </c>
      <c r="D189" s="10"/>
      <c r="E189" s="10"/>
      <c r="G189" s="10"/>
      <c r="H189" s="10"/>
      <c r="I189" s="10"/>
      <c r="J189" s="10"/>
    </row>
    <row r="190" spans="1:10" x14ac:dyDescent="0.3">
      <c r="A190" s="41" t="s">
        <v>615</v>
      </c>
      <c r="B190" s="45">
        <f>'Base case probabilities'!G56</f>
        <v>1</v>
      </c>
      <c r="C190" s="10" t="s">
        <v>478</v>
      </c>
      <c r="D190" s="10"/>
      <c r="E190" s="10"/>
      <c r="G190" s="10"/>
      <c r="H190" s="10"/>
      <c r="I190" s="10"/>
      <c r="J190" s="10"/>
    </row>
    <row r="191" spans="1:10" x14ac:dyDescent="0.3">
      <c r="A191" s="41" t="s">
        <v>616</v>
      </c>
      <c r="B191" s="45">
        <f>'Base case probabilities'!B59</f>
        <v>1</v>
      </c>
      <c r="C191" s="10" t="s">
        <v>480</v>
      </c>
      <c r="D191" s="10"/>
      <c r="E191" s="10"/>
      <c r="G191" s="10"/>
      <c r="H191" s="10"/>
      <c r="I191" s="10"/>
      <c r="J191" s="10"/>
    </row>
    <row r="192" spans="1:10" x14ac:dyDescent="0.3">
      <c r="A192" s="41" t="s">
        <v>617</v>
      </c>
      <c r="B192" s="45">
        <f>'Base case probabilities'!C60</f>
        <v>0</v>
      </c>
      <c r="C192" s="10" t="s">
        <v>481</v>
      </c>
      <c r="D192" s="10"/>
      <c r="E192" s="10"/>
      <c r="G192" s="10"/>
      <c r="H192" s="10"/>
      <c r="I192" s="10"/>
      <c r="J192" s="10"/>
    </row>
    <row r="193" spans="1:10" x14ac:dyDescent="0.3">
      <c r="A193" s="41" t="s">
        <v>618</v>
      </c>
      <c r="B193" s="45">
        <f>'Base case probabilities'!G59</f>
        <v>0.18995639845107784</v>
      </c>
      <c r="C193" s="10" t="s">
        <v>482</v>
      </c>
      <c r="D193" s="10"/>
      <c r="E193" s="10"/>
      <c r="G193" s="10"/>
      <c r="H193" s="10"/>
      <c r="I193" s="10"/>
      <c r="J193" s="10"/>
    </row>
    <row r="194" spans="1:10" x14ac:dyDescent="0.3">
      <c r="A194" s="41" t="s">
        <v>619</v>
      </c>
      <c r="B194" s="45">
        <f>'Base case probabilities'!G60</f>
        <v>0.81004360154892219</v>
      </c>
      <c r="C194" s="10" t="s">
        <v>483</v>
      </c>
      <c r="D194" s="10"/>
      <c r="E194" s="10"/>
      <c r="G194" s="10"/>
      <c r="H194" s="10"/>
      <c r="I194" s="10"/>
      <c r="J194" s="10"/>
    </row>
    <row r="195" spans="1:10" x14ac:dyDescent="0.3">
      <c r="A195" s="41"/>
      <c r="B195" s="45"/>
      <c r="C195" s="10"/>
      <c r="D195" s="10"/>
      <c r="E195" s="10"/>
      <c r="G195" s="10"/>
      <c r="H195" s="10"/>
      <c r="I195" s="10"/>
      <c r="J195" s="10"/>
    </row>
    <row r="196" spans="1:10" x14ac:dyDescent="0.3">
      <c r="A196" s="88" t="s">
        <v>620</v>
      </c>
      <c r="B196" s="45">
        <f>'Base case probabilities'!B74</f>
        <v>8.4066666666666665E-2</v>
      </c>
      <c r="C196" s="10" t="s">
        <v>492</v>
      </c>
      <c r="D196" s="10"/>
      <c r="E196" s="10"/>
      <c r="G196" s="10"/>
      <c r="H196" s="10"/>
      <c r="I196" s="10"/>
      <c r="J196" s="10"/>
    </row>
    <row r="197" spans="1:10" x14ac:dyDescent="0.3">
      <c r="A197" s="41" t="s">
        <v>621</v>
      </c>
      <c r="B197" s="45">
        <f>'Base case probabilities'!B75</f>
        <v>0.91593333333333338</v>
      </c>
      <c r="C197" s="10" t="s">
        <v>493</v>
      </c>
      <c r="D197" s="10"/>
      <c r="E197" s="10"/>
      <c r="G197" s="10"/>
      <c r="H197" s="10"/>
      <c r="I197" s="10"/>
      <c r="J197" s="10"/>
    </row>
    <row r="198" spans="1:10" x14ac:dyDescent="0.3">
      <c r="A198" s="88" t="s">
        <v>622</v>
      </c>
      <c r="B198" s="45">
        <f>'Base case probabilities'!G74</f>
        <v>3.5174999999999998E-2</v>
      </c>
      <c r="C198" s="10" t="s">
        <v>494</v>
      </c>
      <c r="D198" s="10"/>
      <c r="E198" s="10"/>
      <c r="G198" s="10"/>
      <c r="H198" s="10"/>
      <c r="I198" s="10"/>
      <c r="J198" s="10"/>
    </row>
    <row r="199" spans="1:10" x14ac:dyDescent="0.3">
      <c r="A199" s="41" t="s">
        <v>623</v>
      </c>
      <c r="B199" s="45">
        <f>'Base case probabilities'!G75</f>
        <v>0.96482500000000004</v>
      </c>
      <c r="C199" s="10" t="s">
        <v>495</v>
      </c>
      <c r="D199" s="10"/>
      <c r="E199" s="10"/>
      <c r="G199" s="10"/>
      <c r="H199" s="10"/>
      <c r="I199" s="10"/>
      <c r="J199" s="10"/>
    </row>
    <row r="200" spans="1:10" x14ac:dyDescent="0.3">
      <c r="A200" s="88" t="s">
        <v>624</v>
      </c>
      <c r="B200" s="45">
        <f>'Base case probabilities'!B77</f>
        <v>1.3200000000000002E-2</v>
      </c>
      <c r="C200" s="10" t="s">
        <v>496</v>
      </c>
      <c r="D200" s="10"/>
      <c r="E200" s="10"/>
      <c r="G200" s="10"/>
      <c r="H200" s="10"/>
      <c r="I200" s="10"/>
      <c r="J200" s="10"/>
    </row>
    <row r="201" spans="1:10" x14ac:dyDescent="0.3">
      <c r="A201" s="41" t="s">
        <v>625</v>
      </c>
      <c r="B201" s="45">
        <f>'Base case probabilities'!B78</f>
        <v>0.98680000000000001</v>
      </c>
      <c r="C201" s="10" t="s">
        <v>497</v>
      </c>
      <c r="D201" s="10"/>
      <c r="E201" s="10"/>
      <c r="G201" s="10"/>
      <c r="H201" s="10"/>
      <c r="I201" s="10"/>
      <c r="J201" s="10"/>
    </row>
    <row r="202" spans="1:10" x14ac:dyDescent="0.3">
      <c r="A202" s="88" t="s">
        <v>626</v>
      </c>
      <c r="B202" s="45">
        <f>'Base case probabilities'!G77</f>
        <v>6.2333333333333338E-3</v>
      </c>
      <c r="C202" s="10" t="s">
        <v>498</v>
      </c>
      <c r="D202" s="10"/>
      <c r="E202" s="10"/>
      <c r="G202" s="10"/>
      <c r="H202" s="10"/>
      <c r="I202" s="10"/>
      <c r="J202" s="10"/>
    </row>
    <row r="203" spans="1:10" x14ac:dyDescent="0.3">
      <c r="A203" s="41" t="s">
        <v>627</v>
      </c>
      <c r="B203" s="45">
        <f>'Base case probabilities'!G78</f>
        <v>0.99376666666666669</v>
      </c>
      <c r="C203" s="10" t="s">
        <v>499</v>
      </c>
      <c r="D203" s="10"/>
      <c r="E203" s="10"/>
      <c r="G203" s="10"/>
      <c r="H203" s="10"/>
      <c r="I203" s="10"/>
      <c r="J203" s="10"/>
    </row>
    <row r="204" spans="1:10" x14ac:dyDescent="0.3">
      <c r="A204" s="41"/>
      <c r="B204" s="45"/>
      <c r="C204" s="10"/>
      <c r="D204" s="10"/>
      <c r="E204" s="10"/>
      <c r="G204" s="10"/>
      <c r="H204" s="10"/>
      <c r="I204" s="10"/>
      <c r="J204" s="10"/>
    </row>
    <row r="205" spans="1:10" x14ac:dyDescent="0.3">
      <c r="A205" s="41" t="s">
        <v>628</v>
      </c>
      <c r="B205" s="45">
        <f>'Base case probabilities'!B81</f>
        <v>0.45</v>
      </c>
      <c r="C205" s="10" t="s">
        <v>504</v>
      </c>
      <c r="D205" s="10"/>
      <c r="E205" s="10"/>
      <c r="G205" s="10"/>
      <c r="H205" s="10"/>
      <c r="I205" s="10"/>
      <c r="J205" s="10"/>
    </row>
    <row r="206" spans="1:10" x14ac:dyDescent="0.3">
      <c r="A206" s="41" t="s">
        <v>629</v>
      </c>
      <c r="B206" s="45">
        <f>'Base case probabilities'!B82</f>
        <v>0.55000000000000004</v>
      </c>
      <c r="C206" s="10" t="s">
        <v>505</v>
      </c>
      <c r="D206" s="10"/>
      <c r="E206" s="10"/>
      <c r="G206" s="10"/>
      <c r="H206" s="10"/>
      <c r="I206" s="10"/>
      <c r="J206" s="10"/>
    </row>
    <row r="207" spans="1:10" x14ac:dyDescent="0.3">
      <c r="A207" s="41" t="s">
        <v>630</v>
      </c>
      <c r="B207" s="45">
        <f>'Base case probabilities'!G81</f>
        <v>0</v>
      </c>
      <c r="C207" s="10" t="s">
        <v>506</v>
      </c>
      <c r="D207" s="10"/>
      <c r="E207" s="10"/>
      <c r="G207" s="10"/>
      <c r="H207" s="10"/>
      <c r="I207" s="10"/>
      <c r="J207" s="10"/>
    </row>
    <row r="208" spans="1:10" x14ac:dyDescent="0.3">
      <c r="A208" s="41" t="s">
        <v>631</v>
      </c>
      <c r="B208" s="45">
        <f>'Base case probabilities'!G82</f>
        <v>1</v>
      </c>
      <c r="C208" s="10" t="s">
        <v>507</v>
      </c>
      <c r="D208" s="10"/>
      <c r="E208" s="10"/>
      <c r="G208" s="10"/>
      <c r="H208" s="10"/>
      <c r="I208" s="10"/>
      <c r="J208" s="10"/>
    </row>
    <row r="209" spans="1:10" x14ac:dyDescent="0.3">
      <c r="A209" s="41"/>
      <c r="B209" s="45"/>
      <c r="C209" s="10"/>
      <c r="D209" s="10"/>
      <c r="E209" s="10"/>
      <c r="G209" s="10"/>
      <c r="H209" s="10"/>
      <c r="I209" s="10"/>
      <c r="J209" s="10"/>
    </row>
    <row r="210" spans="1:10" x14ac:dyDescent="0.3">
      <c r="A210" s="41" t="s">
        <v>632</v>
      </c>
      <c r="B210" s="45">
        <f>'Base case probabilities'!B91</f>
        <v>0.2155</v>
      </c>
      <c r="C210" s="10" t="s">
        <v>515</v>
      </c>
      <c r="D210" s="10"/>
      <c r="E210" s="10"/>
      <c r="G210" s="10"/>
      <c r="H210" s="10"/>
      <c r="I210" s="10"/>
      <c r="J210" s="10"/>
    </row>
    <row r="211" spans="1:10" x14ac:dyDescent="0.3">
      <c r="A211" s="41" t="s">
        <v>633</v>
      </c>
      <c r="B211" s="45">
        <f>'Base case probabilities'!B92</f>
        <v>0.78449999999999998</v>
      </c>
      <c r="C211" s="10" t="s">
        <v>516</v>
      </c>
      <c r="D211" s="10"/>
      <c r="E211" s="10"/>
      <c r="G211" s="10"/>
      <c r="H211" s="10"/>
      <c r="I211" s="10"/>
      <c r="J211" s="10"/>
    </row>
    <row r="212" spans="1:10" x14ac:dyDescent="0.3">
      <c r="A212" s="41" t="s">
        <v>634</v>
      </c>
      <c r="B212" s="45">
        <f>'Base case probabilities'!G91</f>
        <v>0.26</v>
      </c>
      <c r="C212" s="10" t="s">
        <v>517</v>
      </c>
      <c r="D212" s="10"/>
      <c r="E212" s="10"/>
      <c r="G212" s="10"/>
      <c r="H212" s="10"/>
      <c r="I212" s="10"/>
      <c r="J212" s="10"/>
    </row>
    <row r="213" spans="1:10" x14ac:dyDescent="0.3">
      <c r="A213" s="41" t="s">
        <v>635</v>
      </c>
      <c r="B213" s="45">
        <f>'Base case probabilities'!G92</f>
        <v>0.74</v>
      </c>
      <c r="C213" s="10" t="s">
        <v>518</v>
      </c>
      <c r="D213" s="10"/>
      <c r="E213" s="10"/>
    </row>
    <row r="214" spans="1:10" x14ac:dyDescent="0.3">
      <c r="A214" s="41" t="s">
        <v>660</v>
      </c>
      <c r="B214" s="45">
        <f>'Base case probabilities'!B95</f>
        <v>0.15</v>
      </c>
      <c r="C214" s="10" t="s">
        <v>663</v>
      </c>
      <c r="D214" s="10"/>
      <c r="E214" s="10"/>
    </row>
    <row r="215" spans="1:10" x14ac:dyDescent="0.3">
      <c r="A215" s="41" t="s">
        <v>659</v>
      </c>
      <c r="B215" s="45">
        <f>'Base case probabilities'!B96</f>
        <v>0.85</v>
      </c>
      <c r="C215" s="10" t="s">
        <v>664</v>
      </c>
      <c r="D215" s="10"/>
      <c r="E215" s="10"/>
    </row>
    <row r="216" spans="1:10" s="41" customFormat="1" x14ac:dyDescent="0.3">
      <c r="A216" s="41" t="s">
        <v>665</v>
      </c>
      <c r="B216" s="45">
        <f>'Base case probabilities'!G95</f>
        <v>0</v>
      </c>
      <c r="C216" s="10" t="s">
        <v>661</v>
      </c>
      <c r="D216" s="10"/>
      <c r="E216" s="10"/>
    </row>
    <row r="217" spans="1:10" s="41" customFormat="1" x14ac:dyDescent="0.3">
      <c r="A217" s="41" t="s">
        <v>666</v>
      </c>
      <c r="B217" s="45">
        <f>'Base case probabilities'!G96</f>
        <v>1</v>
      </c>
      <c r="C217" s="10" t="s">
        <v>662</v>
      </c>
      <c r="D217" s="10"/>
      <c r="E217" s="10"/>
    </row>
    <row r="218" spans="1:10" x14ac:dyDescent="0.3">
      <c r="A218" s="41"/>
      <c r="B218" s="45"/>
      <c r="C218" s="10"/>
      <c r="D218" s="10"/>
      <c r="E218" s="10"/>
    </row>
    <row r="219" spans="1:10" x14ac:dyDescent="0.3">
      <c r="A219" s="41" t="s">
        <v>636</v>
      </c>
      <c r="B219" s="45">
        <f>'Base case probabilities'!B99</f>
        <v>0.36099999999999999</v>
      </c>
      <c r="C219" s="10" t="s">
        <v>307</v>
      </c>
      <c r="D219" s="10"/>
      <c r="E219" s="10"/>
    </row>
    <row r="220" spans="1:10" x14ac:dyDescent="0.3">
      <c r="A220" s="41" t="s">
        <v>637</v>
      </c>
      <c r="B220" s="45">
        <f>'Base case probabilities'!B100</f>
        <v>0.63900000000000001</v>
      </c>
      <c r="C220" s="10" t="s">
        <v>523</v>
      </c>
      <c r="D220" s="10"/>
      <c r="E220" s="10"/>
    </row>
    <row r="221" spans="1:10" x14ac:dyDescent="0.3">
      <c r="A221" s="41" t="s">
        <v>638</v>
      </c>
      <c r="B221" s="45">
        <f>'Base case probabilities'!G99</f>
        <v>0</v>
      </c>
      <c r="C221" s="10" t="s">
        <v>524</v>
      </c>
      <c r="D221" s="10"/>
      <c r="E221" s="10"/>
    </row>
    <row r="222" spans="1:10" x14ac:dyDescent="0.3">
      <c r="A222" s="41" t="s">
        <v>639</v>
      </c>
      <c r="B222" s="45">
        <f>'Base case probabilities'!G100</f>
        <v>1</v>
      </c>
      <c r="C222" s="10" t="s">
        <v>525</v>
      </c>
      <c r="D222" s="10"/>
      <c r="E222" s="10"/>
    </row>
    <row r="223" spans="1:10" x14ac:dyDescent="0.3">
      <c r="A223" s="41"/>
      <c r="B223" s="45"/>
      <c r="C223" s="10"/>
      <c r="D223" s="10"/>
      <c r="E223" s="10"/>
    </row>
    <row r="224" spans="1:10" x14ac:dyDescent="0.3">
      <c r="A224" s="41" t="s">
        <v>640</v>
      </c>
      <c r="B224" s="45">
        <f>'Base case probabilities'!B103</f>
        <v>5.1333333333333335E-2</v>
      </c>
      <c r="C224" s="10" t="s">
        <v>526</v>
      </c>
      <c r="D224" s="10"/>
      <c r="E224" s="10"/>
    </row>
    <row r="225" spans="1:6" x14ac:dyDescent="0.3">
      <c r="A225" s="41" t="s">
        <v>641</v>
      </c>
      <c r="B225" s="45">
        <f>'Base case probabilities'!B104</f>
        <v>0.94866666666666666</v>
      </c>
      <c r="C225" s="10" t="s">
        <v>527</v>
      </c>
      <c r="D225" s="10"/>
      <c r="E225" s="10"/>
    </row>
    <row r="226" spans="1:6" x14ac:dyDescent="0.3">
      <c r="A226" s="41" t="s">
        <v>642</v>
      </c>
      <c r="B226" s="45">
        <f>'Base case probabilities'!G103</f>
        <v>3.3085576536761752E-2</v>
      </c>
      <c r="C226" s="10" t="s">
        <v>528</v>
      </c>
      <c r="D226" s="10"/>
      <c r="E226" s="10"/>
    </row>
    <row r="227" spans="1:6" x14ac:dyDescent="0.3">
      <c r="A227" s="41" t="s">
        <v>643</v>
      </c>
      <c r="B227" s="45">
        <f>'Base case probabilities'!G104</f>
        <v>0.9669144234632383</v>
      </c>
      <c r="C227" s="10" t="s">
        <v>529</v>
      </c>
      <c r="D227" s="10"/>
      <c r="E227" s="10"/>
    </row>
    <row r="228" spans="1:6" x14ac:dyDescent="0.3">
      <c r="A228" s="41"/>
      <c r="B228" s="45"/>
      <c r="C228" s="10"/>
      <c r="D228" s="10"/>
      <c r="E228" s="10"/>
    </row>
    <row r="229" spans="1:6" x14ac:dyDescent="0.3">
      <c r="A229" s="87" t="s">
        <v>311</v>
      </c>
      <c r="B229" s="87"/>
      <c r="C229" s="87"/>
      <c r="D229" s="87" t="s">
        <v>302</v>
      </c>
      <c r="E229" s="87" t="s">
        <v>32</v>
      </c>
      <c r="F229" s="10"/>
    </row>
    <row r="230" spans="1:6" x14ac:dyDescent="0.3">
      <c r="A230" s="10"/>
      <c r="B230" s="10"/>
      <c r="C230" s="10"/>
      <c r="D230" s="44"/>
      <c r="E230" s="10"/>
      <c r="F230" s="10"/>
    </row>
    <row r="231" spans="1:6" ht="28.8" x14ac:dyDescent="0.3">
      <c r="A231" s="10" t="s">
        <v>314</v>
      </c>
      <c r="B231" s="120">
        <v>0.10100000000000001</v>
      </c>
      <c r="C231" s="23"/>
      <c r="D231" s="114" t="s">
        <v>667</v>
      </c>
      <c r="E231" s="10" t="s">
        <v>668</v>
      </c>
      <c r="F231" s="10"/>
    </row>
    <row r="232" spans="1:6" x14ac:dyDescent="0.3">
      <c r="A232" s="10" t="s">
        <v>646</v>
      </c>
      <c r="B232" s="120">
        <v>0.76</v>
      </c>
      <c r="C232" s="10" t="s">
        <v>671</v>
      </c>
      <c r="D232" s="44" t="s">
        <v>312</v>
      </c>
      <c r="E232" s="10" t="s">
        <v>669</v>
      </c>
      <c r="F232" s="10"/>
    </row>
    <row r="233" spans="1:6" x14ac:dyDescent="0.3">
      <c r="A233" s="10" t="s">
        <v>315</v>
      </c>
      <c r="B233" s="120">
        <v>0.71</v>
      </c>
      <c r="C233" s="10" t="s">
        <v>670</v>
      </c>
      <c r="D233" s="44" t="s">
        <v>313</v>
      </c>
      <c r="E233" s="10" t="s">
        <v>673</v>
      </c>
      <c r="F233" s="10"/>
    </row>
    <row r="234" spans="1:6" x14ac:dyDescent="0.3">
      <c r="A234" s="10" t="s">
        <v>316</v>
      </c>
      <c r="B234" s="120">
        <v>0.9</v>
      </c>
      <c r="C234" s="10" t="s">
        <v>672</v>
      </c>
      <c r="D234" s="44" t="s">
        <v>317</v>
      </c>
      <c r="E234" s="10" t="s">
        <v>674</v>
      </c>
      <c r="F234" s="10"/>
    </row>
    <row r="235" spans="1:6" s="41" customFormat="1" x14ac:dyDescent="0.3">
      <c r="A235" s="10" t="s">
        <v>675</v>
      </c>
      <c r="B235" s="120">
        <v>0.11</v>
      </c>
      <c r="C235" s="10" t="s">
        <v>678</v>
      </c>
      <c r="D235" s="44" t="s">
        <v>676</v>
      </c>
      <c r="E235" s="10" t="s">
        <v>677</v>
      </c>
      <c r="F235" s="10"/>
    </row>
    <row r="236" spans="1:6" x14ac:dyDescent="0.3">
      <c r="A236" s="10"/>
      <c r="B236" s="10"/>
      <c r="C236" s="44"/>
      <c r="D236" s="10"/>
      <c r="E236" s="10"/>
    </row>
    <row r="237" spans="1:6" x14ac:dyDescent="0.3">
      <c r="A237" s="21" t="s">
        <v>58</v>
      </c>
      <c r="B237" s="21"/>
      <c r="C237" s="21"/>
      <c r="D237" s="21"/>
      <c r="E237" s="21"/>
    </row>
    <row r="238" spans="1:6" x14ac:dyDescent="0.3">
      <c r="A238" s="10"/>
      <c r="B238" s="22"/>
      <c r="C238" s="22"/>
      <c r="E238" s="22"/>
    </row>
    <row r="239" spans="1:6" x14ac:dyDescent="0.3">
      <c r="A239" s="10" t="s">
        <v>278</v>
      </c>
      <c r="B239" s="85">
        <f>Cost!D4</f>
        <v>2300</v>
      </c>
      <c r="C239" s="85"/>
      <c r="E239" s="48"/>
    </row>
    <row r="240" spans="1:6" s="41" customFormat="1" x14ac:dyDescent="0.3">
      <c r="A240" s="10" t="s">
        <v>742</v>
      </c>
      <c r="B240" s="85">
        <f>Cost!D5</f>
        <v>11040</v>
      </c>
      <c r="C240" s="85"/>
      <c r="E240" s="48"/>
    </row>
    <row r="241" spans="1:5" x14ac:dyDescent="0.3">
      <c r="A241" s="10" t="s">
        <v>279</v>
      </c>
      <c r="B241" s="48">
        <f>Cost!D9</f>
        <v>177</v>
      </c>
      <c r="C241" s="48"/>
      <c r="D241" s="48"/>
      <c r="E241" s="10"/>
    </row>
    <row r="242" spans="1:5" x14ac:dyDescent="0.3">
      <c r="A242" s="10" t="s">
        <v>280</v>
      </c>
      <c r="B242" s="48">
        <f>SUM(Cost!D17:D20)</f>
        <v>577.9017081081081</v>
      </c>
      <c r="C242" s="48"/>
      <c r="D242" s="48"/>
      <c r="E242" s="10"/>
    </row>
    <row r="243" spans="1:5" x14ac:dyDescent="0.3">
      <c r="A243" s="10" t="s">
        <v>281</v>
      </c>
      <c r="B243" s="48">
        <f>Cost!C33*Cost!C30*(Cost!D24+Cost!D27)+Cost!C34*Cost!C31*(Cost!D25+Cost!D28)</f>
        <v>198651.76559999998</v>
      </c>
      <c r="C243" s="48"/>
      <c r="D243" s="48"/>
      <c r="E243" s="10"/>
    </row>
    <row r="244" spans="1:5" s="41" customFormat="1" x14ac:dyDescent="0.3">
      <c r="A244" s="41" t="s">
        <v>733</v>
      </c>
      <c r="B244" s="85">
        <f>(Cost!D26+Cost!D29)*Cost!C32</f>
        <v>3098.88</v>
      </c>
      <c r="C244" s="48"/>
      <c r="D244" s="48"/>
      <c r="E244" s="10"/>
    </row>
    <row r="245" spans="1:5" x14ac:dyDescent="0.3">
      <c r="A245" s="10" t="s">
        <v>339</v>
      </c>
      <c r="B245" s="48">
        <f>Cost!D13</f>
        <v>1792</v>
      </c>
      <c r="C245" s="48"/>
      <c r="D245" s="48"/>
      <c r="E245" s="10"/>
    </row>
    <row r="246" spans="1:5" x14ac:dyDescent="0.3">
      <c r="A246" s="10" t="s">
        <v>282</v>
      </c>
      <c r="B246" s="48">
        <f>SUM(Cost!D38:D41)</f>
        <v>30595.610148205637</v>
      </c>
      <c r="C246" s="48"/>
      <c r="D246" s="48"/>
      <c r="E246" s="10"/>
    </row>
    <row r="247" spans="1:5" x14ac:dyDescent="0.3">
      <c r="A247" s="10" t="s">
        <v>283</v>
      </c>
      <c r="B247" s="48">
        <f>SUM(Cost!D45:D48)</f>
        <v>2936.2604000000001</v>
      </c>
      <c r="C247" s="48"/>
      <c r="D247" s="48"/>
      <c r="E247" s="10"/>
    </row>
    <row r="248" spans="1:5" x14ac:dyDescent="0.3">
      <c r="A248" s="10" t="s">
        <v>284</v>
      </c>
      <c r="B248" s="48">
        <f>SUM(Cost!D57:D62)</f>
        <v>42582.510902399998</v>
      </c>
      <c r="C248" s="48"/>
      <c r="D248" s="48"/>
      <c r="E248" s="10"/>
    </row>
    <row r="249" spans="1:5" x14ac:dyDescent="0.3">
      <c r="A249" s="10" t="s">
        <v>285</v>
      </c>
      <c r="B249" s="48">
        <f>Cost!D66</f>
        <v>3819</v>
      </c>
      <c r="C249" s="48"/>
      <c r="D249" s="48"/>
      <c r="E249" s="10"/>
    </row>
    <row r="250" spans="1:5" x14ac:dyDescent="0.3">
      <c r="A250" s="10" t="s">
        <v>286</v>
      </c>
      <c r="B250" s="48">
        <f>SUM(Cost!D70:D71)</f>
        <v>907</v>
      </c>
      <c r="C250" s="48"/>
      <c r="D250" s="48"/>
      <c r="E250" s="10"/>
    </row>
    <row r="251" spans="1:5" x14ac:dyDescent="0.3">
      <c r="A251" s="10" t="s">
        <v>287</v>
      </c>
      <c r="B251" s="48">
        <f>Cost!D72</f>
        <v>3363</v>
      </c>
      <c r="C251" s="48"/>
      <c r="D251" s="48"/>
      <c r="E251" s="10"/>
    </row>
    <row r="252" spans="1:5" hidden="1" x14ac:dyDescent="0.3">
      <c r="A252" s="10" t="s">
        <v>288</v>
      </c>
      <c r="B252" s="48">
        <f>Cost!D76</f>
        <v>492838.31415600004</v>
      </c>
      <c r="C252" s="48"/>
      <c r="D252" s="48"/>
      <c r="E252" s="10"/>
    </row>
    <row r="253" spans="1:5" hidden="1" x14ac:dyDescent="0.3">
      <c r="A253" s="10" t="s">
        <v>289</v>
      </c>
      <c r="B253" s="48">
        <f>Cost!D77/(1+DR)^2</f>
        <v>1994562.3061877554</v>
      </c>
      <c r="C253" s="48" t="s">
        <v>348</v>
      </c>
      <c r="E253" s="10"/>
    </row>
    <row r="254" spans="1:5" x14ac:dyDescent="0.3">
      <c r="A254" s="10"/>
      <c r="B254" s="48"/>
      <c r="C254" s="48"/>
      <c r="D254" s="48"/>
      <c r="E254" s="10"/>
    </row>
    <row r="255" spans="1:5" x14ac:dyDescent="0.3">
      <c r="A255" s="21" t="s">
        <v>50</v>
      </c>
      <c r="B255" s="21"/>
      <c r="C255" s="21"/>
      <c r="D255" s="21"/>
      <c r="E255" s="21"/>
    </row>
    <row r="256" spans="1:5" x14ac:dyDescent="0.3">
      <c r="A256" s="10"/>
      <c r="B256" s="48"/>
      <c r="C256" s="48"/>
      <c r="D256" s="48"/>
      <c r="E256" s="10"/>
    </row>
    <row r="257" spans="1:5" s="41" customFormat="1" x14ac:dyDescent="0.3">
      <c r="A257" s="10" t="s">
        <v>368</v>
      </c>
      <c r="B257" s="49">
        <v>0.13300000000000001</v>
      </c>
      <c r="C257" s="49" t="s">
        <v>712</v>
      </c>
      <c r="D257" s="48"/>
      <c r="E257" s="10"/>
    </row>
    <row r="258" spans="1:5" s="41" customFormat="1" x14ac:dyDescent="0.3">
      <c r="A258" s="10" t="s">
        <v>715</v>
      </c>
      <c r="B258" s="49">
        <v>6.0999999999999999E-2</v>
      </c>
      <c r="C258" s="49" t="s">
        <v>707</v>
      </c>
      <c r="D258" s="48"/>
      <c r="E258" s="10"/>
    </row>
    <row r="259" spans="1:5" s="41" customFormat="1" x14ac:dyDescent="0.3">
      <c r="A259" s="10" t="s">
        <v>165</v>
      </c>
      <c r="B259" s="49">
        <v>1</v>
      </c>
      <c r="C259" s="49"/>
      <c r="D259" s="48"/>
      <c r="E259" s="10"/>
    </row>
    <row r="260" spans="1:5" s="41" customFormat="1" x14ac:dyDescent="0.3">
      <c r="A260" s="10"/>
      <c r="B260" s="49"/>
      <c r="C260" s="49"/>
      <c r="D260" s="48"/>
      <c r="E260" s="10"/>
    </row>
    <row r="261" spans="1:5" s="41" customFormat="1" x14ac:dyDescent="0.3">
      <c r="A261" s="21" t="s">
        <v>716</v>
      </c>
      <c r="B261" s="21"/>
      <c r="C261" s="21"/>
      <c r="D261" s="21"/>
      <c r="E261" s="21"/>
    </row>
    <row r="262" spans="1:5" s="41" customFormat="1" x14ac:dyDescent="0.3">
      <c r="A262" s="10"/>
      <c r="B262" s="48"/>
      <c r="C262" s="48"/>
      <c r="D262" s="48"/>
      <c r="E262" s="10"/>
    </row>
    <row r="263" spans="1:5" x14ac:dyDescent="0.3">
      <c r="A263" s="10" t="s">
        <v>214</v>
      </c>
      <c r="B263" s="49">
        <f>'DALY - SB'!D71</f>
        <v>19.181538114427529</v>
      </c>
      <c r="C263" s="49" t="s">
        <v>701</v>
      </c>
      <c r="D263" s="49"/>
      <c r="E263" s="10" t="s">
        <v>327</v>
      </c>
    </row>
    <row r="264" spans="1:5" x14ac:dyDescent="0.3">
      <c r="A264" s="10" t="s">
        <v>215</v>
      </c>
      <c r="B264" s="49">
        <v>0</v>
      </c>
      <c r="C264" s="49" t="s">
        <v>701</v>
      </c>
      <c r="D264" s="49"/>
      <c r="E264" s="10" t="s">
        <v>327</v>
      </c>
    </row>
    <row r="265" spans="1:5" x14ac:dyDescent="0.3">
      <c r="A265" s="10" t="s">
        <v>224</v>
      </c>
      <c r="B265" s="49">
        <f>'DALY - CLD'!B10</f>
        <v>0.53465956747782661</v>
      </c>
      <c r="C265" s="49" t="s">
        <v>701</v>
      </c>
      <c r="D265" s="10"/>
      <c r="E265" s="10" t="s">
        <v>327</v>
      </c>
    </row>
    <row r="266" spans="1:5" x14ac:dyDescent="0.3">
      <c r="A266" s="10" t="s">
        <v>223</v>
      </c>
      <c r="B266" s="49">
        <f>'DALY - motor impairement'!B10</f>
        <v>17.270393127285455</v>
      </c>
      <c r="C266" s="49" t="s">
        <v>701</v>
      </c>
      <c r="D266" s="10"/>
      <c r="E266" s="10" t="s">
        <v>327</v>
      </c>
    </row>
    <row r="267" spans="1:5" x14ac:dyDescent="0.3">
      <c r="A267" s="97" t="s">
        <v>319</v>
      </c>
      <c r="B267" s="98">
        <v>0.92</v>
      </c>
      <c r="C267" s="97" t="s">
        <v>350</v>
      </c>
      <c r="D267" s="97" t="s">
        <v>320</v>
      </c>
      <c r="E267" s="96" t="s">
        <v>321</v>
      </c>
    </row>
    <row r="268" spans="1:5" x14ac:dyDescent="0.3">
      <c r="A268" s="10"/>
      <c r="B268" s="49"/>
      <c r="C268" s="49"/>
      <c r="D268" s="10"/>
      <c r="E268" s="41"/>
    </row>
    <row r="269" spans="1:5" x14ac:dyDescent="0.3">
      <c r="A269" s="21" t="s">
        <v>51</v>
      </c>
      <c r="B269" s="21"/>
      <c r="C269" s="21"/>
      <c r="D269" s="21"/>
      <c r="E269" s="21"/>
    </row>
    <row r="270" spans="1:5" x14ac:dyDescent="0.3">
      <c r="A270" s="10"/>
      <c r="B270" s="10"/>
      <c r="C270" s="10"/>
      <c r="D270" s="10"/>
    </row>
    <row r="271" spans="1:5" x14ac:dyDescent="0.3">
      <c r="A271" s="10" t="s">
        <v>52</v>
      </c>
      <c r="B271" s="22">
        <v>0.05</v>
      </c>
      <c r="C271" s="22"/>
      <c r="D271" s="22" t="s">
        <v>318</v>
      </c>
      <c r="E271" s="10" t="s">
        <v>55</v>
      </c>
    </row>
    <row r="274" spans="1:5" x14ac:dyDescent="0.3">
      <c r="B274" s="10"/>
      <c r="C274" s="10"/>
      <c r="D274" s="10"/>
      <c r="E274" s="10"/>
    </row>
    <row r="275" spans="1:5" x14ac:dyDescent="0.3">
      <c r="B275" s="10"/>
      <c r="C275" s="10"/>
      <c r="D275" s="10"/>
      <c r="E275" s="10"/>
    </row>
    <row r="276" spans="1:5" x14ac:dyDescent="0.3">
      <c r="B276" s="10"/>
      <c r="C276" s="10"/>
      <c r="D276" s="10"/>
      <c r="E276" s="10"/>
    </row>
    <row r="277" spans="1:5" x14ac:dyDescent="0.3">
      <c r="B277" s="10"/>
      <c r="C277" s="10"/>
      <c r="D277" s="10"/>
      <c r="E277" s="10"/>
    </row>
    <row r="278" spans="1:5" x14ac:dyDescent="0.3">
      <c r="A278" s="10"/>
      <c r="B278" s="10"/>
      <c r="C278" s="10"/>
      <c r="D278" s="10"/>
      <c r="E278" s="10"/>
    </row>
    <row r="279" spans="1:5" x14ac:dyDescent="0.3">
      <c r="A279" s="10"/>
      <c r="B279" s="10"/>
      <c r="C279" s="10"/>
      <c r="D279" s="10"/>
      <c r="E279" s="10"/>
    </row>
    <row r="280" spans="1:5" x14ac:dyDescent="0.3">
      <c r="A280" s="10"/>
      <c r="B280" s="10"/>
      <c r="C280" s="10"/>
      <c r="D280" s="10"/>
      <c r="E280" s="10"/>
    </row>
    <row r="281" spans="1:5" x14ac:dyDescent="0.3">
      <c r="A281" s="10"/>
      <c r="B281" s="10"/>
      <c r="C281" s="10"/>
      <c r="D281" s="10"/>
      <c r="E281" s="10"/>
    </row>
    <row r="282" spans="1:5" x14ac:dyDescent="0.3">
      <c r="A282" s="10"/>
      <c r="B282" s="10"/>
      <c r="C282" s="10"/>
      <c r="D282" s="10"/>
      <c r="E282" s="10"/>
    </row>
    <row r="283" spans="1:5" x14ac:dyDescent="0.3">
      <c r="A283" s="10"/>
      <c r="B283" s="10"/>
      <c r="C283" s="10"/>
      <c r="D283" s="10"/>
      <c r="E283" s="10"/>
    </row>
    <row r="284" spans="1:5" x14ac:dyDescent="0.3">
      <c r="A284" s="10"/>
      <c r="B284" s="10"/>
      <c r="C284" s="10"/>
      <c r="D284" s="10"/>
      <c r="E284" s="10"/>
    </row>
    <row r="285" spans="1:5" x14ac:dyDescent="0.3">
      <c r="A285" s="10"/>
      <c r="B285" s="10"/>
      <c r="C285" s="10"/>
      <c r="D285" s="10"/>
      <c r="E285" s="10"/>
    </row>
    <row r="286" spans="1:5" x14ac:dyDescent="0.3">
      <c r="A286" s="10"/>
      <c r="B286" s="10"/>
      <c r="C286" s="10"/>
      <c r="D286" s="10"/>
      <c r="E286" s="10"/>
    </row>
    <row r="287" spans="1:5" x14ac:dyDescent="0.3">
      <c r="A287" s="10"/>
      <c r="B287" s="10"/>
      <c r="C287" s="10"/>
      <c r="D287" s="10"/>
      <c r="E287" s="10"/>
    </row>
    <row r="288" spans="1:5" x14ac:dyDescent="0.3">
      <c r="A288" s="10"/>
      <c r="B288" s="10"/>
      <c r="C288" s="10"/>
      <c r="D288" s="10"/>
      <c r="E288" s="10"/>
    </row>
    <row r="289" spans="1:5" x14ac:dyDescent="0.3">
      <c r="A289" s="10"/>
      <c r="B289" s="10"/>
      <c r="C289" s="10"/>
      <c r="D289" s="10"/>
      <c r="E289" s="10"/>
    </row>
    <row r="290" spans="1:5" x14ac:dyDescent="0.3">
      <c r="A290" s="10"/>
      <c r="B290" s="10"/>
      <c r="C290" s="10"/>
      <c r="D290" s="10"/>
      <c r="E290" s="10"/>
    </row>
    <row r="291" spans="1:5" x14ac:dyDescent="0.3">
      <c r="A291" s="10"/>
      <c r="B291" s="10"/>
      <c r="C291" s="10"/>
      <c r="D291" s="10"/>
      <c r="E291" s="10"/>
    </row>
    <row r="292" spans="1:5" x14ac:dyDescent="0.3">
      <c r="A292" s="10"/>
      <c r="B292" s="10"/>
      <c r="C292" s="10"/>
      <c r="D292" s="10"/>
      <c r="E292" s="10"/>
    </row>
    <row r="293" spans="1:5" x14ac:dyDescent="0.3">
      <c r="A293" s="10"/>
      <c r="B293" s="10"/>
      <c r="C293" s="10"/>
      <c r="D293" s="10"/>
      <c r="E293" s="10"/>
    </row>
    <row r="294" spans="1:5" x14ac:dyDescent="0.3">
      <c r="A294" s="10"/>
      <c r="B294" s="10"/>
      <c r="C294" s="10"/>
      <c r="D294" s="10"/>
      <c r="E294" s="10"/>
    </row>
    <row r="295" spans="1:5" x14ac:dyDescent="0.3">
      <c r="A295" s="10"/>
      <c r="B295" s="10"/>
      <c r="C295" s="10"/>
      <c r="D295" s="10"/>
      <c r="E295" s="10"/>
    </row>
    <row r="296" spans="1:5" x14ac:dyDescent="0.3">
      <c r="A296" s="10"/>
      <c r="B296" s="10"/>
      <c r="C296" s="10"/>
      <c r="D296" s="10"/>
      <c r="E296" s="10"/>
    </row>
    <row r="297" spans="1:5" x14ac:dyDescent="0.3">
      <c r="A297" s="10"/>
      <c r="B297" s="10"/>
      <c r="C297" s="10"/>
      <c r="D297" s="10"/>
      <c r="E297" s="10"/>
    </row>
  </sheetData>
  <phoneticPr fontId="14"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2:P25"/>
  <sheetViews>
    <sheetView workbookViewId="0">
      <selection activeCell="H29" sqref="H29"/>
    </sheetView>
  </sheetViews>
  <sheetFormatPr defaultRowHeight="14.4" x14ac:dyDescent="0.3"/>
  <sheetData>
    <row r="2" spans="3:16" x14ac:dyDescent="0.3">
      <c r="E2" s="1" t="s">
        <v>0</v>
      </c>
      <c r="F2" s="2" t="s">
        <v>42</v>
      </c>
    </row>
    <row r="3" spans="3:16" x14ac:dyDescent="0.3">
      <c r="P3" s="4" t="s">
        <v>24</v>
      </c>
    </row>
    <row r="4" spans="3:16" x14ac:dyDescent="0.3">
      <c r="N4" s="2" t="s">
        <v>22</v>
      </c>
    </row>
    <row r="5" spans="3:16" x14ac:dyDescent="0.3">
      <c r="E5" s="2"/>
      <c r="F5" s="2"/>
      <c r="G5" s="2"/>
      <c r="H5" s="2"/>
      <c r="I5" s="2"/>
      <c r="J5" s="2"/>
      <c r="L5" s="2"/>
      <c r="M5" s="2"/>
      <c r="N5" s="2"/>
    </row>
    <row r="6" spans="3:16" x14ac:dyDescent="0.3">
      <c r="C6" s="3"/>
      <c r="D6" s="2"/>
      <c r="E6" s="2"/>
      <c r="F6" s="2"/>
      <c r="G6" s="2"/>
      <c r="H6" s="2"/>
      <c r="I6" s="2"/>
      <c r="J6" s="2"/>
      <c r="K6" s="2"/>
      <c r="L6" s="2"/>
      <c r="M6" s="2"/>
      <c r="N6" s="2"/>
    </row>
    <row r="7" spans="3:16" x14ac:dyDescent="0.3">
      <c r="C7" s="3"/>
      <c r="D7" s="2"/>
      <c r="E7" s="2"/>
      <c r="F7" s="2"/>
      <c r="G7" s="2"/>
      <c r="H7" s="2"/>
      <c r="I7" s="2"/>
      <c r="J7" s="2"/>
      <c r="K7" s="2" t="s">
        <v>20</v>
      </c>
      <c r="L7" s="2"/>
      <c r="M7" s="2"/>
      <c r="N7" s="2"/>
    </row>
    <row r="8" spans="3:16" x14ac:dyDescent="0.3">
      <c r="C8" s="3"/>
      <c r="D8" s="7" t="s">
        <v>4</v>
      </c>
      <c r="E8" s="2"/>
      <c r="F8" s="2"/>
      <c r="G8" s="2"/>
      <c r="H8" s="2"/>
      <c r="I8" s="2"/>
      <c r="J8" s="2"/>
      <c r="L8" s="2"/>
      <c r="M8" s="2"/>
      <c r="N8" s="2"/>
    </row>
    <row r="9" spans="3:16" x14ac:dyDescent="0.3">
      <c r="C9" s="3"/>
      <c r="D9" s="2"/>
      <c r="E9" s="2"/>
      <c r="F9" s="2"/>
      <c r="G9" s="2"/>
      <c r="H9" s="2"/>
      <c r="I9" s="2"/>
      <c r="J9" s="2"/>
      <c r="K9" s="2"/>
      <c r="L9" s="2"/>
      <c r="M9" s="2"/>
      <c r="N9" s="2" t="s">
        <v>23</v>
      </c>
      <c r="P9" s="4" t="s">
        <v>24</v>
      </c>
    </row>
    <row r="10" spans="3:16" x14ac:dyDescent="0.3">
      <c r="C10" s="3"/>
      <c r="D10" s="2"/>
      <c r="E10" s="2"/>
      <c r="F10" s="2"/>
      <c r="G10" s="2"/>
      <c r="H10" s="2"/>
      <c r="I10" s="2"/>
      <c r="J10" s="2"/>
      <c r="K10" s="2"/>
      <c r="L10" s="2"/>
      <c r="M10" s="2"/>
      <c r="N10" s="2"/>
    </row>
    <row r="11" spans="3:16" x14ac:dyDescent="0.3">
      <c r="C11" s="3"/>
      <c r="D11" s="2"/>
      <c r="E11" s="2"/>
      <c r="F11" s="2"/>
      <c r="G11" s="2"/>
      <c r="H11" s="2"/>
      <c r="I11" s="2"/>
      <c r="J11" s="2"/>
      <c r="K11" s="2"/>
      <c r="L11" s="2"/>
      <c r="M11" s="2"/>
      <c r="N11" s="2" t="s">
        <v>22</v>
      </c>
      <c r="P11" s="4" t="s">
        <v>24</v>
      </c>
    </row>
    <row r="12" spans="3:16" x14ac:dyDescent="0.3">
      <c r="C12" s="3"/>
      <c r="D12" s="2"/>
      <c r="E12" s="2"/>
      <c r="F12" s="2"/>
      <c r="G12" s="2"/>
      <c r="H12" s="2"/>
      <c r="I12" s="2"/>
      <c r="J12" s="2"/>
      <c r="K12" s="2"/>
      <c r="L12" s="2"/>
      <c r="M12" s="2"/>
      <c r="N12" s="2"/>
    </row>
    <row r="13" spans="3:16" x14ac:dyDescent="0.3">
      <c r="C13" s="3"/>
      <c r="D13" s="2"/>
      <c r="E13" s="2"/>
      <c r="F13" s="2"/>
      <c r="G13" s="2"/>
      <c r="H13" s="2"/>
      <c r="I13" s="2"/>
      <c r="J13" s="2"/>
      <c r="K13" s="2" t="s">
        <v>21</v>
      </c>
      <c r="L13" s="2"/>
      <c r="M13" s="2"/>
      <c r="N13" s="2"/>
    </row>
    <row r="14" spans="3:16" x14ac:dyDescent="0.3">
      <c r="C14" s="3"/>
      <c r="D14" s="2"/>
      <c r="E14" s="2"/>
      <c r="F14" s="2"/>
      <c r="G14" s="2"/>
      <c r="H14" s="2"/>
      <c r="I14" s="2"/>
      <c r="J14" s="2"/>
      <c r="K14" s="2"/>
      <c r="L14" s="2"/>
      <c r="M14" s="2"/>
      <c r="N14" s="2"/>
    </row>
    <row r="15" spans="3:16" x14ac:dyDescent="0.3">
      <c r="C15" s="3"/>
      <c r="D15" s="2"/>
      <c r="E15" s="2"/>
      <c r="F15" s="2"/>
      <c r="G15" s="2"/>
      <c r="H15" s="2"/>
      <c r="I15" s="2"/>
      <c r="J15" s="2"/>
      <c r="K15" s="2"/>
      <c r="L15" s="2"/>
      <c r="M15" s="2"/>
      <c r="N15" s="2"/>
    </row>
    <row r="16" spans="3:16" x14ac:dyDescent="0.3">
      <c r="C16" s="3"/>
      <c r="D16" s="2"/>
      <c r="E16" s="2"/>
      <c r="F16" s="2"/>
      <c r="G16" s="2"/>
      <c r="H16" s="2"/>
      <c r="I16" s="2"/>
      <c r="J16" s="2"/>
      <c r="K16" s="2"/>
      <c r="L16" s="2"/>
      <c r="M16" s="2"/>
      <c r="N16" s="2" t="s">
        <v>23</v>
      </c>
      <c r="P16" s="4" t="s">
        <v>24</v>
      </c>
    </row>
    <row r="17" spans="3:16" x14ac:dyDescent="0.3">
      <c r="C17" s="3"/>
      <c r="D17" s="2"/>
      <c r="E17" s="2"/>
      <c r="F17" s="2"/>
      <c r="G17" s="2"/>
      <c r="H17" s="2"/>
      <c r="I17" s="2"/>
      <c r="J17" s="2"/>
      <c r="K17" s="2"/>
      <c r="L17" s="2"/>
      <c r="M17" s="2"/>
      <c r="N17" s="2"/>
    </row>
    <row r="18" spans="3:16" x14ac:dyDescent="0.3">
      <c r="C18" s="3"/>
      <c r="D18" s="2"/>
      <c r="E18" s="2"/>
      <c r="F18" s="2"/>
      <c r="G18" s="2"/>
      <c r="H18" s="2"/>
      <c r="I18" s="2"/>
      <c r="J18" s="2"/>
      <c r="K18" s="2"/>
      <c r="L18" s="2"/>
      <c r="M18" s="2"/>
      <c r="N18" s="2"/>
    </row>
    <row r="19" spans="3:16" x14ac:dyDescent="0.3">
      <c r="C19" s="3"/>
      <c r="D19" s="2"/>
      <c r="E19" s="2"/>
      <c r="F19" s="2"/>
      <c r="G19" s="2"/>
      <c r="H19" s="2"/>
      <c r="I19" s="2"/>
      <c r="J19" s="2"/>
      <c r="K19" s="2"/>
      <c r="L19" s="2"/>
      <c r="M19" s="2"/>
      <c r="N19" s="2" t="s">
        <v>22</v>
      </c>
      <c r="P19" s="4" t="s">
        <v>24</v>
      </c>
    </row>
    <row r="20" spans="3:16" x14ac:dyDescent="0.3">
      <c r="C20" s="3"/>
      <c r="D20" s="2"/>
      <c r="E20" s="2"/>
      <c r="F20" s="2"/>
      <c r="G20" s="2"/>
      <c r="H20" s="2"/>
      <c r="I20" s="2"/>
      <c r="J20" s="2"/>
      <c r="K20" s="2"/>
      <c r="L20" s="2"/>
      <c r="M20" s="2"/>
      <c r="N20" s="2"/>
    </row>
    <row r="21" spans="3:16" x14ac:dyDescent="0.3">
      <c r="C21" s="3"/>
      <c r="D21" s="2"/>
      <c r="E21" s="2"/>
      <c r="F21" s="2"/>
      <c r="G21" s="2"/>
      <c r="H21" s="2"/>
      <c r="I21" s="2"/>
      <c r="J21" s="2"/>
      <c r="K21" s="2"/>
      <c r="L21" s="2"/>
      <c r="M21" s="2"/>
      <c r="N21" s="2"/>
    </row>
    <row r="22" spans="3:16" x14ac:dyDescent="0.3">
      <c r="C22" s="3"/>
      <c r="D22" s="2"/>
      <c r="E22" s="2"/>
      <c r="F22" s="2"/>
      <c r="G22" s="2"/>
      <c r="H22" s="2"/>
      <c r="I22" s="2"/>
      <c r="J22" s="2"/>
      <c r="K22" s="2"/>
      <c r="L22" s="2"/>
      <c r="M22" s="2"/>
      <c r="N22" s="2"/>
    </row>
    <row r="23" spans="3:16" x14ac:dyDescent="0.3">
      <c r="C23" s="3"/>
      <c r="D23" s="7" t="s">
        <v>5</v>
      </c>
      <c r="E23" s="2"/>
      <c r="F23" s="2"/>
      <c r="G23" s="2"/>
      <c r="H23" s="2"/>
      <c r="I23" s="2"/>
      <c r="J23" s="2"/>
      <c r="K23" s="2"/>
      <c r="L23" s="2"/>
      <c r="M23" s="2"/>
      <c r="N23" s="2"/>
    </row>
    <row r="24" spans="3:16" x14ac:dyDescent="0.3">
      <c r="C24" s="3"/>
      <c r="D24" s="2"/>
      <c r="E24" s="2"/>
      <c r="F24" s="2"/>
      <c r="G24" s="2"/>
      <c r="H24" s="2"/>
      <c r="I24" s="2"/>
      <c r="J24" s="2"/>
      <c r="K24" s="2"/>
      <c r="L24" s="2"/>
      <c r="M24" s="2"/>
      <c r="N24" s="2" t="s">
        <v>23</v>
      </c>
      <c r="P24" s="4" t="s">
        <v>24</v>
      </c>
    </row>
    <row r="25" spans="3:16" x14ac:dyDescent="0.3">
      <c r="C25" s="3"/>
      <c r="D25" s="2"/>
      <c r="E25" s="2"/>
      <c r="F25" s="2"/>
      <c r="G25" s="2"/>
      <c r="H25" s="2"/>
      <c r="I25" s="2"/>
      <c r="J25" s="2"/>
      <c r="K25" s="2"/>
      <c r="L25" s="2"/>
      <c r="M25" s="2"/>
      <c r="N25"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27"/>
  <sheetViews>
    <sheetView workbookViewId="0">
      <selection activeCell="K18" sqref="K18"/>
    </sheetView>
  </sheetViews>
  <sheetFormatPr defaultRowHeight="14.4" x14ac:dyDescent="0.3"/>
  <sheetData>
    <row r="2" spans="1:8" x14ac:dyDescent="0.3">
      <c r="E2" s="1" t="s">
        <v>25</v>
      </c>
      <c r="F2" s="18" t="s">
        <v>38</v>
      </c>
    </row>
    <row r="3" spans="1:8" x14ac:dyDescent="0.3">
      <c r="B3" s="3"/>
      <c r="C3" s="2"/>
      <c r="D3" s="2"/>
      <c r="E3" s="2"/>
      <c r="F3" s="2"/>
      <c r="G3" s="2"/>
    </row>
    <row r="4" spans="1:8" x14ac:dyDescent="0.3">
      <c r="A4" s="8"/>
      <c r="B4" s="8"/>
      <c r="C4" s="8"/>
      <c r="E4" s="2"/>
      <c r="F4" s="2"/>
      <c r="G4" s="2"/>
    </row>
    <row r="5" spans="1:8" x14ac:dyDescent="0.3">
      <c r="A5" s="8"/>
      <c r="B5" s="8"/>
      <c r="C5" s="8"/>
      <c r="D5" s="19" t="s">
        <v>24</v>
      </c>
      <c r="E5" s="12"/>
      <c r="F5" s="12"/>
      <c r="G5" s="12"/>
      <c r="H5" s="4" t="s">
        <v>34</v>
      </c>
    </row>
    <row r="6" spans="1:8" x14ac:dyDescent="0.3">
      <c r="A6" s="8"/>
      <c r="B6" s="9" t="s">
        <v>22</v>
      </c>
      <c r="C6" s="8"/>
      <c r="D6" s="8"/>
      <c r="E6" s="12"/>
      <c r="F6" s="14" t="s">
        <v>10</v>
      </c>
      <c r="G6" s="12"/>
      <c r="H6" s="12"/>
    </row>
    <row r="7" spans="1:8" x14ac:dyDescent="0.3">
      <c r="A7" s="8"/>
      <c r="B7" s="9"/>
      <c r="C7" s="8"/>
      <c r="D7" s="8"/>
      <c r="E7" s="12"/>
      <c r="F7" s="14"/>
      <c r="G7" s="12"/>
      <c r="H7" s="12"/>
    </row>
    <row r="8" spans="1:8" x14ac:dyDescent="0.3">
      <c r="A8" s="8"/>
      <c r="B8" s="9"/>
      <c r="C8" s="8"/>
      <c r="D8" s="8"/>
      <c r="E8" s="12"/>
      <c r="F8" s="14"/>
      <c r="G8" s="12"/>
      <c r="H8" s="12"/>
    </row>
    <row r="9" spans="1:8" x14ac:dyDescent="0.3">
      <c r="A9" s="8"/>
      <c r="B9" s="9"/>
      <c r="C9" s="8"/>
      <c r="D9" s="8"/>
      <c r="E9" s="12"/>
      <c r="F9" s="14"/>
      <c r="G9" s="12"/>
      <c r="H9" s="12"/>
    </row>
    <row r="10" spans="1:8" x14ac:dyDescent="0.3">
      <c r="A10" s="8"/>
      <c r="B10" s="9"/>
      <c r="C10" s="8"/>
      <c r="D10" s="8"/>
      <c r="E10" s="12"/>
      <c r="F10" s="14"/>
      <c r="G10" s="12"/>
      <c r="H10" s="12"/>
    </row>
    <row r="11" spans="1:8" x14ac:dyDescent="0.3">
      <c r="A11" s="8"/>
      <c r="B11" s="9" t="s">
        <v>23</v>
      </c>
      <c r="C11" s="8"/>
      <c r="D11" s="19" t="s">
        <v>24</v>
      </c>
      <c r="E11" s="12"/>
      <c r="F11" s="14" t="s">
        <v>11</v>
      </c>
      <c r="G11" s="12"/>
      <c r="H11" s="13"/>
    </row>
    <row r="12" spans="1:8" x14ac:dyDescent="0.3">
      <c r="A12" s="8"/>
      <c r="B12" s="9"/>
      <c r="C12" s="8"/>
      <c r="D12" s="8"/>
      <c r="E12" s="12"/>
      <c r="F12" s="14"/>
      <c r="G12" s="12"/>
      <c r="H12" s="12"/>
    </row>
    <row r="13" spans="1:8" x14ac:dyDescent="0.3">
      <c r="A13" s="8"/>
      <c r="B13" s="9" t="s">
        <v>22</v>
      </c>
      <c r="C13" s="8"/>
      <c r="D13" s="19" t="s">
        <v>24</v>
      </c>
      <c r="E13" s="2"/>
      <c r="F13" s="2"/>
      <c r="G13" s="2"/>
    </row>
    <row r="14" spans="1:8" x14ac:dyDescent="0.3">
      <c r="A14" s="8"/>
      <c r="B14" s="9"/>
      <c r="C14" s="8"/>
      <c r="D14" s="8"/>
      <c r="E14" s="2"/>
      <c r="F14" s="2"/>
      <c r="G14" s="2"/>
    </row>
    <row r="15" spans="1:8" x14ac:dyDescent="0.3">
      <c r="A15" s="8"/>
      <c r="B15" s="9"/>
      <c r="C15" s="8"/>
      <c r="D15" s="8"/>
      <c r="E15" s="2"/>
      <c r="F15" s="2"/>
      <c r="G15" s="2"/>
    </row>
    <row r="16" spans="1:8" x14ac:dyDescent="0.3">
      <c r="A16" s="8"/>
      <c r="B16" s="9"/>
      <c r="C16" s="8"/>
      <c r="D16" s="8"/>
      <c r="E16" s="2"/>
      <c r="F16" s="2"/>
      <c r="G16" s="2"/>
    </row>
    <row r="17" spans="1:7" x14ac:dyDescent="0.3">
      <c r="A17" s="8"/>
      <c r="B17" s="9"/>
      <c r="C17" s="8"/>
      <c r="D17" s="8"/>
      <c r="E17" s="2"/>
      <c r="F17" s="2"/>
      <c r="G17" s="2"/>
    </row>
    <row r="18" spans="1:7" x14ac:dyDescent="0.3">
      <c r="A18" s="8"/>
      <c r="B18" s="9" t="s">
        <v>23</v>
      </c>
      <c r="C18" s="8"/>
      <c r="D18" s="19" t="s">
        <v>24</v>
      </c>
      <c r="E18" s="2"/>
      <c r="F18" s="2"/>
      <c r="G18" s="2"/>
    </row>
    <row r="19" spans="1:7" x14ac:dyDescent="0.3">
      <c r="A19" s="8"/>
      <c r="B19" s="9"/>
      <c r="C19" s="8"/>
      <c r="D19" s="8"/>
      <c r="E19" s="2"/>
      <c r="F19" s="2"/>
      <c r="G19" s="2"/>
    </row>
    <row r="20" spans="1:7" x14ac:dyDescent="0.3">
      <c r="A20" s="8"/>
      <c r="B20" s="9"/>
      <c r="C20" s="8"/>
      <c r="D20" s="8"/>
      <c r="E20" s="2"/>
      <c r="F20" s="2"/>
      <c r="G20" s="2"/>
    </row>
    <row r="21" spans="1:7" x14ac:dyDescent="0.3">
      <c r="A21" s="8"/>
      <c r="B21" s="9" t="s">
        <v>22</v>
      </c>
      <c r="C21" s="8"/>
      <c r="D21" s="19" t="s">
        <v>24</v>
      </c>
      <c r="E21" s="2"/>
      <c r="F21" s="2"/>
      <c r="G21" s="2"/>
    </row>
    <row r="22" spans="1:7" x14ac:dyDescent="0.3">
      <c r="A22" s="8"/>
      <c r="B22" s="9"/>
      <c r="C22" s="8"/>
      <c r="D22" s="8"/>
    </row>
    <row r="23" spans="1:7" x14ac:dyDescent="0.3">
      <c r="A23" s="8"/>
      <c r="B23" s="9"/>
      <c r="C23" s="8"/>
      <c r="D23" s="8"/>
    </row>
    <row r="24" spans="1:7" x14ac:dyDescent="0.3">
      <c r="A24" s="8"/>
      <c r="B24" s="9"/>
      <c r="C24" s="8"/>
      <c r="D24" s="8"/>
    </row>
    <row r="25" spans="1:7" x14ac:dyDescent="0.3">
      <c r="A25" s="8"/>
      <c r="B25" s="9"/>
      <c r="C25" s="8"/>
      <c r="D25" s="8"/>
    </row>
    <row r="26" spans="1:7" x14ac:dyDescent="0.3">
      <c r="A26" s="8"/>
      <c r="B26" s="9" t="s">
        <v>23</v>
      </c>
      <c r="C26" s="8"/>
      <c r="D26" s="19" t="s">
        <v>24</v>
      </c>
    </row>
    <row r="27" spans="1:7" x14ac:dyDescent="0.3">
      <c r="A27" s="8"/>
      <c r="B27" s="9"/>
      <c r="C27" s="8"/>
      <c r="D27" s="8"/>
    </row>
  </sheetData>
  <pageMargins left="0.7" right="0.7" top="0.75" bottom="0.75" header="0.3" footer="0.3"/>
  <pageSetup paperSize="9" orientation="portrait"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26"/>
  <sheetViews>
    <sheetView workbookViewId="0">
      <selection activeCell="B1" sqref="B1"/>
    </sheetView>
  </sheetViews>
  <sheetFormatPr defaultRowHeight="14.4" x14ac:dyDescent="0.3"/>
  <sheetData>
    <row r="2" spans="1:11" x14ac:dyDescent="0.3">
      <c r="E2" s="4" t="s">
        <v>31</v>
      </c>
      <c r="F2" s="18" t="s">
        <v>41</v>
      </c>
    </row>
    <row r="5" spans="1:11" x14ac:dyDescent="0.3">
      <c r="I5" t="s">
        <v>7</v>
      </c>
      <c r="K5" s="13" t="s">
        <v>35</v>
      </c>
    </row>
    <row r="6" spans="1:11" x14ac:dyDescent="0.3">
      <c r="E6" s="2"/>
      <c r="F6" s="2"/>
      <c r="G6" s="2"/>
      <c r="H6" s="2"/>
      <c r="I6" s="2"/>
    </row>
    <row r="7" spans="1:11" x14ac:dyDescent="0.3">
      <c r="E7" s="2"/>
      <c r="F7" s="2"/>
      <c r="G7" s="2"/>
      <c r="H7" s="2"/>
    </row>
    <row r="8" spans="1:11" x14ac:dyDescent="0.3">
      <c r="A8" s="2"/>
      <c r="B8" s="2"/>
      <c r="C8" s="2"/>
      <c r="E8" s="2"/>
      <c r="F8" s="2" t="s">
        <v>1</v>
      </c>
      <c r="G8" s="2"/>
      <c r="H8" s="2"/>
      <c r="I8" s="2" t="s">
        <v>6</v>
      </c>
      <c r="K8" s="13" t="s">
        <v>35</v>
      </c>
    </row>
    <row r="9" spans="1:11" x14ac:dyDescent="0.3">
      <c r="A9" s="2"/>
      <c r="B9" s="2"/>
      <c r="C9" s="2"/>
      <c r="E9" s="2"/>
      <c r="G9" s="2"/>
      <c r="H9" s="2"/>
      <c r="I9" s="2"/>
    </row>
    <row r="10" spans="1:11" x14ac:dyDescent="0.3">
      <c r="A10" s="15"/>
      <c r="B10" s="15"/>
      <c r="C10" s="15"/>
      <c r="D10" s="16"/>
      <c r="E10" s="2"/>
      <c r="F10" s="2"/>
      <c r="G10" s="2"/>
      <c r="H10" s="2"/>
      <c r="I10" s="2"/>
    </row>
    <row r="11" spans="1:11" x14ac:dyDescent="0.3">
      <c r="A11" s="16"/>
      <c r="B11" s="16"/>
      <c r="C11" s="16"/>
      <c r="D11" s="19" t="s">
        <v>34</v>
      </c>
      <c r="E11" s="2"/>
      <c r="F11" s="2"/>
      <c r="G11" s="2"/>
      <c r="H11" s="2"/>
      <c r="I11" s="2" t="s">
        <v>8</v>
      </c>
      <c r="K11" s="13" t="s">
        <v>35</v>
      </c>
    </row>
    <row r="12" spans="1:11" x14ac:dyDescent="0.3">
      <c r="A12" s="16"/>
      <c r="B12" s="15" t="s">
        <v>10</v>
      </c>
      <c r="C12" s="16"/>
      <c r="D12" s="16"/>
      <c r="E12" s="2"/>
      <c r="F12" s="2" t="s">
        <v>2</v>
      </c>
      <c r="G12" s="2"/>
      <c r="H12" s="2"/>
      <c r="I12" s="2"/>
    </row>
    <row r="13" spans="1:11" x14ac:dyDescent="0.3">
      <c r="A13" s="16"/>
      <c r="B13" s="15"/>
      <c r="C13" s="16"/>
      <c r="D13" s="16"/>
      <c r="E13" s="2"/>
      <c r="F13" s="2"/>
      <c r="G13" s="2"/>
      <c r="H13" s="2"/>
      <c r="I13" s="2"/>
    </row>
    <row r="14" spans="1:11" x14ac:dyDescent="0.3">
      <c r="A14" s="16"/>
      <c r="B14" s="15"/>
      <c r="C14" s="16"/>
      <c r="D14" s="16"/>
      <c r="E14" s="2"/>
      <c r="F14" s="2"/>
      <c r="G14" s="2"/>
      <c r="H14" s="2"/>
    </row>
    <row r="15" spans="1:11" x14ac:dyDescent="0.3">
      <c r="A15" s="16"/>
      <c r="B15" s="15"/>
      <c r="C15" s="16"/>
      <c r="D15" s="16"/>
      <c r="E15" s="2"/>
      <c r="F15" s="2" t="s">
        <v>3</v>
      </c>
      <c r="G15" s="2"/>
      <c r="H15" s="2"/>
      <c r="K15" s="13"/>
    </row>
    <row r="16" spans="1:11" x14ac:dyDescent="0.3">
      <c r="A16" s="16"/>
      <c r="B16" s="15"/>
      <c r="C16" s="16"/>
      <c r="D16" s="16"/>
      <c r="E16" s="2"/>
      <c r="F16" s="2"/>
      <c r="G16" s="2"/>
      <c r="H16" s="2"/>
      <c r="I16" s="2"/>
    </row>
    <row r="17" spans="1:11" x14ac:dyDescent="0.3">
      <c r="A17" s="16"/>
      <c r="B17" s="15" t="s">
        <v>11</v>
      </c>
      <c r="C17" s="16"/>
      <c r="D17" s="17"/>
      <c r="E17" s="2"/>
      <c r="F17" s="2"/>
      <c r="G17" s="2"/>
      <c r="H17" s="2"/>
    </row>
    <row r="18" spans="1:11" x14ac:dyDescent="0.3">
      <c r="A18" s="16"/>
      <c r="B18" s="15"/>
      <c r="C18" s="16"/>
      <c r="D18" s="16"/>
      <c r="E18" s="2"/>
      <c r="F18" s="2"/>
      <c r="G18" s="2"/>
      <c r="H18" s="2"/>
      <c r="I18" s="2"/>
      <c r="K18" s="13"/>
    </row>
    <row r="19" spans="1:11" x14ac:dyDescent="0.3">
      <c r="A19" s="15"/>
      <c r="B19" s="15"/>
      <c r="C19" s="15"/>
      <c r="D19" s="16"/>
      <c r="E19" s="2"/>
      <c r="F19" s="2"/>
      <c r="G19" s="2"/>
      <c r="H19" s="2"/>
      <c r="I19" s="2"/>
    </row>
    <row r="20" spans="1:11" x14ac:dyDescent="0.3">
      <c r="A20" s="15"/>
      <c r="B20" s="15"/>
      <c r="C20" s="15"/>
      <c r="D20" s="16"/>
      <c r="E20" s="2"/>
      <c r="F20" s="2"/>
      <c r="G20" s="2"/>
      <c r="H20" s="2"/>
      <c r="I20" s="2"/>
    </row>
    <row r="21" spans="1:11" x14ac:dyDescent="0.3">
      <c r="E21" s="2"/>
      <c r="F21" s="2"/>
      <c r="G21" s="2"/>
      <c r="H21" s="2"/>
      <c r="I21" s="2"/>
      <c r="K21" s="13"/>
    </row>
    <row r="22" spans="1:11" x14ac:dyDescent="0.3">
      <c r="E22" s="2"/>
      <c r="F22" s="2"/>
      <c r="G22" s="2"/>
      <c r="H22" s="2"/>
      <c r="I22" s="2"/>
    </row>
    <row r="23" spans="1:11" x14ac:dyDescent="0.3">
      <c r="E23" s="2"/>
      <c r="F23" s="2"/>
      <c r="G23" s="2"/>
      <c r="H23" s="2"/>
      <c r="I23" s="2"/>
    </row>
    <row r="24" spans="1:11" x14ac:dyDescent="0.3">
      <c r="E24" s="2"/>
      <c r="F24" s="2"/>
      <c r="G24" s="2"/>
      <c r="H24" s="2"/>
      <c r="I24" s="2"/>
    </row>
    <row r="25" spans="1:11" x14ac:dyDescent="0.3">
      <c r="E25" s="2"/>
      <c r="F25" s="2"/>
      <c r="G25" s="2"/>
      <c r="H25" s="2"/>
      <c r="I25" s="2"/>
    </row>
    <row r="26" spans="1:11" x14ac:dyDescent="0.3">
      <c r="E26" s="2"/>
      <c r="F26" s="2"/>
      <c r="G26" s="2"/>
      <c r="H26" s="2"/>
      <c r="I26" s="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H30"/>
  <sheetViews>
    <sheetView topLeftCell="A4" workbookViewId="0">
      <selection activeCell="A17" sqref="A17"/>
    </sheetView>
  </sheetViews>
  <sheetFormatPr defaultRowHeight="14.4" x14ac:dyDescent="0.3"/>
  <sheetData>
    <row r="2" spans="2:8" x14ac:dyDescent="0.3">
      <c r="E2" s="4" t="s">
        <v>36</v>
      </c>
      <c r="F2" s="18" t="s">
        <v>38</v>
      </c>
    </row>
    <row r="6" spans="2:8" x14ac:dyDescent="0.3">
      <c r="H6" s="2" t="s">
        <v>12</v>
      </c>
    </row>
    <row r="7" spans="2:8" x14ac:dyDescent="0.3">
      <c r="B7" s="16"/>
      <c r="C7" s="16"/>
      <c r="H7" s="2"/>
    </row>
    <row r="8" spans="2:8" x14ac:dyDescent="0.3">
      <c r="B8" s="16"/>
      <c r="C8" s="16"/>
      <c r="H8" s="2"/>
    </row>
    <row r="9" spans="2:8" x14ac:dyDescent="0.3">
      <c r="B9" s="16" t="s">
        <v>7</v>
      </c>
      <c r="C9" s="16"/>
      <c r="D9" s="19" t="s">
        <v>35</v>
      </c>
      <c r="F9" s="2" t="s">
        <v>9</v>
      </c>
      <c r="H9" s="2"/>
    </row>
    <row r="10" spans="2:8" x14ac:dyDescent="0.3">
      <c r="B10" s="15"/>
      <c r="C10" s="16"/>
      <c r="D10" s="8"/>
      <c r="E10" s="2"/>
      <c r="F10" s="2"/>
      <c r="H10" s="2"/>
    </row>
    <row r="11" spans="2:8" x14ac:dyDescent="0.3">
      <c r="B11" s="16"/>
      <c r="C11" s="16"/>
      <c r="D11" s="8"/>
      <c r="E11" s="2"/>
      <c r="F11" s="2"/>
      <c r="H11" s="2" t="s">
        <v>37</v>
      </c>
    </row>
    <row r="12" spans="2:8" x14ac:dyDescent="0.3">
      <c r="B12" s="15" t="s">
        <v>6</v>
      </c>
      <c r="C12" s="16"/>
      <c r="D12" s="19" t="s">
        <v>35</v>
      </c>
      <c r="E12" s="2"/>
      <c r="F12" s="2"/>
      <c r="H12" s="2"/>
    </row>
    <row r="13" spans="2:8" x14ac:dyDescent="0.3">
      <c r="B13" s="15"/>
      <c r="C13" s="16"/>
      <c r="D13" s="8"/>
      <c r="E13" s="2"/>
      <c r="F13" s="2"/>
    </row>
    <row r="14" spans="2:8" x14ac:dyDescent="0.3">
      <c r="B14" s="15"/>
      <c r="C14" s="16"/>
      <c r="D14" s="8"/>
      <c r="E14" s="2"/>
      <c r="F14" s="2" t="s">
        <v>37</v>
      </c>
    </row>
    <row r="15" spans="2:8" x14ac:dyDescent="0.3">
      <c r="B15" s="15" t="s">
        <v>8</v>
      </c>
      <c r="C15" s="16"/>
      <c r="D15" s="19" t="s">
        <v>35</v>
      </c>
      <c r="E15" s="2"/>
      <c r="F15" s="2"/>
    </row>
    <row r="16" spans="2:8" x14ac:dyDescent="0.3">
      <c r="B16" s="15"/>
      <c r="C16" s="16"/>
      <c r="D16" s="8"/>
    </row>
    <row r="17" spans="2:8" x14ac:dyDescent="0.3">
      <c r="B17" s="15"/>
      <c r="C17" s="16"/>
      <c r="H17" s="2" t="s">
        <v>12</v>
      </c>
    </row>
    <row r="18" spans="2:8" x14ac:dyDescent="0.3">
      <c r="B18" s="16"/>
      <c r="C18" s="16"/>
      <c r="H18" s="2"/>
    </row>
    <row r="19" spans="2:8" x14ac:dyDescent="0.3">
      <c r="B19" s="16"/>
      <c r="C19" s="16"/>
      <c r="D19" s="13"/>
      <c r="F19" s="12" t="s">
        <v>40</v>
      </c>
      <c r="H19" s="2"/>
    </row>
    <row r="20" spans="2:8" x14ac:dyDescent="0.3">
      <c r="B20" s="15"/>
      <c r="C20" s="16"/>
      <c r="H20" s="2"/>
    </row>
    <row r="21" spans="2:8" x14ac:dyDescent="0.3">
      <c r="B21" s="16"/>
      <c r="C21" s="16"/>
      <c r="H21" s="2"/>
    </row>
    <row r="22" spans="2:8" x14ac:dyDescent="0.3">
      <c r="B22" s="15"/>
      <c r="C22" s="16"/>
      <c r="D22" s="13"/>
      <c r="F22" s="13"/>
      <c r="H22" s="2" t="s">
        <v>37</v>
      </c>
    </row>
    <row r="23" spans="2:8" x14ac:dyDescent="0.3">
      <c r="B23" s="15"/>
      <c r="C23" s="16"/>
    </row>
    <row r="24" spans="2:8" x14ac:dyDescent="0.3">
      <c r="B24" s="15"/>
      <c r="C24" s="16"/>
      <c r="H24" s="2" t="s">
        <v>12</v>
      </c>
    </row>
    <row r="25" spans="2:8" x14ac:dyDescent="0.3">
      <c r="B25" s="15"/>
      <c r="C25" s="16"/>
      <c r="D25" s="13"/>
      <c r="H25" s="2"/>
    </row>
    <row r="26" spans="2:8" x14ac:dyDescent="0.3">
      <c r="B26" s="15"/>
      <c r="C26" s="16"/>
      <c r="F26" t="s">
        <v>39</v>
      </c>
      <c r="H26" s="2"/>
    </row>
    <row r="27" spans="2:8" x14ac:dyDescent="0.3">
      <c r="B27" s="2"/>
      <c r="H27" s="2"/>
    </row>
    <row r="28" spans="2:8" x14ac:dyDescent="0.3">
      <c r="B28" s="2"/>
      <c r="H28" s="2"/>
    </row>
    <row r="29" spans="2:8" x14ac:dyDescent="0.3">
      <c r="H29" s="2" t="s">
        <v>37</v>
      </c>
    </row>
    <row r="30" spans="2:8" x14ac:dyDescent="0.3">
      <c r="H30"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50" zoomScaleNormal="50" workbookViewId="0">
      <selection activeCell="Y24" sqref="Y24"/>
    </sheetView>
  </sheetViews>
  <sheetFormatPr defaultColWidth="8.88671875" defaultRowHeight="14.4" x14ac:dyDescent="0.3"/>
  <cols>
    <col min="1" max="16384" width="8.88671875" style="25"/>
  </cols>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P1813"/>
  <sheetViews>
    <sheetView tabSelected="1" zoomScale="70" zoomScaleNormal="70" workbookViewId="0">
      <selection activeCell="K8" sqref="K8"/>
    </sheetView>
  </sheetViews>
  <sheetFormatPr defaultRowHeight="14.4" x14ac:dyDescent="0.3"/>
  <cols>
    <col min="1" max="1" width="13.109375" bestFit="1" customWidth="1"/>
    <col min="3" max="3" width="16.21875" bestFit="1" customWidth="1"/>
    <col min="5" max="5" width="12.6640625" bestFit="1" customWidth="1"/>
    <col min="7" max="7" width="14" bestFit="1" customWidth="1"/>
    <col min="11" max="11" width="12" bestFit="1" customWidth="1"/>
    <col min="13" max="13" width="14.21875" bestFit="1" customWidth="1"/>
    <col min="15" max="15" width="16.44140625" bestFit="1" customWidth="1"/>
    <col min="17" max="17" width="28.77734375" bestFit="1" customWidth="1"/>
    <col min="18" max="18" width="5.21875" style="41" customWidth="1"/>
    <col min="19" max="19" width="8.77734375" style="25" customWidth="1"/>
    <col min="20" max="20" width="12.44140625" customWidth="1"/>
    <col min="21" max="21" width="20.5546875" bestFit="1" customWidth="1"/>
    <col min="22" max="22" width="20.5546875" style="41" customWidth="1"/>
    <col min="23" max="23" width="16.109375" bestFit="1" customWidth="1"/>
    <col min="24" max="24" width="13.77734375" bestFit="1" customWidth="1"/>
    <col min="25" max="25" width="8.5546875" style="41" customWidth="1"/>
    <col min="26" max="26" width="21.21875" bestFit="1" customWidth="1"/>
    <col min="27" max="27" width="22.33203125" bestFit="1" customWidth="1"/>
    <col min="28" max="28" width="8.77734375" customWidth="1"/>
    <col min="32" max="32" width="19.44140625" bestFit="1" customWidth="1"/>
  </cols>
  <sheetData>
    <row r="1" spans="1:32" s="95" customFormat="1" x14ac:dyDescent="0.3">
      <c r="S1" s="25"/>
      <c r="T1" s="106" t="s">
        <v>59</v>
      </c>
      <c r="U1" s="104" t="s">
        <v>60</v>
      </c>
      <c r="V1" s="104"/>
      <c r="W1" s="103" t="s">
        <v>67</v>
      </c>
      <c r="X1" s="104" t="s">
        <v>63</v>
      </c>
      <c r="Y1" s="104"/>
      <c r="Z1" s="103" t="s">
        <v>66</v>
      </c>
      <c r="AA1" s="132" t="s">
        <v>64</v>
      </c>
    </row>
    <row r="2" spans="1:32" s="95" customFormat="1" x14ac:dyDescent="0.3">
      <c r="A2" s="95" t="s">
        <v>374</v>
      </c>
      <c r="S2" s="25"/>
      <c r="T2" s="106" t="s">
        <v>4</v>
      </c>
      <c r="U2" s="104"/>
      <c r="V2" s="104"/>
      <c r="W2" s="103"/>
      <c r="X2" s="104"/>
      <c r="Y2" s="104"/>
      <c r="Z2" s="103"/>
      <c r="AA2" s="132"/>
    </row>
    <row r="3" spans="1:32" s="41" customFormat="1" x14ac:dyDescent="0.3">
      <c r="C3" s="54" t="s">
        <v>3</v>
      </c>
      <c r="D3" s="54"/>
      <c r="E3" s="54"/>
      <c r="F3" s="54"/>
      <c r="G3" s="54"/>
      <c r="H3" s="54"/>
      <c r="I3" s="54"/>
      <c r="J3" s="54"/>
      <c r="K3" s="54"/>
      <c r="L3" s="54"/>
      <c r="M3" s="54"/>
      <c r="N3" s="54"/>
      <c r="O3" s="54"/>
      <c r="P3" s="54"/>
      <c r="Q3" s="54"/>
      <c r="R3" s="54"/>
      <c r="S3" s="129"/>
      <c r="T3" s="105"/>
      <c r="U3" s="133">
        <f>C4*A103</f>
        <v>1.5025730109739368E-2</v>
      </c>
      <c r="V3" s="133">
        <v>1.3647347965249199E-2</v>
      </c>
      <c r="W3" s="134">
        <f>C5+A104</f>
        <v>4269</v>
      </c>
      <c r="X3" s="133">
        <f>u_Death</f>
        <v>19.181538114427529</v>
      </c>
      <c r="Y3" s="133"/>
      <c r="Z3" s="134">
        <f>U3*W3</f>
        <v>64.144841838477362</v>
      </c>
      <c r="AA3" s="6">
        <f>U3*X3</f>
        <v>0.28821661479706701</v>
      </c>
      <c r="AC3" t="s">
        <v>745</v>
      </c>
      <c r="AF3" s="109"/>
    </row>
    <row r="4" spans="1:32" s="41" customFormat="1" x14ac:dyDescent="0.3">
      <c r="C4" s="56">
        <f>ANC2SB_1</f>
        <v>1.6422801402225271E-2</v>
      </c>
      <c r="S4" s="25"/>
      <c r="T4" s="105"/>
      <c r="U4" s="133"/>
      <c r="V4" s="133"/>
      <c r="W4" s="133"/>
      <c r="X4" s="133"/>
      <c r="Y4" s="133"/>
      <c r="Z4" s="134"/>
      <c r="AA4" s="6"/>
    </row>
    <row r="5" spans="1:32" x14ac:dyDescent="0.3">
      <c r="C5" s="57">
        <f>c_SB</f>
        <v>1792</v>
      </c>
      <c r="T5" s="105"/>
      <c r="U5" s="133"/>
      <c r="V5" s="133"/>
      <c r="W5" s="133"/>
      <c r="X5" s="133"/>
      <c r="Y5" s="133"/>
      <c r="Z5" s="134"/>
      <c r="AA5" s="6"/>
      <c r="AC5" t="s">
        <v>8</v>
      </c>
    </row>
    <row r="6" spans="1:32" s="41" customFormat="1" x14ac:dyDescent="0.3">
      <c r="S6" s="25"/>
      <c r="T6" s="105"/>
      <c r="U6" s="133"/>
      <c r="V6" s="133"/>
      <c r="W6" s="133"/>
      <c r="X6" s="133"/>
      <c r="Y6" s="133"/>
      <c r="Z6" s="134"/>
      <c r="AA6" s="6"/>
      <c r="AC6" s="41" t="s">
        <v>3</v>
      </c>
    </row>
    <row r="7" spans="1:32" x14ac:dyDescent="0.3">
      <c r="G7" s="64"/>
      <c r="H7" s="64"/>
      <c r="I7" s="64"/>
      <c r="J7" s="64"/>
      <c r="K7" s="54" t="s">
        <v>165</v>
      </c>
      <c r="L7" s="54"/>
      <c r="M7" s="54"/>
      <c r="N7" s="54"/>
      <c r="O7" s="54"/>
      <c r="P7" s="54"/>
      <c r="Q7" s="54"/>
      <c r="R7" s="54"/>
      <c r="S7" s="129"/>
      <c r="T7" s="105"/>
      <c r="U7" s="133">
        <f>K8*I16*G40*E78*C148*A103</f>
        <v>1.7296609194856216E-3</v>
      </c>
      <c r="V7" s="133">
        <v>3.6347052383081582E-3</v>
      </c>
      <c r="W7" s="134">
        <f>$K$9+$I$17+$G$41+$E$79+$C$149+$A$104</f>
        <v>203498.6673081081</v>
      </c>
      <c r="X7" s="133">
        <f>u_Death</f>
        <v>19.181538114427529</v>
      </c>
      <c r="Y7" s="133"/>
      <c r="Z7" s="134">
        <f>U7*W7</f>
        <v>351.98369201024087</v>
      </c>
      <c r="AA7" s="6">
        <f>U7*X7</f>
        <v>3.3177556852149216E-2</v>
      </c>
      <c r="AC7" t="s">
        <v>165</v>
      </c>
    </row>
    <row r="8" spans="1:32" x14ac:dyDescent="0.3">
      <c r="G8" s="64"/>
      <c r="H8" s="64"/>
      <c r="I8" s="64"/>
      <c r="J8" s="64"/>
      <c r="K8" s="56">
        <f>SGA_prem_2d_1</f>
        <v>7.4819333333333335E-2</v>
      </c>
      <c r="L8" s="64"/>
      <c r="M8" s="64"/>
      <c r="N8" s="64"/>
      <c r="O8" s="64"/>
      <c r="P8" s="64"/>
      <c r="Q8" s="64"/>
      <c r="R8" s="64"/>
      <c r="S8" s="129"/>
      <c r="T8" s="105"/>
      <c r="U8" s="133"/>
      <c r="V8" s="133"/>
      <c r="W8" s="133"/>
      <c r="X8" s="133"/>
      <c r="Y8" s="133"/>
      <c r="Z8" s="134"/>
      <c r="AA8" s="6"/>
      <c r="AC8" t="s">
        <v>746</v>
      </c>
    </row>
    <row r="9" spans="1:32" x14ac:dyDescent="0.3">
      <c r="G9" s="64"/>
      <c r="H9" s="64"/>
      <c r="I9" s="64"/>
      <c r="J9" s="64"/>
      <c r="K9" s="57">
        <f>c_SB</f>
        <v>1792</v>
      </c>
      <c r="L9" s="64"/>
      <c r="M9" s="64"/>
      <c r="N9" s="64"/>
      <c r="O9" s="64"/>
      <c r="P9" s="64"/>
      <c r="Q9" s="64"/>
      <c r="R9" s="64"/>
      <c r="S9" s="129"/>
      <c r="T9" s="105"/>
      <c r="U9" s="133"/>
      <c r="V9" s="133"/>
      <c r="W9" s="133"/>
      <c r="X9" s="133"/>
      <c r="Y9" s="133"/>
      <c r="Z9" s="134"/>
      <c r="AA9" s="6"/>
    </row>
    <row r="10" spans="1:32" s="41" customFormat="1" x14ac:dyDescent="0.3">
      <c r="G10" s="64"/>
      <c r="H10" s="64"/>
      <c r="I10" s="64"/>
      <c r="J10" s="64"/>
      <c r="K10" s="53"/>
      <c r="L10" s="64"/>
      <c r="M10" s="64"/>
      <c r="N10" s="64"/>
      <c r="O10" s="64"/>
      <c r="P10" s="64"/>
      <c r="Q10" s="64"/>
      <c r="R10" s="64"/>
      <c r="S10" s="129"/>
      <c r="T10" s="105"/>
      <c r="U10" s="133"/>
      <c r="V10" s="133"/>
      <c r="W10" s="133"/>
      <c r="X10" s="133"/>
      <c r="Y10" s="133"/>
      <c r="Z10" s="134"/>
      <c r="AA10" s="6"/>
    </row>
    <row r="11" spans="1:32" x14ac:dyDescent="0.3">
      <c r="G11" s="53"/>
      <c r="H11" s="53"/>
      <c r="I11" s="53"/>
      <c r="J11" s="53"/>
      <c r="K11" s="53"/>
      <c r="L11" s="53"/>
      <c r="M11" s="53"/>
      <c r="N11" s="53"/>
      <c r="O11" s="53"/>
      <c r="P11" s="53"/>
      <c r="Q11" s="54" t="s">
        <v>368</v>
      </c>
      <c r="R11" s="54"/>
      <c r="S11" s="129"/>
      <c r="T11" s="105"/>
      <c r="U11" s="133">
        <f>$Q$12*$O$17*$M$22*$K$27*$I$16*$G$40*$E$78*$C$148*$A$103</f>
        <v>7.1032045112684309E-4</v>
      </c>
      <c r="V11" s="133">
        <v>1.3151941396883436E-3</v>
      </c>
      <c r="W11" s="134">
        <f>$K$28+$I$17+$G$41+$E$79+$C$149+$A$104+$M$23+$O$18+Q13</f>
        <v>289768.0487587137</v>
      </c>
      <c r="X11" s="133">
        <f>u_ChronicResp</f>
        <v>0.53465956747782661</v>
      </c>
      <c r="Y11" s="133"/>
      <c r="Z11" s="134">
        <f>U11*W11</f>
        <v>205.82817111643459</v>
      </c>
      <c r="AA11" s="6">
        <f>U11*X11</f>
        <v>3.7977962517013263E-4</v>
      </c>
    </row>
    <row r="12" spans="1:32" x14ac:dyDescent="0.3">
      <c r="G12" s="53"/>
      <c r="H12" s="53"/>
      <c r="I12" s="53"/>
      <c r="J12" s="53"/>
      <c r="K12" s="53"/>
      <c r="L12" s="53"/>
      <c r="M12" s="53"/>
      <c r="N12" s="53"/>
      <c r="O12" s="64"/>
      <c r="P12" s="64"/>
      <c r="Q12" s="56">
        <f>RDS2CLD_1-(Hypo2CI_1*RDS2CLD_1)</f>
        <v>0.34246866666666664</v>
      </c>
      <c r="R12" s="56"/>
      <c r="S12" s="129"/>
      <c r="T12" s="105"/>
      <c r="U12" s="133"/>
      <c r="V12" s="133"/>
      <c r="W12" s="133"/>
      <c r="X12" s="133"/>
      <c r="Y12" s="133"/>
      <c r="Z12" s="134"/>
      <c r="AA12" s="6"/>
    </row>
    <row r="13" spans="1:32" x14ac:dyDescent="0.3">
      <c r="G13" s="53"/>
      <c r="H13" s="53"/>
      <c r="I13" s="53"/>
      <c r="J13" s="53"/>
      <c r="K13" s="53"/>
      <c r="L13" s="53"/>
      <c r="M13" s="53"/>
      <c r="N13" s="53"/>
      <c r="O13" s="64"/>
      <c r="P13" s="64"/>
      <c r="Q13" s="57">
        <f>c_lung+c_hosp_fu+c_CSG</f>
        <v>54529.510902399998</v>
      </c>
      <c r="R13" s="57"/>
      <c r="S13" s="129"/>
      <c r="T13" s="105"/>
      <c r="U13" s="133"/>
      <c r="V13" s="133"/>
      <c r="W13" s="133"/>
      <c r="X13" s="133"/>
      <c r="Y13" s="133"/>
      <c r="Z13" s="134"/>
      <c r="AA13" s="6"/>
    </row>
    <row r="14" spans="1:32" x14ac:dyDescent="0.3">
      <c r="G14" s="53"/>
      <c r="H14" s="53"/>
      <c r="I14" s="53"/>
      <c r="J14" s="53"/>
      <c r="K14" s="53"/>
      <c r="L14" s="53"/>
      <c r="M14" s="53"/>
      <c r="N14" s="53"/>
      <c r="O14" s="64"/>
      <c r="P14" s="64"/>
      <c r="Q14" s="54" t="s">
        <v>226</v>
      </c>
      <c r="R14" s="54"/>
      <c r="S14" s="129"/>
      <c r="T14" s="105"/>
      <c r="U14" s="133">
        <f>$Q$15*$O$17*$M$22*$K$27*$I$16*$G$40*$E$78*$C$148*$A$103</f>
        <v>6.803522104561208E-5</v>
      </c>
      <c r="V14" s="133">
        <v>1.2597064306629622E-4</v>
      </c>
      <c r="W14" s="134">
        <f>$K$28+$I$17+$G$41+$E$79+$C$149+$A$104+$M$23+$O$18+Q16</f>
        <v>251004.53785631372</v>
      </c>
      <c r="X14" s="133">
        <f>u_CongnitiveImpairement</f>
        <v>17.270393127285455</v>
      </c>
      <c r="Y14" s="133"/>
      <c r="Z14" s="134">
        <f>U14*W14</f>
        <v>17.077149216506008</v>
      </c>
      <c r="AA14" s="6">
        <f>U14*X14</f>
        <v>1.1749950139594856E-3</v>
      </c>
    </row>
    <row r="15" spans="1:32" x14ac:dyDescent="0.3">
      <c r="G15" s="64"/>
      <c r="H15" s="64"/>
      <c r="I15" s="54" t="s">
        <v>164</v>
      </c>
      <c r="J15" s="64"/>
      <c r="K15" s="64"/>
      <c r="L15" s="64"/>
      <c r="M15" s="64"/>
      <c r="N15" s="64"/>
      <c r="O15" s="64"/>
      <c r="P15" s="64"/>
      <c r="Q15" s="56">
        <f>Hypo2CI_1-(Hypo2CI_1*RDS2CLD_1)</f>
        <v>3.2801999999999998E-2</v>
      </c>
      <c r="R15" s="56"/>
      <c r="S15" s="129"/>
      <c r="T15" s="105"/>
      <c r="U15" s="133"/>
      <c r="V15" s="133"/>
      <c r="W15" s="133"/>
      <c r="X15" s="133"/>
      <c r="Y15" s="133"/>
      <c r="Z15" s="134"/>
      <c r="AA15" s="6"/>
    </row>
    <row r="16" spans="1:32" x14ac:dyDescent="0.3">
      <c r="G16" s="64"/>
      <c r="H16" s="64"/>
      <c r="I16" s="56">
        <f>LBW_prem_2SGA_1</f>
        <v>0.39968592964824123</v>
      </c>
      <c r="J16" s="64"/>
      <c r="K16" s="64"/>
      <c r="L16" s="64"/>
      <c r="M16" s="64"/>
      <c r="N16" s="64"/>
      <c r="O16" s="54" t="s">
        <v>161</v>
      </c>
      <c r="P16" s="64"/>
      <c r="Q16" s="57">
        <f>c_cog+c_hosp_fu+c_CSG</f>
        <v>15766</v>
      </c>
      <c r="R16" s="57"/>
      <c r="S16" s="129"/>
      <c r="T16" s="105"/>
      <c r="U16" s="133"/>
      <c r="V16" s="133"/>
      <c r="W16" s="133"/>
      <c r="X16" s="133"/>
      <c r="Y16" s="133"/>
      <c r="Z16" s="134"/>
      <c r="AA16" s="6"/>
    </row>
    <row r="17" spans="1:27" x14ac:dyDescent="0.3">
      <c r="G17" s="64"/>
      <c r="H17" s="64"/>
      <c r="I17" s="57"/>
      <c r="J17" s="64"/>
      <c r="K17" s="64"/>
      <c r="L17" s="64"/>
      <c r="M17" s="64"/>
      <c r="N17" s="64"/>
      <c r="O17" s="56">
        <f>SGA_prem_2hypoglycaemia_1</f>
        <v>0.2155</v>
      </c>
      <c r="P17" s="64"/>
      <c r="Q17" s="54" t="s">
        <v>369</v>
      </c>
      <c r="R17" s="54"/>
      <c r="S17" s="129"/>
      <c r="T17" s="105"/>
      <c r="U17" s="133">
        <f>$Q$18*$O$17*$M$22*$K$27*$I$16*$G$40*$E$78*$C$148*$A$103</f>
        <v>3.8436173391965515E-5</v>
      </c>
      <c r="V17" s="133">
        <v>7.1166513531976426E-5</v>
      </c>
      <c r="W17" s="134">
        <f>$K$28+$I$17+$G$41+$E$79+$C$149+$A$104+$M$23+$O$18+Q19</f>
        <v>293587.0487587137</v>
      </c>
      <c r="X17" s="133">
        <f>u_ChronicResp+u_CongnitiveImpairement</f>
        <v>17.805052694763283</v>
      </c>
      <c r="Y17" s="133"/>
      <c r="Z17" s="134">
        <f>U17*W17</f>
        <v>11.284362711725354</v>
      </c>
      <c r="AA17" s="6">
        <f>U17*X17</f>
        <v>6.8435809262900444E-4</v>
      </c>
    </row>
    <row r="18" spans="1:27" x14ac:dyDescent="0.3">
      <c r="G18" s="64"/>
      <c r="H18" s="64"/>
      <c r="I18" s="64"/>
      <c r="J18" s="64"/>
      <c r="K18" s="64"/>
      <c r="L18" s="64"/>
      <c r="M18" s="64"/>
      <c r="N18" s="64"/>
      <c r="O18" s="57">
        <f>c_hypo</f>
        <v>2936.2604000000001</v>
      </c>
      <c r="P18" s="64"/>
      <c r="Q18" s="56">
        <f>Hypo2CI_1*RDS2CLD_1</f>
        <v>1.8531333333333334E-2</v>
      </c>
      <c r="R18" s="56"/>
      <c r="S18" s="129"/>
      <c r="T18" s="105"/>
      <c r="U18" s="133"/>
      <c r="V18" s="133"/>
      <c r="W18" s="133"/>
      <c r="X18" s="133"/>
      <c r="Y18" s="133"/>
      <c r="Z18" s="134"/>
      <c r="AA18" s="6"/>
    </row>
    <row r="19" spans="1:27" x14ac:dyDescent="0.3">
      <c r="G19" s="64"/>
      <c r="H19" s="64"/>
      <c r="I19" s="64"/>
      <c r="J19" s="64"/>
      <c r="K19" s="64"/>
      <c r="L19" s="64"/>
      <c r="M19" s="65"/>
      <c r="N19" s="64"/>
      <c r="O19" s="53"/>
      <c r="P19" s="64"/>
      <c r="Q19" s="57">
        <f>c_lung+c_cog+c_hosp_fu+c_CSG</f>
        <v>58348.510902399998</v>
      </c>
      <c r="R19" s="57"/>
      <c r="S19" s="129"/>
      <c r="T19" s="105"/>
      <c r="U19" s="133"/>
      <c r="V19" s="133"/>
      <c r="W19" s="133"/>
      <c r="X19" s="133"/>
      <c r="Y19" s="133"/>
      <c r="Z19" s="134"/>
      <c r="AA19" s="6"/>
    </row>
    <row r="20" spans="1:27" x14ac:dyDescent="0.3">
      <c r="G20" s="64"/>
      <c r="H20" s="64"/>
      <c r="I20" s="64"/>
      <c r="J20" s="64"/>
      <c r="K20" s="64"/>
      <c r="L20" s="64"/>
      <c r="M20" s="64"/>
      <c r="N20" s="64"/>
      <c r="O20" s="64"/>
      <c r="P20" s="64"/>
      <c r="Q20" s="54" t="s">
        <v>370</v>
      </c>
      <c r="R20" s="54"/>
      <c r="S20" s="129"/>
      <c r="T20" s="105"/>
      <c r="U20" s="133">
        <f>$Q$21*$O$17*$M$22*$K$27*$I$16*$G$40*$E$78*$C$148*$A$103</f>
        <v>1.2573262278948833E-3</v>
      </c>
      <c r="V20" s="133">
        <v>2.3280029231602536E-3</v>
      </c>
      <c r="W20" s="134">
        <f>$K$28+$I$17+$G$41+$E$79+$C$149+$A$104+$M$23+$O$18+Q22</f>
        <v>249641.53785631372</v>
      </c>
      <c r="X20" s="133">
        <f>u_Healthy</f>
        <v>0</v>
      </c>
      <c r="Y20" s="133"/>
      <c r="Z20" s="134">
        <f>U20*W20</f>
        <v>313.88085311875665</v>
      </c>
      <c r="AA20" s="6">
        <f>U20*X20</f>
        <v>0</v>
      </c>
    </row>
    <row r="21" spans="1:27" x14ac:dyDescent="0.3">
      <c r="G21" s="64"/>
      <c r="H21" s="64"/>
      <c r="I21" s="64"/>
      <c r="J21" s="64"/>
      <c r="K21" s="64"/>
      <c r="L21" s="64"/>
      <c r="M21" s="54" t="s">
        <v>9</v>
      </c>
      <c r="N21" s="64"/>
      <c r="O21" s="64"/>
      <c r="P21" s="64"/>
      <c r="Q21" s="56">
        <f>1-Q12-Q15-Q18</f>
        <v>0.60619800000000001</v>
      </c>
      <c r="R21" s="56"/>
      <c r="S21" s="129"/>
      <c r="T21" s="105"/>
      <c r="U21" s="133"/>
      <c r="V21" s="133"/>
      <c r="W21" s="133"/>
      <c r="X21" s="133"/>
      <c r="Y21" s="133"/>
      <c r="Z21" s="134"/>
      <c r="AA21" s="6"/>
    </row>
    <row r="22" spans="1:27" x14ac:dyDescent="0.3">
      <c r="G22" s="64"/>
      <c r="H22" s="64"/>
      <c r="I22" s="64"/>
      <c r="J22" s="64"/>
      <c r="K22" s="65"/>
      <c r="L22" s="64"/>
      <c r="M22" s="56">
        <f>S_prem_2RDS_1</f>
        <v>0.45</v>
      </c>
      <c r="N22" s="64"/>
      <c r="O22" s="64"/>
      <c r="P22" s="64"/>
      <c r="Q22" s="57">
        <f>c_clinic_fu+c_CSG</f>
        <v>14403</v>
      </c>
      <c r="R22" s="57"/>
      <c r="S22" s="129"/>
      <c r="T22" s="105"/>
      <c r="U22" s="133"/>
      <c r="V22" s="133"/>
      <c r="W22" s="133"/>
      <c r="X22" s="133"/>
      <c r="Y22" s="133"/>
      <c r="Z22" s="134"/>
      <c r="AA22" s="6"/>
    </row>
    <row r="23" spans="1:27" x14ac:dyDescent="0.3">
      <c r="G23" s="64"/>
      <c r="H23" s="64"/>
      <c r="I23" s="64"/>
      <c r="J23" s="64"/>
      <c r="K23" s="65"/>
      <c r="L23" s="64"/>
      <c r="M23" s="57">
        <f>c_RDS</f>
        <v>30595.610148205637</v>
      </c>
      <c r="N23" s="64"/>
      <c r="O23" s="64"/>
      <c r="P23" s="64"/>
      <c r="Q23" s="65"/>
      <c r="R23" s="65"/>
      <c r="S23" s="129"/>
      <c r="T23" s="105"/>
      <c r="U23" s="133"/>
      <c r="V23" s="133"/>
      <c r="W23" s="133"/>
      <c r="X23" s="133"/>
      <c r="Y23" s="133"/>
      <c r="Z23" s="134"/>
      <c r="AA23" s="6"/>
    </row>
    <row r="24" spans="1:27" x14ac:dyDescent="0.3">
      <c r="G24" s="64"/>
      <c r="H24" s="64"/>
      <c r="I24" s="64"/>
      <c r="J24" s="64"/>
      <c r="K24" s="64"/>
      <c r="L24" s="64"/>
      <c r="M24" s="64"/>
      <c r="N24" s="64"/>
      <c r="O24" s="64"/>
      <c r="P24" s="64"/>
      <c r="Q24" s="54" t="s">
        <v>368</v>
      </c>
      <c r="R24" s="54"/>
      <c r="S24" s="129"/>
      <c r="T24" s="105"/>
      <c r="U24" s="133">
        <f>$Q$25*$O$27*$M$22*$K$27*$I$16*$G$40*$E$78*$C$148*$A$103</f>
        <v>2.6355689950816187E-3</v>
      </c>
      <c r="V24" s="133">
        <v>4.879888917145454E-3</v>
      </c>
      <c r="W24" s="134">
        <f>$K$28+$I$17+$G$41+$E$79+$C$149+$A$104+$M$23+$O$28+Q26</f>
        <v>286831.78835871373</v>
      </c>
      <c r="X24" s="133">
        <f>u_ChronicResp</f>
        <v>0.53465956747782661</v>
      </c>
      <c r="Y24" s="133"/>
      <c r="Z24" s="134">
        <f>U24*W24</f>
        <v>755.96496820203868</v>
      </c>
      <c r="AA24" s="6">
        <f>U24*X24</f>
        <v>1.4091321789683085E-3</v>
      </c>
    </row>
    <row r="25" spans="1:27" x14ac:dyDescent="0.3">
      <c r="G25" s="64"/>
      <c r="H25" s="64"/>
      <c r="I25" s="64"/>
      <c r="J25" s="64"/>
      <c r="K25" s="64"/>
      <c r="L25" s="64"/>
      <c r="M25" s="64"/>
      <c r="N25" s="64"/>
      <c r="O25" s="64"/>
      <c r="P25" s="64"/>
      <c r="Q25" s="56">
        <f>RDS2CLD_1-(RDS2CLD_1*noHypo2CI_1)</f>
        <v>0.34905610687022898</v>
      </c>
      <c r="R25" s="56"/>
      <c r="S25" s="129"/>
      <c r="T25" s="105"/>
      <c r="U25" s="133"/>
      <c r="V25" s="133"/>
      <c r="W25" s="133"/>
      <c r="X25" s="133"/>
      <c r="Y25" s="133"/>
      <c r="Z25" s="134"/>
      <c r="AA25" s="6"/>
    </row>
    <row r="26" spans="1:27" x14ac:dyDescent="0.3">
      <c r="G26" s="64"/>
      <c r="H26" s="64"/>
      <c r="I26" s="64"/>
      <c r="J26" s="64"/>
      <c r="K26" s="54" t="s">
        <v>37</v>
      </c>
      <c r="L26" s="64"/>
      <c r="M26" s="65"/>
      <c r="N26" s="64"/>
      <c r="O26" s="54" t="s">
        <v>371</v>
      </c>
      <c r="P26" s="64"/>
      <c r="Q26" s="57">
        <f>c_lung+c_hosp_fu+c_CSG</f>
        <v>54529.510902399998</v>
      </c>
      <c r="R26" s="57"/>
      <c r="S26" s="129"/>
      <c r="T26" s="105"/>
      <c r="U26" s="133"/>
      <c r="V26" s="133"/>
      <c r="W26" s="133"/>
      <c r="X26" s="133"/>
      <c r="Y26" s="133"/>
      <c r="Z26" s="134"/>
      <c r="AA26" s="6"/>
    </row>
    <row r="27" spans="1:27" x14ac:dyDescent="0.3">
      <c r="G27" s="64"/>
      <c r="H27" s="64"/>
      <c r="I27" s="64"/>
      <c r="J27" s="64"/>
      <c r="K27" s="56">
        <f>SGA_prem_2s_1</f>
        <v>0.92518066666666665</v>
      </c>
      <c r="L27" s="64"/>
      <c r="M27" s="64"/>
      <c r="N27" s="64"/>
      <c r="O27" s="56">
        <f>SGA_prem_2normoglycaemia_1</f>
        <v>0.78449999999999998</v>
      </c>
      <c r="P27" s="64"/>
      <c r="Q27" s="54" t="s">
        <v>226</v>
      </c>
      <c r="R27" s="54"/>
      <c r="S27" s="129"/>
      <c r="T27" s="105"/>
      <c r="U27" s="133">
        <f>$Q$28*$O$27*$M$22*$K$27*$I$16*$G$40*$E$78*$C$148*$A$103</f>
        <v>1.5963154402570565E-4</v>
      </c>
      <c r="V27" s="133">
        <v>2.9556585464905798E-4</v>
      </c>
      <c r="W27" s="134">
        <f>$K$28+$I$17+$G$41+$E$79+$C$149+$A$104+$M$23+$O$28+Q29</f>
        <v>248068.27745631372</v>
      </c>
      <c r="X27" s="133">
        <f>u_CongnitiveImpairement</f>
        <v>17.270393127285455</v>
      </c>
      <c r="Y27" s="133"/>
      <c r="Z27" s="134">
        <f>U27*W27</f>
        <v>39.599522154148509</v>
      </c>
      <c r="AA27" s="6">
        <f>U27*X27</f>
        <v>2.7568995208395123E-3</v>
      </c>
    </row>
    <row r="28" spans="1:27" x14ac:dyDescent="0.3">
      <c r="H28" s="64"/>
      <c r="I28" s="64"/>
      <c r="J28" s="64"/>
      <c r="K28" s="57"/>
      <c r="L28" s="64"/>
      <c r="M28" s="64"/>
      <c r="N28" s="64"/>
      <c r="O28" s="57"/>
      <c r="P28" s="64"/>
      <c r="Q28" s="56">
        <f>noHypo2CI_1-(RDS2CLD_1*noHypo2CI_1)</f>
        <v>2.1141683406990762E-2</v>
      </c>
      <c r="R28" s="56"/>
      <c r="S28" s="129"/>
      <c r="T28" s="105"/>
      <c r="U28" s="133"/>
      <c r="V28" s="133"/>
      <c r="W28" s="133"/>
      <c r="X28" s="133"/>
      <c r="Y28" s="133"/>
      <c r="Z28" s="134"/>
      <c r="AA28" s="6"/>
    </row>
    <row r="29" spans="1:27" x14ac:dyDescent="0.3">
      <c r="H29" s="64"/>
      <c r="I29" s="64"/>
      <c r="J29" s="64"/>
      <c r="K29" s="64"/>
      <c r="L29" s="64"/>
      <c r="M29" s="64"/>
      <c r="N29" s="64"/>
      <c r="O29" s="53"/>
      <c r="P29" s="64"/>
      <c r="Q29" s="57">
        <f>c_cog+c_hosp_fu+c_CSG</f>
        <v>15766</v>
      </c>
      <c r="R29" s="57"/>
      <c r="S29" s="129"/>
      <c r="T29" s="105"/>
      <c r="U29" s="133"/>
      <c r="V29" s="133"/>
      <c r="W29" s="133"/>
      <c r="X29" s="133"/>
      <c r="Y29" s="133"/>
      <c r="Z29" s="134"/>
      <c r="AA29" s="6"/>
    </row>
    <row r="30" spans="1:27" x14ac:dyDescent="0.3">
      <c r="H30" s="64"/>
      <c r="I30" s="64"/>
      <c r="J30" s="64"/>
      <c r="K30" s="64"/>
      <c r="L30" s="64"/>
      <c r="M30" s="64"/>
      <c r="N30" s="64"/>
      <c r="O30" s="53"/>
      <c r="P30" s="64"/>
      <c r="Q30" s="54" t="s">
        <v>369</v>
      </c>
      <c r="R30" s="54"/>
      <c r="S30" s="129"/>
      <c r="T30" s="105"/>
      <c r="U30" s="133">
        <f>$Q$31*$O$27*$M$22*$K$27*$I$16*$G$40*$E$78*$C$148*$A$103</f>
        <v>9.0183078862722559E-5</v>
      </c>
      <c r="V30" s="133">
        <v>1.6697851882364618E-4</v>
      </c>
      <c r="W30" s="134">
        <f>$K$28+$I$17+$G$41+$E$79+$C$149+$A$104+$M$23+$O$28+Q32</f>
        <v>290650.78835871373</v>
      </c>
      <c r="X30" s="133">
        <f>u_ChronicResp+u_CongnitiveImpairement</f>
        <v>17.805052694763283</v>
      </c>
      <c r="Y30" s="133"/>
      <c r="Z30" s="134">
        <f>U30*W30</f>
        <v>26.211782968066366</v>
      </c>
      <c r="AA30" s="6">
        <f>U30*X30</f>
        <v>1.605714471326768E-3</v>
      </c>
    </row>
    <row r="31" spans="1:27" x14ac:dyDescent="0.3">
      <c r="A31" s="41"/>
      <c r="B31" s="41"/>
      <c r="C31" s="41"/>
      <c r="D31" s="41"/>
      <c r="E31" s="41"/>
      <c r="F31" s="41"/>
      <c r="G31" s="65"/>
      <c r="H31" s="64"/>
      <c r="I31" s="64"/>
      <c r="J31" s="64"/>
      <c r="K31" s="64"/>
      <c r="L31" s="64"/>
      <c r="M31" s="64"/>
      <c r="N31" s="64"/>
      <c r="O31" s="53"/>
      <c r="P31" s="64"/>
      <c r="Q31" s="56">
        <f>RDS2CLD_1*noHypo2CI_1</f>
        <v>1.1943893129770991E-2</v>
      </c>
      <c r="R31" s="56"/>
      <c r="T31" s="105"/>
      <c r="U31" s="133"/>
      <c r="V31" s="133"/>
      <c r="W31" s="133"/>
      <c r="X31" s="133"/>
      <c r="Y31" s="133"/>
      <c r="Z31" s="134"/>
      <c r="AA31" s="6"/>
    </row>
    <row r="32" spans="1:27" x14ac:dyDescent="0.3">
      <c r="A32" s="41"/>
      <c r="B32" s="41"/>
      <c r="C32" s="41"/>
      <c r="D32" s="41"/>
      <c r="E32" s="41"/>
      <c r="F32" s="41"/>
      <c r="G32" s="65"/>
      <c r="H32" s="64"/>
      <c r="I32" s="64"/>
      <c r="J32" s="64"/>
      <c r="K32" s="64"/>
      <c r="L32" s="64"/>
      <c r="M32" s="64"/>
      <c r="N32" s="64"/>
      <c r="O32" s="53"/>
      <c r="P32" s="64"/>
      <c r="Q32" s="57">
        <f>c_cog+c_lung+c_hosp_fu+c_CSG</f>
        <v>58348.510902399998</v>
      </c>
      <c r="R32" s="57"/>
      <c r="S32" s="129"/>
      <c r="T32" s="105"/>
      <c r="U32" s="133"/>
      <c r="V32" s="133"/>
      <c r="W32" s="133"/>
      <c r="X32" s="133"/>
      <c r="Y32" s="133"/>
      <c r="Z32" s="134"/>
      <c r="AA32" s="6"/>
    </row>
    <row r="33" spans="7:27" x14ac:dyDescent="0.3">
      <c r="G33" s="64"/>
      <c r="H33" s="64"/>
      <c r="I33" s="64"/>
      <c r="J33" s="64"/>
      <c r="K33" s="64"/>
      <c r="L33" s="64"/>
      <c r="M33" s="64"/>
      <c r="N33" s="64"/>
      <c r="O33" s="53"/>
      <c r="P33" s="64"/>
      <c r="Q33" s="54" t="s">
        <v>370</v>
      </c>
      <c r="R33" s="54"/>
      <c r="S33" s="129"/>
      <c r="T33" s="105"/>
      <c r="U33" s="133">
        <f>$Q$34*$O$27*$M$22*$K$27*$I$16*$G$40*$E$78*$C$148*$A$103</f>
        <v>4.6651761436486269E-3</v>
      </c>
      <c r="V33" s="133">
        <v>8.6378089142823983E-3</v>
      </c>
      <c r="W33" s="134">
        <f>$K$28+$I$17+$G$41+$E$79+$C$149+$A$104+$M$23+$O$28+Q35</f>
        <v>246705.27745631372</v>
      </c>
      <c r="X33" s="133">
        <f>u_Healthy</f>
        <v>0</v>
      </c>
      <c r="Y33" s="133"/>
      <c r="Z33" s="134">
        <f>U33*W33</f>
        <v>1150.9235749014101</v>
      </c>
      <c r="AA33" s="6">
        <f>U33*X33</f>
        <v>0</v>
      </c>
    </row>
    <row r="34" spans="7:27" x14ac:dyDescent="0.3">
      <c r="G34" s="64"/>
      <c r="H34" s="64"/>
      <c r="I34" s="64"/>
      <c r="J34" s="64"/>
      <c r="K34" s="64"/>
      <c r="L34" s="64"/>
      <c r="M34" s="64"/>
      <c r="N34" s="64"/>
      <c r="O34" s="53"/>
      <c r="P34" s="64"/>
      <c r="Q34" s="56">
        <f>1-Q31-Q28-Q25</f>
        <v>0.61785831659300938</v>
      </c>
      <c r="R34" s="56"/>
      <c r="T34" s="105"/>
      <c r="U34" s="133"/>
      <c r="V34" s="133"/>
      <c r="W34" s="133"/>
      <c r="X34" s="133"/>
      <c r="Y34" s="133"/>
      <c r="Z34" s="134"/>
      <c r="AA34" s="6"/>
    </row>
    <row r="35" spans="7:27" x14ac:dyDescent="0.3">
      <c r="G35" s="64"/>
      <c r="H35" s="64"/>
      <c r="I35" s="64"/>
      <c r="J35" s="64"/>
      <c r="K35" s="64"/>
      <c r="L35" s="64"/>
      <c r="M35" s="64"/>
      <c r="N35" s="64"/>
      <c r="O35" s="64"/>
      <c r="P35" s="64"/>
      <c r="Q35" s="57">
        <f>c_clinic_fu+c_CSG</f>
        <v>14403</v>
      </c>
      <c r="R35" s="57"/>
      <c r="S35" s="129"/>
      <c r="T35" s="105"/>
      <c r="U35" s="133"/>
      <c r="V35" s="133"/>
      <c r="W35" s="133"/>
      <c r="X35" s="133"/>
      <c r="Y35" s="133"/>
      <c r="Z35" s="134"/>
      <c r="AA35" s="6"/>
    </row>
    <row r="36" spans="7:27" x14ac:dyDescent="0.3">
      <c r="G36" s="64"/>
      <c r="H36" s="64"/>
      <c r="I36" s="64"/>
      <c r="J36" s="64"/>
      <c r="K36" s="64"/>
      <c r="L36" s="64"/>
      <c r="M36" s="64"/>
      <c r="N36" s="64"/>
      <c r="O36" s="64"/>
      <c r="P36" s="64"/>
      <c r="Q36" s="65"/>
      <c r="R36" s="65"/>
      <c r="S36" s="129"/>
      <c r="T36" s="105"/>
      <c r="U36" s="133"/>
      <c r="V36" s="133"/>
      <c r="W36" s="133"/>
      <c r="X36" s="133"/>
      <c r="Y36" s="133"/>
      <c r="Z36" s="134"/>
      <c r="AA36" s="6"/>
    </row>
    <row r="37" spans="7:27" x14ac:dyDescent="0.3">
      <c r="G37" s="64"/>
      <c r="H37" s="64"/>
      <c r="I37" s="64"/>
      <c r="J37" s="64"/>
      <c r="K37" s="64"/>
      <c r="L37" s="64"/>
      <c r="M37" s="64"/>
      <c r="N37" s="64"/>
      <c r="O37" s="64"/>
      <c r="P37" s="64"/>
      <c r="Q37" s="54" t="s">
        <v>368</v>
      </c>
      <c r="R37" s="54"/>
      <c r="S37" s="129"/>
      <c r="T37" s="105"/>
      <c r="U37" s="133">
        <f>$Q$38*$O$40*$M$42*$K$27*$I$16*$G$40*$E$78*$C$148*$A$103</f>
        <v>0</v>
      </c>
      <c r="V37" s="133">
        <v>0</v>
      </c>
      <c r="W37" s="134">
        <f>$K$28+$I$17+$G$41+$E$79+$C$149+$A$104+$M$43+$O$41+Q39</f>
        <v>259172.43861050811</v>
      </c>
      <c r="X37" s="133">
        <f>u_ChronicResp</f>
        <v>0.53465956747782661</v>
      </c>
      <c r="Y37" s="133"/>
      <c r="Z37" s="134">
        <f>U37*W37</f>
        <v>0</v>
      </c>
      <c r="AA37" s="6">
        <f>U37*X37</f>
        <v>0</v>
      </c>
    </row>
    <row r="38" spans="7:27" x14ac:dyDescent="0.3">
      <c r="G38" s="64"/>
      <c r="H38" s="64"/>
      <c r="I38" s="64"/>
      <c r="J38" s="64"/>
      <c r="K38" s="64"/>
      <c r="L38" s="64"/>
      <c r="M38" s="64"/>
      <c r="N38" s="64"/>
      <c r="O38" s="64"/>
      <c r="P38" s="64"/>
      <c r="Q38" s="56">
        <f>noRDS2CLD_1-(Hypo2CI_1*noRDS2CLD_1)</f>
        <v>0</v>
      </c>
      <c r="R38" s="56"/>
      <c r="S38" s="129"/>
      <c r="T38" s="105"/>
      <c r="U38" s="133"/>
      <c r="V38" s="133"/>
      <c r="W38" s="133"/>
      <c r="X38" s="133"/>
      <c r="Y38" s="133"/>
      <c r="Z38" s="134"/>
      <c r="AA38" s="6"/>
    </row>
    <row r="39" spans="7:27" x14ac:dyDescent="0.3">
      <c r="G39" s="54" t="s">
        <v>8</v>
      </c>
      <c r="H39" s="64"/>
      <c r="I39" s="64"/>
      <c r="J39" s="64"/>
      <c r="K39" s="64"/>
      <c r="L39" s="64"/>
      <c r="M39" s="64"/>
      <c r="N39" s="64"/>
      <c r="O39" s="54" t="s">
        <v>161</v>
      </c>
      <c r="P39" s="64"/>
      <c r="Q39" s="57">
        <f>c_lung+c_hosp_fu+c_CSG</f>
        <v>54529.510902399998</v>
      </c>
      <c r="R39" s="57"/>
      <c r="S39" s="129"/>
      <c r="T39" s="105"/>
      <c r="U39" s="133"/>
      <c r="V39" s="133"/>
      <c r="W39" s="133"/>
      <c r="X39" s="133"/>
      <c r="Y39" s="133"/>
      <c r="Z39" s="134"/>
      <c r="AA39" s="6"/>
    </row>
    <row r="40" spans="7:27" x14ac:dyDescent="0.3">
      <c r="G40" s="56">
        <f>Prem2LBW_1</f>
        <v>0.48376271186440678</v>
      </c>
      <c r="H40" s="64"/>
      <c r="I40" s="64"/>
      <c r="J40" s="64"/>
      <c r="K40" s="64"/>
      <c r="L40" s="64"/>
      <c r="M40" s="64"/>
      <c r="N40" s="64"/>
      <c r="O40" s="56">
        <f>SGA_prem_2hypoglycaemia_1</f>
        <v>0.2155</v>
      </c>
      <c r="P40" s="64"/>
      <c r="Q40" s="54" t="s">
        <v>226</v>
      </c>
      <c r="R40" s="54"/>
      <c r="S40" s="129"/>
      <c r="T40" s="105"/>
      <c r="U40" s="133">
        <f>$Q$41*$O$40*$M$42*$K$27*$I$16*$G$40*$E$78*$C$148*$A$103</f>
        <v>1.3013170431259486E-4</v>
      </c>
      <c r="V40" s="133">
        <v>2.4094541362011101E-4</v>
      </c>
      <c r="W40" s="134">
        <f>$K$28+$I$17+$G$41+$E$79+$C$149+$A$104+$M$43+$O$41+Q42</f>
        <v>220408.92770810809</v>
      </c>
      <c r="X40" s="133">
        <f>u_CongnitiveImpairement</f>
        <v>17.270393127285455</v>
      </c>
      <c r="Y40" s="133"/>
      <c r="Z40" s="134">
        <f>U40*W40</f>
        <v>28.68218940836762</v>
      </c>
      <c r="AA40" s="6">
        <f>U40*X40</f>
        <v>2.2474256918021815E-3</v>
      </c>
    </row>
    <row r="41" spans="7:27" x14ac:dyDescent="0.3">
      <c r="G41" s="57">
        <f>c_LBW</f>
        <v>198651.76559999998</v>
      </c>
      <c r="H41" s="64"/>
      <c r="I41" s="64"/>
      <c r="J41" s="64"/>
      <c r="K41" s="64"/>
      <c r="L41" s="64"/>
      <c r="M41" s="54" t="s">
        <v>203</v>
      </c>
      <c r="N41" s="64"/>
      <c r="O41" s="57">
        <f>c_hypo</f>
        <v>2936.2604000000001</v>
      </c>
      <c r="P41" s="64"/>
      <c r="Q41" s="56">
        <f>Hypo2CI_1-(Hypo2CI_1*noRDS2CLD_1)</f>
        <v>5.1333333333333335E-2</v>
      </c>
      <c r="R41" s="56"/>
      <c r="S41" s="129"/>
      <c r="T41" s="105"/>
      <c r="U41" s="133"/>
      <c r="V41" s="133"/>
      <c r="W41" s="133"/>
      <c r="X41" s="133"/>
      <c r="Y41" s="133"/>
      <c r="Z41" s="134"/>
      <c r="AA41" s="6"/>
    </row>
    <row r="42" spans="7:27" x14ac:dyDescent="0.3">
      <c r="G42" s="64"/>
      <c r="H42" s="64"/>
      <c r="I42" s="64"/>
      <c r="J42" s="64"/>
      <c r="K42" s="64"/>
      <c r="L42" s="64"/>
      <c r="M42" s="56">
        <f>S_prem_2noRDS_1</f>
        <v>0.55000000000000004</v>
      </c>
      <c r="N42" s="64"/>
      <c r="O42" s="53"/>
      <c r="P42" s="64"/>
      <c r="Q42" s="57">
        <f>c_cog+c_hosp_fu+c_CSG</f>
        <v>15766</v>
      </c>
      <c r="R42" s="57"/>
      <c r="S42" s="129"/>
      <c r="T42" s="105"/>
      <c r="U42" s="133"/>
      <c r="V42" s="133"/>
      <c r="W42" s="133"/>
      <c r="X42" s="133"/>
      <c r="Y42" s="133"/>
      <c r="Z42" s="134"/>
      <c r="AA42" s="6"/>
    </row>
    <row r="43" spans="7:27" x14ac:dyDescent="0.3">
      <c r="G43" s="64"/>
      <c r="H43" s="64"/>
      <c r="I43" s="64"/>
      <c r="J43" s="64"/>
      <c r="K43" s="64"/>
      <c r="L43" s="64"/>
      <c r="M43" s="57"/>
      <c r="N43" s="64"/>
      <c r="O43" s="65"/>
      <c r="P43" s="64"/>
      <c r="Q43" s="54" t="s">
        <v>369</v>
      </c>
      <c r="R43" s="54"/>
      <c r="S43" s="129"/>
      <c r="T43" s="105"/>
      <c r="U43" s="133">
        <f>$Q$44*$O$40*$M$42*$K$27*$I$16*$G$40*$E$78*$C$148*$A$103</f>
        <v>0</v>
      </c>
      <c r="V43" s="133">
        <v>0</v>
      </c>
      <c r="W43" s="134">
        <f>$K$28+$I$17+$G$41+$E$79+$C$149+$A$104+$M$43+$O$41+Q45</f>
        <v>262991.43861050811</v>
      </c>
      <c r="X43" s="133">
        <f>u_ChronicResp+u_CongnitiveImpairement</f>
        <v>17.805052694763283</v>
      </c>
      <c r="Y43" s="133"/>
      <c r="Z43" s="134">
        <f>U43*W43</f>
        <v>0</v>
      </c>
      <c r="AA43" s="6">
        <f>U43*X43</f>
        <v>0</v>
      </c>
    </row>
    <row r="44" spans="7:27" x14ac:dyDescent="0.3">
      <c r="G44" s="64"/>
      <c r="H44" s="64"/>
      <c r="I44" s="64"/>
      <c r="J44" s="64"/>
      <c r="K44" s="64"/>
      <c r="L44" s="64"/>
      <c r="M44" s="65"/>
      <c r="N44" s="64"/>
      <c r="P44" s="64"/>
      <c r="Q44" s="56">
        <f>noRDS2CLD_1*Hypo2CI_1</f>
        <v>0</v>
      </c>
      <c r="R44" s="56"/>
      <c r="S44" s="129"/>
      <c r="T44" s="105"/>
      <c r="U44" s="133"/>
      <c r="V44" s="133"/>
      <c r="W44" s="133"/>
      <c r="X44" s="133"/>
      <c r="Y44" s="133"/>
      <c r="Z44" s="134"/>
      <c r="AA44" s="6"/>
    </row>
    <row r="45" spans="7:27" x14ac:dyDescent="0.3">
      <c r="G45" s="64"/>
      <c r="H45" s="64"/>
      <c r="I45" s="64"/>
      <c r="J45" s="64"/>
      <c r="K45" s="64"/>
      <c r="L45" s="64"/>
      <c r="M45" s="65"/>
      <c r="N45" s="64"/>
      <c r="P45" s="64"/>
      <c r="Q45" s="57">
        <f>c_lung+c_cog+c_hosp_fu+c_CSG</f>
        <v>58348.510902399998</v>
      </c>
      <c r="R45" s="57"/>
      <c r="S45" s="129"/>
      <c r="T45" s="105"/>
      <c r="U45" s="133"/>
      <c r="V45" s="133"/>
      <c r="W45" s="133"/>
      <c r="X45" s="133"/>
      <c r="Y45" s="133"/>
      <c r="Z45" s="134"/>
      <c r="AA45" s="6"/>
    </row>
    <row r="46" spans="7:27" x14ac:dyDescent="0.3">
      <c r="G46" s="64"/>
      <c r="H46" s="64"/>
      <c r="I46" s="64"/>
      <c r="J46" s="64"/>
      <c r="K46" s="64"/>
      <c r="L46" s="64"/>
      <c r="M46" s="65"/>
      <c r="N46" s="64"/>
      <c r="P46" s="64"/>
      <c r="Q46" s="54" t="s">
        <v>370</v>
      </c>
      <c r="R46" s="54"/>
      <c r="S46" s="129"/>
      <c r="T46" s="105"/>
      <c r="U46" s="133">
        <f>$Q$47*$O$40*$M$42*$K$27*$I$16*$G$40*$E$78*$C$148*$A$103</f>
        <v>2.4049014965821106E-3</v>
      </c>
      <c r="V46" s="133">
        <v>4.4527964101482853E-3</v>
      </c>
      <c r="W46" s="134">
        <f>$K$28+$I$17+$G$41+$E$79+$C$149+$A$104+$M$43+$O$41+Q48</f>
        <v>219045.92770810809</v>
      </c>
      <c r="X46" s="133">
        <f>u_Healthy</f>
        <v>0</v>
      </c>
      <c r="Y46" s="133"/>
      <c r="Z46" s="134">
        <f>U46*W46</f>
        <v>526.78387936544596</v>
      </c>
      <c r="AA46" s="6">
        <f>U46*X46</f>
        <v>0</v>
      </c>
    </row>
    <row r="47" spans="7:27" x14ac:dyDescent="0.3">
      <c r="G47" s="64"/>
      <c r="H47" s="64"/>
      <c r="I47" s="64"/>
      <c r="J47" s="64"/>
      <c r="K47" s="64"/>
      <c r="L47" s="64"/>
      <c r="M47" s="65"/>
      <c r="N47" s="64"/>
      <c r="O47" s="65"/>
      <c r="P47" s="64"/>
      <c r="Q47" s="56">
        <f>1-Q44-Q41-Q38</f>
        <v>0.94866666666666666</v>
      </c>
      <c r="R47" s="56"/>
      <c r="T47" s="105"/>
      <c r="U47" s="133"/>
      <c r="V47" s="133"/>
      <c r="W47" s="133"/>
      <c r="X47" s="133"/>
      <c r="Y47" s="133"/>
      <c r="Z47" s="134"/>
      <c r="AA47" s="6"/>
    </row>
    <row r="48" spans="7:27" x14ac:dyDescent="0.3">
      <c r="G48" s="64"/>
      <c r="H48" s="64"/>
      <c r="I48" s="64"/>
      <c r="J48" s="64"/>
      <c r="K48" s="64"/>
      <c r="L48" s="64"/>
      <c r="M48" s="65"/>
      <c r="N48" s="64"/>
      <c r="O48" s="64"/>
      <c r="P48" s="64"/>
      <c r="Q48" s="57">
        <f>c_clinic_fu+c_CSG</f>
        <v>14403</v>
      </c>
      <c r="R48" s="57"/>
      <c r="S48" s="129"/>
      <c r="T48" s="105"/>
      <c r="U48" s="133"/>
      <c r="V48" s="133"/>
      <c r="W48" s="133"/>
      <c r="X48" s="133"/>
      <c r="Y48" s="133"/>
      <c r="Z48" s="134"/>
      <c r="AA48" s="6"/>
    </row>
    <row r="49" spans="7:94" x14ac:dyDescent="0.3">
      <c r="G49" s="64"/>
      <c r="H49" s="64"/>
      <c r="I49" s="64"/>
      <c r="J49" s="64"/>
      <c r="K49" s="64"/>
      <c r="L49" s="64"/>
      <c r="M49" s="65"/>
      <c r="N49" s="64"/>
      <c r="O49" s="64"/>
      <c r="P49" s="64"/>
      <c r="Q49" s="65"/>
      <c r="R49" s="65"/>
      <c r="S49" s="130"/>
      <c r="T49" s="105"/>
      <c r="U49" s="133"/>
      <c r="V49" s="133"/>
      <c r="W49" s="133"/>
      <c r="X49" s="133"/>
      <c r="Y49" s="133"/>
      <c r="Z49" s="134"/>
      <c r="AA49" s="6"/>
    </row>
    <row r="50" spans="7:94" x14ac:dyDescent="0.3">
      <c r="G50" s="64"/>
      <c r="H50" s="64"/>
      <c r="I50" s="64"/>
      <c r="J50" s="64"/>
      <c r="K50" s="64"/>
      <c r="L50" s="64"/>
      <c r="M50" s="65"/>
      <c r="N50" s="64"/>
      <c r="O50" s="64"/>
      <c r="P50" s="64"/>
      <c r="Q50" s="54" t="s">
        <v>368</v>
      </c>
      <c r="R50" s="54"/>
      <c r="S50" s="129"/>
      <c r="T50" s="105"/>
      <c r="U50" s="133">
        <f>$Q$51*$O$54*$M$42*$K$27*$I$16*$G$40*$E$78*$C$148*$A$103</f>
        <v>0</v>
      </c>
      <c r="V50" s="133">
        <v>0</v>
      </c>
      <c r="W50" s="134">
        <f>$K$28+$I$17+$G$41+$E$79+$C$149+$A$104+$M$43+$O$55+Q52</f>
        <v>258265.43861050811</v>
      </c>
      <c r="X50" s="133">
        <f>u_ChronicResp</f>
        <v>0.53465956747782661</v>
      </c>
      <c r="Y50" s="133"/>
      <c r="Z50" s="134">
        <f>U50*W50</f>
        <v>0</v>
      </c>
      <c r="AA50" s="6">
        <f>U50*X50</f>
        <v>0</v>
      </c>
    </row>
    <row r="51" spans="7:94" x14ac:dyDescent="0.3">
      <c r="G51" s="64"/>
      <c r="H51" s="64"/>
      <c r="I51" s="64"/>
      <c r="J51" s="64"/>
      <c r="K51" s="64"/>
      <c r="L51" s="64"/>
      <c r="M51" s="65"/>
      <c r="N51" s="64"/>
      <c r="O51" s="64"/>
      <c r="P51" s="64"/>
      <c r="Q51" s="56">
        <f>noRDS2CLD_1-(noRDS2CLD_1*noHypo2CI_1)</f>
        <v>0</v>
      </c>
      <c r="R51" s="56"/>
      <c r="S51" s="129"/>
      <c r="T51" s="105"/>
      <c r="U51" s="133"/>
      <c r="V51" s="133"/>
      <c r="W51" s="133"/>
      <c r="X51" s="133"/>
      <c r="Y51" s="133"/>
      <c r="Z51" s="134"/>
      <c r="AA51" s="6"/>
    </row>
    <row r="52" spans="7:94" x14ac:dyDescent="0.3">
      <c r="G52" s="64"/>
      <c r="H52" s="64"/>
      <c r="I52" s="64"/>
      <c r="J52" s="64"/>
      <c r="K52" s="64"/>
      <c r="L52" s="64"/>
      <c r="M52" s="65"/>
      <c r="N52" s="64"/>
      <c r="O52" s="64"/>
      <c r="P52" s="64"/>
      <c r="Q52" s="57">
        <f>c_lung+c_hypo+c_CSG</f>
        <v>56558.771302399997</v>
      </c>
      <c r="R52" s="57"/>
      <c r="S52" s="129"/>
      <c r="T52" s="105"/>
      <c r="U52" s="133"/>
      <c r="V52" s="133"/>
      <c r="W52" s="133"/>
      <c r="X52" s="133"/>
      <c r="Y52" s="133"/>
      <c r="Z52" s="134"/>
      <c r="AA52" s="6"/>
    </row>
    <row r="53" spans="7:94" x14ac:dyDescent="0.3">
      <c r="G53" s="64"/>
      <c r="H53" s="64"/>
      <c r="I53" s="64"/>
      <c r="J53" s="64"/>
      <c r="K53" s="64"/>
      <c r="L53" s="64"/>
      <c r="M53" s="65"/>
      <c r="N53" s="64"/>
      <c r="O53" s="54" t="s">
        <v>371</v>
      </c>
      <c r="P53" s="64"/>
      <c r="Q53" s="54" t="s">
        <v>226</v>
      </c>
      <c r="R53" s="54"/>
      <c r="S53" s="129"/>
      <c r="T53" s="105"/>
      <c r="U53" s="133">
        <f>$Q$54*$O$54*$M$42*$K$27*$I$16*$G$40*$E$78*$C$148*$A$103</f>
        <v>3.0532898353030115E-4</v>
      </c>
      <c r="V53" s="133">
        <v>5.653320120221941E-4</v>
      </c>
      <c r="W53" s="134">
        <f>$K$28+$I$17+$G$41+$E$79+$C$149+$A$104+$M$43+$O$55+Q55</f>
        <v>217472.6673081081</v>
      </c>
      <c r="X53" s="133">
        <f>u_CongnitiveImpairement</f>
        <v>17.270393127285455</v>
      </c>
      <c r="Y53" s="133"/>
      <c r="Z53" s="134">
        <f>U53*W53</f>
        <v>66.400708454807997</v>
      </c>
      <c r="AA53" s="6">
        <f>U53*X53</f>
        <v>5.273151578722767E-3</v>
      </c>
    </row>
    <row r="54" spans="7:94" x14ac:dyDescent="0.3">
      <c r="G54" s="64"/>
      <c r="H54" s="64"/>
      <c r="I54" s="64"/>
      <c r="J54" s="64"/>
      <c r="K54" s="64"/>
      <c r="L54" s="64"/>
      <c r="M54" s="65"/>
      <c r="N54" s="64"/>
      <c r="O54" s="56">
        <f>SGA_prem_2normoglycaemia_1</f>
        <v>0.78449999999999998</v>
      </c>
      <c r="P54" s="64"/>
      <c r="Q54" s="56">
        <f>noHypo2CI_1</f>
        <v>3.3085576536761752E-2</v>
      </c>
      <c r="R54" s="56"/>
      <c r="S54" s="129"/>
      <c r="T54" s="105"/>
      <c r="U54" s="133"/>
      <c r="V54" s="133"/>
      <c r="W54" s="133"/>
      <c r="X54" s="133"/>
      <c r="Y54" s="133"/>
      <c r="Z54" s="134"/>
      <c r="AA54" s="6"/>
    </row>
    <row r="55" spans="7:94" x14ac:dyDescent="0.3">
      <c r="G55" s="64"/>
      <c r="H55" s="64"/>
      <c r="I55" s="64"/>
      <c r="J55" s="64"/>
      <c r="K55" s="64"/>
      <c r="L55" s="64"/>
      <c r="M55" s="65"/>
      <c r="N55" s="64"/>
      <c r="O55" s="57"/>
      <c r="P55" s="64"/>
      <c r="Q55" s="57">
        <f>c_cog+c_hosp_fu+c_CSG</f>
        <v>15766</v>
      </c>
      <c r="R55" s="57"/>
      <c r="S55" s="129"/>
      <c r="T55" s="105"/>
      <c r="U55" s="133"/>
      <c r="V55" s="133"/>
      <c r="W55" s="133"/>
      <c r="X55" s="133"/>
      <c r="Y55" s="133"/>
      <c r="Z55" s="134"/>
      <c r="AA55" s="6"/>
    </row>
    <row r="56" spans="7:94" x14ac:dyDescent="0.3">
      <c r="G56" s="64"/>
      <c r="H56" s="64"/>
      <c r="I56" s="64"/>
      <c r="J56" s="64"/>
      <c r="K56" s="64"/>
      <c r="L56" s="64"/>
      <c r="M56" s="65"/>
      <c r="N56" s="64"/>
      <c r="O56" s="64"/>
      <c r="P56" s="64"/>
      <c r="Q56" s="54" t="s">
        <v>369</v>
      </c>
      <c r="R56" s="54"/>
      <c r="S56" s="129"/>
      <c r="T56" s="105"/>
      <c r="U56" s="133">
        <f>$Q$57*$O$54*$M$42*$K$27*$I$16*$G$40*$E$78*$C$148*$A$103</f>
        <v>0</v>
      </c>
      <c r="V56" s="133">
        <v>0</v>
      </c>
      <c r="W56" s="134">
        <f>$K$28+$I$17+$G$41+$E$79+$C$149+$A$104+$M$43+$O$55+Q58</f>
        <v>260055.17821050808</v>
      </c>
      <c r="X56" s="133">
        <f>u_ChronicResp+u_CongnitiveImpairement</f>
        <v>17.805052694763283</v>
      </c>
      <c r="Y56" s="133"/>
      <c r="Z56" s="134">
        <f>U56*W56</f>
        <v>0</v>
      </c>
      <c r="AA56" s="6">
        <f>U56*X56</f>
        <v>0</v>
      </c>
    </row>
    <row r="57" spans="7:94" x14ac:dyDescent="0.3">
      <c r="G57" s="64"/>
      <c r="H57" s="64"/>
      <c r="I57" s="64"/>
      <c r="J57" s="64"/>
      <c r="K57" s="64"/>
      <c r="L57" s="64"/>
      <c r="M57" s="65"/>
      <c r="N57" s="64"/>
      <c r="O57" s="64"/>
      <c r="P57" s="64"/>
      <c r="Q57" s="56">
        <f>noRDS2CLD_1*noHypo2CI_1</f>
        <v>0</v>
      </c>
      <c r="R57" s="56"/>
      <c r="S57" s="129"/>
      <c r="T57" s="105"/>
      <c r="U57" s="133"/>
      <c r="V57" s="133"/>
      <c r="W57" s="133"/>
      <c r="X57" s="133"/>
      <c r="Y57" s="133"/>
      <c r="Z57" s="134"/>
      <c r="AA57" s="6"/>
    </row>
    <row r="58" spans="7:94" x14ac:dyDescent="0.3">
      <c r="G58" s="64"/>
      <c r="H58" s="64"/>
      <c r="I58" s="64"/>
      <c r="J58" s="64"/>
      <c r="K58" s="64"/>
      <c r="L58" s="64"/>
      <c r="M58" s="65"/>
      <c r="N58" s="64"/>
      <c r="O58" s="64"/>
      <c r="P58" s="64"/>
      <c r="Q58" s="57">
        <f>c_cog+c_lung+c_hosp_fu+c_CSG</f>
        <v>58348.510902399998</v>
      </c>
      <c r="R58" s="57"/>
      <c r="S58" s="129"/>
      <c r="T58" s="105"/>
      <c r="U58" s="133"/>
      <c r="V58" s="133"/>
      <c r="W58" s="133"/>
      <c r="X58" s="133"/>
      <c r="Y58" s="133"/>
      <c r="Z58" s="134"/>
      <c r="AA58" s="6"/>
    </row>
    <row r="59" spans="7:94" x14ac:dyDescent="0.3">
      <c r="G59" s="64"/>
      <c r="H59" s="64"/>
      <c r="I59" s="64"/>
      <c r="J59" s="64"/>
      <c r="K59" s="64"/>
      <c r="L59" s="64"/>
      <c r="M59" s="65"/>
      <c r="N59" s="64"/>
      <c r="O59" s="64"/>
      <c r="P59" s="64"/>
      <c r="Q59" s="54" t="s">
        <v>370</v>
      </c>
      <c r="R59" s="54"/>
      <c r="S59" s="129"/>
      <c r="T59" s="105"/>
      <c r="U59" s="133">
        <f>$Q$60*$O$54*$M$42*$K$27*$I$16*$G$40*$E$78*$C$148*$A$103</f>
        <v>8.9231329473369661E-3</v>
      </c>
      <c r="V59" s="133">
        <v>1.6521630682856264E-2</v>
      </c>
      <c r="W59" s="134">
        <f>$K$28+$I$17+$G$41+$E$79+$C$149+$A$104+$M$43+$O$55+Q61</f>
        <v>216109.6673081081</v>
      </c>
      <c r="X59" s="133">
        <f>u_Healthy</f>
        <v>0</v>
      </c>
      <c r="Y59" s="133"/>
      <c r="Z59" s="134">
        <f>U59*W59</f>
        <v>1928.3752925950098</v>
      </c>
      <c r="AA59" s="6">
        <f>U59*X59</f>
        <v>0</v>
      </c>
    </row>
    <row r="60" spans="7:94" x14ac:dyDescent="0.3">
      <c r="G60" s="64"/>
      <c r="H60" s="64"/>
      <c r="I60" s="64"/>
      <c r="J60" s="64"/>
      <c r="K60" s="64"/>
      <c r="L60" s="64"/>
      <c r="M60" s="65"/>
      <c r="N60" s="64"/>
      <c r="O60" s="64"/>
      <c r="P60" s="64"/>
      <c r="Q60" s="56">
        <f>1-Q57-Q54-Q51</f>
        <v>0.9669144234632383</v>
      </c>
      <c r="R60" s="56"/>
      <c r="T60" s="105"/>
      <c r="U60" s="133"/>
      <c r="V60" s="133"/>
      <c r="W60" s="133"/>
      <c r="X60" s="133"/>
      <c r="Y60" s="133"/>
      <c r="Z60" s="134"/>
      <c r="AA60" s="6"/>
    </row>
    <row r="61" spans="7:94" x14ac:dyDescent="0.3">
      <c r="G61" s="64"/>
      <c r="H61" s="64"/>
      <c r="I61" s="64"/>
      <c r="J61" s="64"/>
      <c r="K61" s="64"/>
      <c r="L61" s="64"/>
      <c r="M61" s="65"/>
      <c r="N61" s="64"/>
      <c r="O61" s="64"/>
      <c r="P61" s="64"/>
      <c r="Q61" s="57">
        <f>c_clinic_fu+c_CSG</f>
        <v>14403</v>
      </c>
      <c r="R61" s="57"/>
      <c r="S61" s="129"/>
      <c r="T61" s="105"/>
      <c r="U61" s="133"/>
      <c r="V61" s="133"/>
      <c r="W61" s="133"/>
      <c r="X61" s="133"/>
      <c r="Y61" s="133"/>
      <c r="Z61" s="134"/>
      <c r="AA61" s="6"/>
    </row>
    <row r="62" spans="7:94" x14ac:dyDescent="0.3">
      <c r="G62" s="64"/>
      <c r="H62" s="64"/>
      <c r="I62" s="64"/>
      <c r="J62" s="64"/>
      <c r="K62" s="64"/>
      <c r="L62" s="64"/>
      <c r="M62" s="65"/>
      <c r="N62" s="64"/>
      <c r="O62" s="64"/>
      <c r="P62" s="64"/>
      <c r="Q62" s="65"/>
      <c r="R62" s="65"/>
      <c r="S62" s="129"/>
      <c r="T62" s="105"/>
      <c r="U62" s="133"/>
      <c r="V62" s="133"/>
      <c r="W62" s="133"/>
      <c r="X62" s="133"/>
      <c r="Y62" s="133"/>
      <c r="Z62" s="134"/>
      <c r="AA62" s="6"/>
    </row>
    <row r="63" spans="7:94" x14ac:dyDescent="0.3">
      <c r="G63" s="64"/>
      <c r="H63" s="64"/>
      <c r="I63" s="64"/>
      <c r="J63" s="64"/>
      <c r="K63" s="54" t="s">
        <v>165</v>
      </c>
      <c r="L63" s="54"/>
      <c r="M63" s="54"/>
      <c r="N63" s="54"/>
      <c r="O63" s="54"/>
      <c r="P63" s="54"/>
      <c r="Q63" s="54"/>
      <c r="R63" s="54"/>
      <c r="S63" s="129"/>
      <c r="T63" s="105"/>
      <c r="U63" s="133">
        <f>$K$64*$I$72*$G$40*$E$78*$C$148*$A$103</f>
        <v>1.087003429527204E-3</v>
      </c>
      <c r="V63" s="133">
        <v>1.9037211390745008E-3</v>
      </c>
      <c r="W63" s="134">
        <f>$K$65+$I$73+$G$41+$E$79+$C$149+$A$104</f>
        <v>203498.6673081081</v>
      </c>
      <c r="X63" s="133">
        <f>u_Death</f>
        <v>19.181538114427529</v>
      </c>
      <c r="Y63" s="133"/>
      <c r="Z63" s="134">
        <f>U63*W63</f>
        <v>221.203749268129</v>
      </c>
      <c r="AA63" s="6">
        <f>U63*X63</f>
        <v>2.0850397713989499E-2</v>
      </c>
      <c r="AM63" t="s">
        <v>165</v>
      </c>
      <c r="AV63">
        <v>1.9037211390745008E-3</v>
      </c>
      <c r="AW63">
        <v>1.9037211390745008E-3</v>
      </c>
      <c r="AX63">
        <v>0</v>
      </c>
      <c r="AY63">
        <v>761763.34</v>
      </c>
      <c r="AZ63">
        <v>19.181538114427529</v>
      </c>
      <c r="BB63">
        <v>3.6516299588398929E-2</v>
      </c>
      <c r="BE63">
        <f t="shared" ref="BE63:BE83" si="0">IF(AG63=E63,0,1)</f>
        <v>0</v>
      </c>
      <c r="BF63" s="41">
        <f t="shared" ref="BF63:BF83" si="1">IF(AH63=F63,0,1)</f>
        <v>0</v>
      </c>
      <c r="BG63" s="41">
        <f t="shared" ref="BG63:BG83" si="2">IF(AI63=G63,0,1)</f>
        <v>0</v>
      </c>
      <c r="BH63" s="41">
        <f t="shared" ref="BH63:BH83" si="3">IF(AJ63=H63,0,1)</f>
        <v>0</v>
      </c>
      <c r="BI63" s="41">
        <f t="shared" ref="BI63:BI83" si="4">IF(AK63=I63,0,1)</f>
        <v>0</v>
      </c>
      <c r="BJ63" s="41">
        <f t="shared" ref="BJ63:BJ83" si="5">IF(AL63=J63,0,1)</f>
        <v>0</v>
      </c>
      <c r="BK63" s="41">
        <f t="shared" ref="BK63:BK83" si="6">IF(AM63=K63,0,1)</f>
        <v>0</v>
      </c>
      <c r="BL63" s="41">
        <f t="shared" ref="BL63:BL83" si="7">IF(AN63=L63,0,1)</f>
        <v>0</v>
      </c>
      <c r="BM63" s="41">
        <f t="shared" ref="BM63:BM83" si="8">IF(AO63=M63,0,1)</f>
        <v>0</v>
      </c>
      <c r="BN63" s="41">
        <f t="shared" ref="BN63:BN83" si="9">IF(AP63=N63,0,1)</f>
        <v>0</v>
      </c>
      <c r="BO63" s="41">
        <f t="shared" ref="BO63:BO83" si="10">IF(AQ63=O63,0,1)</f>
        <v>0</v>
      </c>
      <c r="BP63" s="41">
        <f t="shared" ref="BP63:BP83" si="11">IF(AR63=P63,0,1)</f>
        <v>0</v>
      </c>
      <c r="BQ63" s="41">
        <f t="shared" ref="BQ63:BQ83" si="12">IF(AS63=Q63,0,1)</f>
        <v>0</v>
      </c>
      <c r="BR63" s="41">
        <f t="shared" ref="BR63:BR83" si="13">IF(AT63=S63,0,1)</f>
        <v>0</v>
      </c>
      <c r="BS63" s="41">
        <f t="shared" ref="BS63:BS83" si="14">IF(AU63=T63,0,1)</f>
        <v>0</v>
      </c>
      <c r="BT63" s="41">
        <f t="shared" ref="BT63:BT83" si="15">IF(AV63=U63,0,1)</f>
        <v>1</v>
      </c>
      <c r="BU63" s="41"/>
      <c r="BV63" s="41"/>
      <c r="BW63" s="41"/>
      <c r="BX63" s="41"/>
      <c r="BY63" s="41"/>
      <c r="BZ63" s="41"/>
      <c r="CA63" s="41"/>
      <c r="CB63" s="41"/>
      <c r="CC63" s="41"/>
      <c r="CD63" s="41"/>
      <c r="CE63" s="41"/>
      <c r="CF63" s="41"/>
      <c r="CG63" s="41"/>
      <c r="CH63" s="41"/>
      <c r="CI63" s="41"/>
      <c r="CJ63" s="41"/>
      <c r="CK63" s="41"/>
      <c r="CL63" s="41"/>
      <c r="CM63" s="41"/>
      <c r="CN63" s="41"/>
      <c r="CO63" s="41"/>
      <c r="CP63" s="41"/>
    </row>
    <row r="64" spans="7:94" x14ac:dyDescent="0.3">
      <c r="G64" s="64"/>
      <c r="H64" s="64"/>
      <c r="I64" s="64"/>
      <c r="J64" s="64"/>
      <c r="K64" s="56">
        <f>AGA_prem_2d_1</f>
        <v>3.130575E-2</v>
      </c>
      <c r="L64" s="64"/>
      <c r="M64" s="64"/>
      <c r="N64" s="64"/>
      <c r="O64" s="64"/>
      <c r="P64" s="64"/>
      <c r="Q64" s="64"/>
      <c r="R64" s="64"/>
      <c r="S64" s="129"/>
      <c r="T64" s="105"/>
      <c r="U64" s="133"/>
      <c r="V64" s="133"/>
      <c r="W64" s="133"/>
      <c r="X64" s="133"/>
      <c r="Y64" s="133"/>
      <c r="Z64" s="134"/>
      <c r="AA64" s="6"/>
      <c r="AM64">
        <v>3.5174999999999998E-2</v>
      </c>
      <c r="AX64">
        <v>0</v>
      </c>
      <c r="BB64">
        <v>0</v>
      </c>
      <c r="BE64" s="41">
        <f t="shared" si="0"/>
        <v>0</v>
      </c>
      <c r="BF64" s="41">
        <f t="shared" si="1"/>
        <v>0</v>
      </c>
      <c r="BG64" s="41">
        <f t="shared" si="2"/>
        <v>0</v>
      </c>
      <c r="BH64" s="41">
        <f t="shared" si="3"/>
        <v>0</v>
      </c>
      <c r="BI64" s="41">
        <f t="shared" si="4"/>
        <v>0</v>
      </c>
      <c r="BJ64" s="41">
        <f t="shared" si="5"/>
        <v>0</v>
      </c>
      <c r="BK64" s="41">
        <f t="shared" si="6"/>
        <v>1</v>
      </c>
      <c r="BL64" s="41">
        <f t="shared" si="7"/>
        <v>0</v>
      </c>
      <c r="BM64" s="41">
        <f t="shared" si="8"/>
        <v>0</v>
      </c>
      <c r="BN64" s="41">
        <f t="shared" si="9"/>
        <v>0</v>
      </c>
      <c r="BO64" s="41">
        <f t="shared" si="10"/>
        <v>0</v>
      </c>
      <c r="BP64" s="41">
        <f t="shared" si="11"/>
        <v>0</v>
      </c>
      <c r="BQ64" s="41">
        <f t="shared" si="12"/>
        <v>0</v>
      </c>
      <c r="BR64" s="41">
        <f t="shared" si="13"/>
        <v>0</v>
      </c>
      <c r="BS64" s="41">
        <f t="shared" si="14"/>
        <v>0</v>
      </c>
      <c r="BT64" s="41">
        <f t="shared" si="15"/>
        <v>0</v>
      </c>
      <c r="BU64" s="41"/>
      <c r="BV64" s="41"/>
      <c r="BW64" s="41"/>
      <c r="BX64" s="41"/>
      <c r="BY64" s="41"/>
      <c r="BZ64" s="41"/>
      <c r="CA64" s="41"/>
      <c r="CB64" s="41"/>
      <c r="CC64" s="41"/>
      <c r="CD64" s="41"/>
      <c r="CE64" s="41"/>
      <c r="CF64" s="41"/>
      <c r="CG64" s="41"/>
      <c r="CH64" s="41"/>
      <c r="CI64" s="41"/>
      <c r="CJ64" s="41"/>
      <c r="CK64" s="41"/>
      <c r="CL64" s="41"/>
      <c r="CM64" s="41"/>
      <c r="CN64" s="41"/>
      <c r="CO64" s="41"/>
      <c r="CP64" s="41"/>
    </row>
    <row r="65" spans="5:94" x14ac:dyDescent="0.3">
      <c r="G65" s="64"/>
      <c r="H65" s="64"/>
      <c r="I65" s="64"/>
      <c r="J65" s="64"/>
      <c r="K65" s="57">
        <f>c_SB</f>
        <v>1792</v>
      </c>
      <c r="L65" s="64"/>
      <c r="M65" s="64"/>
      <c r="N65" s="64"/>
      <c r="O65" s="64"/>
      <c r="P65" s="64"/>
      <c r="Q65" s="64"/>
      <c r="R65" s="64"/>
      <c r="S65" s="129"/>
      <c r="T65" s="105"/>
      <c r="U65" s="133"/>
      <c r="V65" s="133"/>
      <c r="W65" s="133"/>
      <c r="X65" s="133"/>
      <c r="Y65" s="133"/>
      <c r="Z65" s="134"/>
      <c r="AA65" s="6"/>
      <c r="AM65">
        <v>1720</v>
      </c>
      <c r="AX65">
        <v>0</v>
      </c>
      <c r="BB65">
        <v>0</v>
      </c>
      <c r="BE65" s="41">
        <f t="shared" si="0"/>
        <v>0</v>
      </c>
      <c r="BF65" s="41">
        <f t="shared" si="1"/>
        <v>0</v>
      </c>
      <c r="BG65" s="41">
        <f t="shared" si="2"/>
        <v>0</v>
      </c>
      <c r="BH65" s="41">
        <f t="shared" si="3"/>
        <v>0</v>
      </c>
      <c r="BI65" s="41">
        <f t="shared" si="4"/>
        <v>0</v>
      </c>
      <c r="BJ65" s="41">
        <f t="shared" si="5"/>
        <v>0</v>
      </c>
      <c r="BK65" s="41">
        <f t="shared" si="6"/>
        <v>1</v>
      </c>
      <c r="BL65" s="41">
        <f t="shared" si="7"/>
        <v>0</v>
      </c>
      <c r="BM65" s="41">
        <f t="shared" si="8"/>
        <v>0</v>
      </c>
      <c r="BN65" s="41">
        <f t="shared" si="9"/>
        <v>0</v>
      </c>
      <c r="BO65" s="41">
        <f t="shared" si="10"/>
        <v>0</v>
      </c>
      <c r="BP65" s="41">
        <f t="shared" si="11"/>
        <v>0</v>
      </c>
      <c r="BQ65" s="41">
        <f t="shared" si="12"/>
        <v>0</v>
      </c>
      <c r="BR65" s="41">
        <f t="shared" si="13"/>
        <v>0</v>
      </c>
      <c r="BS65" s="41">
        <f t="shared" si="14"/>
        <v>0</v>
      </c>
      <c r="BT65" s="41">
        <f t="shared" si="15"/>
        <v>0</v>
      </c>
      <c r="BU65" s="41"/>
      <c r="BV65" s="41"/>
      <c r="BW65" s="41"/>
      <c r="BX65" s="41"/>
      <c r="BY65" s="41"/>
      <c r="BZ65" s="41"/>
      <c r="CA65" s="41"/>
      <c r="CB65" s="41"/>
      <c r="CC65" s="41"/>
      <c r="CD65" s="41"/>
      <c r="CE65" s="41"/>
      <c r="CF65" s="41"/>
      <c r="CG65" s="41"/>
      <c r="CH65" s="41"/>
      <c r="CI65" s="41"/>
      <c r="CJ65" s="41"/>
      <c r="CK65" s="41"/>
      <c r="CL65" s="41"/>
      <c r="CM65" s="41"/>
      <c r="CN65" s="41"/>
      <c r="CO65" s="41"/>
      <c r="CP65" s="41"/>
    </row>
    <row r="66" spans="5:94" x14ac:dyDescent="0.3">
      <c r="G66" s="64"/>
      <c r="H66" s="64"/>
      <c r="I66" s="64"/>
      <c r="J66" s="64"/>
      <c r="K66" s="53"/>
      <c r="L66" s="53"/>
      <c r="M66" s="53"/>
      <c r="N66" s="53"/>
      <c r="O66" s="53"/>
      <c r="P66" s="53"/>
      <c r="Q66" s="53"/>
      <c r="R66" s="53"/>
      <c r="S66" s="129"/>
      <c r="T66" s="105"/>
      <c r="U66" s="133"/>
      <c r="V66" s="133"/>
      <c r="W66" s="133"/>
      <c r="X66" s="133"/>
      <c r="Y66" s="133"/>
      <c r="Z66" s="134"/>
      <c r="AA66" s="6"/>
      <c r="AX66">
        <v>0</v>
      </c>
      <c r="BB66">
        <v>0</v>
      </c>
      <c r="BE66" s="41">
        <f t="shared" si="0"/>
        <v>0</v>
      </c>
      <c r="BF66" s="41">
        <f t="shared" si="1"/>
        <v>0</v>
      </c>
      <c r="BG66" s="41">
        <f t="shared" si="2"/>
        <v>0</v>
      </c>
      <c r="BH66" s="41">
        <f t="shared" si="3"/>
        <v>0</v>
      </c>
      <c r="BI66" s="41">
        <f t="shared" si="4"/>
        <v>0</v>
      </c>
      <c r="BJ66" s="41">
        <f t="shared" si="5"/>
        <v>0</v>
      </c>
      <c r="BK66" s="41">
        <f t="shared" si="6"/>
        <v>0</v>
      </c>
      <c r="BL66" s="41">
        <f t="shared" si="7"/>
        <v>0</v>
      </c>
      <c r="BM66" s="41">
        <f t="shared" si="8"/>
        <v>0</v>
      </c>
      <c r="BN66" s="41">
        <f t="shared" si="9"/>
        <v>0</v>
      </c>
      <c r="BO66" s="41">
        <f t="shared" si="10"/>
        <v>0</v>
      </c>
      <c r="BP66" s="41">
        <f t="shared" si="11"/>
        <v>0</v>
      </c>
      <c r="BQ66" s="41">
        <f t="shared" si="12"/>
        <v>0</v>
      </c>
      <c r="BR66" s="41">
        <f t="shared" si="13"/>
        <v>0</v>
      </c>
      <c r="BS66" s="41">
        <f t="shared" si="14"/>
        <v>0</v>
      </c>
      <c r="BT66" s="41">
        <f t="shared" si="15"/>
        <v>0</v>
      </c>
      <c r="BU66" s="41"/>
      <c r="BV66" s="41"/>
      <c r="BW66" s="41"/>
      <c r="BX66" s="41"/>
      <c r="BY66" s="41"/>
      <c r="BZ66" s="41"/>
      <c r="CA66" s="41"/>
      <c r="CB66" s="41"/>
      <c r="CC66" s="41"/>
      <c r="CD66" s="41"/>
      <c r="CE66" s="41"/>
      <c r="CF66" s="41"/>
      <c r="CG66" s="41"/>
      <c r="CH66" s="41"/>
      <c r="CI66" s="41"/>
      <c r="CJ66" s="41"/>
      <c r="CK66" s="41"/>
      <c r="CL66" s="41"/>
      <c r="CM66" s="41"/>
      <c r="CN66" s="41"/>
      <c r="CO66" s="41"/>
      <c r="CP66" s="41"/>
    </row>
    <row r="67" spans="5:94" x14ac:dyDescent="0.3">
      <c r="G67" s="53"/>
      <c r="H67" s="53"/>
      <c r="I67" s="64"/>
      <c r="J67" s="64"/>
      <c r="K67" s="53"/>
      <c r="L67" s="53"/>
      <c r="M67" s="53"/>
      <c r="N67" s="53"/>
      <c r="O67" s="53"/>
      <c r="P67" s="53"/>
      <c r="Q67" s="54" t="s">
        <v>368</v>
      </c>
      <c r="R67" s="54"/>
      <c r="S67" s="129"/>
      <c r="T67" s="105"/>
      <c r="U67" s="133">
        <f>$K$83*$I$72*$G$40*$E$78*$C$148*$A$103*$M$78*$O$73*Q68</f>
        <v>7.7753176247876516E-4</v>
      </c>
      <c r="V67" s="133">
        <v>1.2070976103514609E-3</v>
      </c>
      <c r="W67" s="134">
        <f>$K$84+$I$73+$G$41+$E$79+$C$149+$A$104+$M$79+$O$74+Q69</f>
        <v>289768.0487587137</v>
      </c>
      <c r="X67" s="133">
        <f>u_ChronicResp</f>
        <v>0.53465956747782661</v>
      </c>
      <c r="Y67" s="133"/>
      <c r="Z67" s="134">
        <f>U67*W67</f>
        <v>225.30386166139542</v>
      </c>
      <c r="AA67" s="6">
        <f>U67*X67</f>
        <v>4.1571479582716878E-4</v>
      </c>
      <c r="AS67" t="s">
        <v>368</v>
      </c>
      <c r="AV67">
        <v>1.2070976103514609E-3</v>
      </c>
      <c r="AW67">
        <v>1.2070976103514609E-3</v>
      </c>
      <c r="AX67">
        <v>0</v>
      </c>
      <c r="AY67">
        <v>828718.6399999999</v>
      </c>
      <c r="AZ67">
        <v>0.53465956747782661</v>
      </c>
      <c r="BB67">
        <v>6.453862862540301E-4</v>
      </c>
      <c r="BE67" s="41">
        <f t="shared" si="0"/>
        <v>0</v>
      </c>
      <c r="BF67" s="41">
        <f t="shared" si="1"/>
        <v>0</v>
      </c>
      <c r="BG67" s="41">
        <f t="shared" si="2"/>
        <v>0</v>
      </c>
      <c r="BH67" s="41">
        <f t="shared" si="3"/>
        <v>0</v>
      </c>
      <c r="BI67" s="41">
        <f t="shared" si="4"/>
        <v>0</v>
      </c>
      <c r="BJ67" s="41">
        <f t="shared" si="5"/>
        <v>0</v>
      </c>
      <c r="BK67" s="41">
        <f t="shared" si="6"/>
        <v>0</v>
      </c>
      <c r="BL67" s="41">
        <f t="shared" si="7"/>
        <v>0</v>
      </c>
      <c r="BM67" s="41">
        <f t="shared" si="8"/>
        <v>0</v>
      </c>
      <c r="BN67" s="41">
        <f t="shared" si="9"/>
        <v>0</v>
      </c>
      <c r="BO67" s="41">
        <f t="shared" si="10"/>
        <v>0</v>
      </c>
      <c r="BP67" s="41">
        <f t="shared" si="11"/>
        <v>0</v>
      </c>
      <c r="BQ67" s="41">
        <f t="shared" si="12"/>
        <v>0</v>
      </c>
      <c r="BR67" s="41">
        <f t="shared" si="13"/>
        <v>0</v>
      </c>
      <c r="BS67" s="41">
        <f t="shared" si="14"/>
        <v>0</v>
      </c>
      <c r="BT67" s="41">
        <f t="shared" si="15"/>
        <v>1</v>
      </c>
      <c r="BU67" s="41"/>
      <c r="BV67" s="41"/>
      <c r="BW67" s="41"/>
      <c r="BX67" s="41"/>
      <c r="BY67" s="41"/>
      <c r="BZ67" s="41"/>
      <c r="CA67" s="41"/>
      <c r="CB67" s="41"/>
      <c r="CC67" s="41"/>
      <c r="CD67" s="41"/>
      <c r="CE67" s="41"/>
      <c r="CF67" s="41"/>
      <c r="CG67" s="41"/>
      <c r="CH67" s="41"/>
      <c r="CI67" s="41"/>
      <c r="CJ67" s="41"/>
      <c r="CK67" s="41"/>
      <c r="CL67" s="41"/>
      <c r="CM67" s="41"/>
      <c r="CN67" s="41"/>
      <c r="CO67" s="41"/>
      <c r="CP67" s="41"/>
    </row>
    <row r="68" spans="5:94" x14ac:dyDescent="0.3">
      <c r="G68" s="53"/>
      <c r="H68" s="53"/>
      <c r="I68" s="64"/>
      <c r="J68" s="64"/>
      <c r="K68" s="53"/>
      <c r="L68" s="53"/>
      <c r="M68" s="53"/>
      <c r="N68" s="53"/>
      <c r="O68" s="64"/>
      <c r="P68" s="64"/>
      <c r="Q68" s="56">
        <f>RDS2CLD_1-(Hypo2CI_1*RDS2CLD_1)</f>
        <v>0.34246866666666664</v>
      </c>
      <c r="R68" s="56"/>
      <c r="S68" s="129"/>
      <c r="T68" s="105"/>
      <c r="U68" s="133"/>
      <c r="V68" s="133"/>
      <c r="W68" s="133"/>
      <c r="X68" s="133"/>
      <c r="Y68" s="133"/>
      <c r="Z68" s="134"/>
      <c r="AA68" s="6"/>
      <c r="AS68">
        <v>0.34246866666666664</v>
      </c>
      <c r="AX68">
        <v>0</v>
      </c>
      <c r="BB68">
        <v>0</v>
      </c>
      <c r="BE68" s="41">
        <f t="shared" si="0"/>
        <v>0</v>
      </c>
      <c r="BF68" s="41">
        <f t="shared" si="1"/>
        <v>0</v>
      </c>
      <c r="BG68" s="41">
        <f t="shared" si="2"/>
        <v>0</v>
      </c>
      <c r="BH68" s="41">
        <f t="shared" si="3"/>
        <v>0</v>
      </c>
      <c r="BI68" s="41">
        <f t="shared" si="4"/>
        <v>0</v>
      </c>
      <c r="BJ68" s="41">
        <f t="shared" si="5"/>
        <v>0</v>
      </c>
      <c r="BK68" s="41">
        <f t="shared" si="6"/>
        <v>0</v>
      </c>
      <c r="BL68" s="41">
        <f t="shared" si="7"/>
        <v>0</v>
      </c>
      <c r="BM68" s="41">
        <f t="shared" si="8"/>
        <v>0</v>
      </c>
      <c r="BN68" s="41">
        <f t="shared" si="9"/>
        <v>0</v>
      </c>
      <c r="BO68" s="41">
        <f t="shared" si="10"/>
        <v>0</v>
      </c>
      <c r="BP68" s="41">
        <f t="shared" si="11"/>
        <v>0</v>
      </c>
      <c r="BQ68" s="41">
        <f t="shared" si="12"/>
        <v>0</v>
      </c>
      <c r="BR68" s="41">
        <f t="shared" si="13"/>
        <v>0</v>
      </c>
      <c r="BS68" s="41">
        <f t="shared" si="14"/>
        <v>0</v>
      </c>
      <c r="BT68" s="41">
        <f t="shared" si="15"/>
        <v>0</v>
      </c>
      <c r="BU68" s="41"/>
      <c r="BV68" s="41"/>
      <c r="BW68" s="41"/>
      <c r="BX68" s="41"/>
      <c r="BY68" s="41"/>
      <c r="BZ68" s="41"/>
      <c r="CA68" s="41"/>
      <c r="CB68" s="41"/>
      <c r="CC68" s="41"/>
      <c r="CD68" s="41"/>
      <c r="CE68" s="41"/>
      <c r="CF68" s="41"/>
      <c r="CG68" s="41"/>
      <c r="CH68" s="41"/>
      <c r="CI68" s="41"/>
      <c r="CJ68" s="41"/>
      <c r="CK68" s="41"/>
      <c r="CL68" s="41"/>
      <c r="CM68" s="41"/>
      <c r="CN68" s="41"/>
      <c r="CO68" s="41"/>
      <c r="CP68" s="41"/>
    </row>
    <row r="69" spans="5:94" x14ac:dyDescent="0.3">
      <c r="G69" s="53"/>
      <c r="H69" s="53"/>
      <c r="I69" s="64"/>
      <c r="J69" s="64"/>
      <c r="K69" s="53"/>
      <c r="L69" s="53"/>
      <c r="M69" s="53"/>
      <c r="N69" s="53"/>
      <c r="O69" s="64"/>
      <c r="P69" s="64"/>
      <c r="Q69" s="57">
        <f>c_lung+c_hosp_fu+c_CSG</f>
        <v>54529.510902399998</v>
      </c>
      <c r="R69" s="57"/>
      <c r="S69" s="129"/>
      <c r="T69" s="105"/>
      <c r="U69" s="133"/>
      <c r="V69" s="133"/>
      <c r="W69" s="133"/>
      <c r="X69" s="133"/>
      <c r="Y69" s="133"/>
      <c r="Z69" s="134"/>
      <c r="AA69" s="6"/>
      <c r="AS69">
        <v>42323.200000000004</v>
      </c>
      <c r="AX69">
        <v>0</v>
      </c>
      <c r="BB69">
        <v>0</v>
      </c>
      <c r="BE69" s="41">
        <f t="shared" si="0"/>
        <v>0</v>
      </c>
      <c r="BF69" s="41">
        <f t="shared" si="1"/>
        <v>0</v>
      </c>
      <c r="BG69" s="41">
        <f t="shared" si="2"/>
        <v>0</v>
      </c>
      <c r="BH69" s="41">
        <f t="shared" si="3"/>
        <v>0</v>
      </c>
      <c r="BI69" s="41">
        <f t="shared" si="4"/>
        <v>0</v>
      </c>
      <c r="BJ69" s="41">
        <f t="shared" si="5"/>
        <v>0</v>
      </c>
      <c r="BK69" s="41">
        <f t="shared" si="6"/>
        <v>0</v>
      </c>
      <c r="BL69" s="41">
        <f t="shared" si="7"/>
        <v>0</v>
      </c>
      <c r="BM69" s="41">
        <f t="shared" si="8"/>
        <v>0</v>
      </c>
      <c r="BN69" s="41">
        <f t="shared" si="9"/>
        <v>0</v>
      </c>
      <c r="BO69" s="41">
        <f t="shared" si="10"/>
        <v>0</v>
      </c>
      <c r="BP69" s="41">
        <f t="shared" si="11"/>
        <v>0</v>
      </c>
      <c r="BQ69" s="41">
        <f t="shared" si="12"/>
        <v>1</v>
      </c>
      <c r="BR69" s="41">
        <f t="shared" si="13"/>
        <v>0</v>
      </c>
      <c r="BS69" s="41">
        <f t="shared" si="14"/>
        <v>0</v>
      </c>
      <c r="BT69" s="41">
        <f t="shared" si="15"/>
        <v>0</v>
      </c>
      <c r="BU69" s="41"/>
      <c r="BV69" s="41"/>
      <c r="BW69" s="41"/>
      <c r="BX69" s="41"/>
      <c r="BY69" s="41"/>
      <c r="BZ69" s="41"/>
      <c r="CA69" s="41"/>
      <c r="CB69" s="41"/>
      <c r="CC69" s="41"/>
      <c r="CD69" s="41"/>
      <c r="CE69" s="41"/>
      <c r="CF69" s="41"/>
      <c r="CG69" s="41"/>
      <c r="CH69" s="41"/>
      <c r="CI69" s="41"/>
      <c r="CJ69" s="41"/>
      <c r="CK69" s="41"/>
      <c r="CL69" s="41"/>
      <c r="CM69" s="41"/>
      <c r="CN69" s="41"/>
      <c r="CO69" s="41"/>
      <c r="CP69" s="41"/>
    </row>
    <row r="70" spans="5:94" x14ac:dyDescent="0.3">
      <c r="G70" s="53"/>
      <c r="H70" s="53"/>
      <c r="I70" s="64"/>
      <c r="J70" s="64"/>
      <c r="K70" s="53"/>
      <c r="L70" s="53"/>
      <c r="M70" s="53"/>
      <c r="N70" s="53"/>
      <c r="O70" s="64"/>
      <c r="P70" s="64"/>
      <c r="Q70" s="54" t="s">
        <v>226</v>
      </c>
      <c r="R70" s="54"/>
      <c r="S70" s="129"/>
      <c r="T70" s="105"/>
      <c r="U70" s="133">
        <f>$K$83*$I$72*$G$40*$E$78*$C$148*$A$103*$M$78*$O$73*Q71</f>
        <v>7.4472789353464321E-5</v>
      </c>
      <c r="V70" s="133">
        <v>1.1561704666338901E-4</v>
      </c>
      <c r="W70" s="134">
        <f>$K$84+$I$73+$G$41+$E$79+$C$149+$A$104+$M$79+$O$74+Q72</f>
        <v>251004.53785631372</v>
      </c>
      <c r="X70" s="133">
        <f>u_CongnitiveImpairement</f>
        <v>17.270393127285455</v>
      </c>
      <c r="Y70" s="133"/>
      <c r="Z70" s="134">
        <f>U70*W70</f>
        <v>18.693008074536912</v>
      </c>
      <c r="AA70" s="6">
        <f>U70*X70</f>
        <v>1.2861743494198476E-3</v>
      </c>
      <c r="AS70" t="s">
        <v>226</v>
      </c>
      <c r="AV70">
        <v>1.1561704666338901E-4</v>
      </c>
      <c r="AW70">
        <v>1.1561704666338901E-4</v>
      </c>
      <c r="AX70">
        <v>0</v>
      </c>
      <c r="AY70">
        <v>791235.44</v>
      </c>
      <c r="AZ70">
        <v>17.270393127285455</v>
      </c>
      <c r="BB70">
        <v>1.9967518480924354E-3</v>
      </c>
      <c r="BE70" s="41">
        <f t="shared" si="0"/>
        <v>0</v>
      </c>
      <c r="BF70" s="41">
        <f t="shared" si="1"/>
        <v>0</v>
      </c>
      <c r="BG70" s="41">
        <f t="shared" si="2"/>
        <v>0</v>
      </c>
      <c r="BH70" s="41">
        <f t="shared" si="3"/>
        <v>0</v>
      </c>
      <c r="BI70" s="41">
        <f t="shared" si="4"/>
        <v>0</v>
      </c>
      <c r="BJ70" s="41">
        <f t="shared" si="5"/>
        <v>0</v>
      </c>
      <c r="BK70" s="41">
        <f t="shared" si="6"/>
        <v>0</v>
      </c>
      <c r="BL70" s="41">
        <f t="shared" si="7"/>
        <v>0</v>
      </c>
      <c r="BM70" s="41">
        <f t="shared" si="8"/>
        <v>0</v>
      </c>
      <c r="BN70" s="41">
        <f t="shared" si="9"/>
        <v>0</v>
      </c>
      <c r="BO70" s="41">
        <f t="shared" si="10"/>
        <v>0</v>
      </c>
      <c r="BP70" s="41">
        <f t="shared" si="11"/>
        <v>0</v>
      </c>
      <c r="BQ70" s="41">
        <f t="shared" si="12"/>
        <v>0</v>
      </c>
      <c r="BR70" s="41">
        <f t="shared" si="13"/>
        <v>0</v>
      </c>
      <c r="BS70" s="41">
        <f t="shared" si="14"/>
        <v>0</v>
      </c>
      <c r="BT70" s="41">
        <f t="shared" si="15"/>
        <v>1</v>
      </c>
      <c r="BU70" s="41"/>
      <c r="BV70" s="41"/>
      <c r="BW70" s="41"/>
      <c r="BX70" s="41"/>
      <c r="BY70" s="41"/>
      <c r="BZ70" s="41"/>
      <c r="CA70" s="41"/>
      <c r="CB70" s="41"/>
      <c r="CC70" s="41"/>
      <c r="CD70" s="41"/>
      <c r="CE70" s="41"/>
      <c r="CF70" s="41"/>
      <c r="CG70" s="41"/>
      <c r="CH70" s="41"/>
      <c r="CI70" s="41"/>
      <c r="CJ70" s="41"/>
      <c r="CK70" s="41"/>
      <c r="CL70" s="41"/>
      <c r="CM70" s="41"/>
      <c r="CN70" s="41"/>
      <c r="CO70" s="41"/>
      <c r="CP70" s="41"/>
    </row>
    <row r="71" spans="5:94" x14ac:dyDescent="0.3">
      <c r="G71" s="53"/>
      <c r="H71" s="53"/>
      <c r="I71" s="54" t="s">
        <v>425</v>
      </c>
      <c r="J71" s="64"/>
      <c r="K71" s="64"/>
      <c r="L71" s="64"/>
      <c r="M71" s="64"/>
      <c r="N71" s="64"/>
      <c r="O71" s="64"/>
      <c r="P71" s="64"/>
      <c r="Q71" s="56">
        <f>Hypo2CI_1-(Hypo2CI_1*RDS2CLD_1)</f>
        <v>3.2801999999999998E-2</v>
      </c>
      <c r="R71" s="56"/>
      <c r="S71" s="129"/>
      <c r="T71" s="105"/>
      <c r="U71" s="133"/>
      <c r="V71" s="133"/>
      <c r="W71" s="133"/>
      <c r="X71" s="133"/>
      <c r="Y71" s="133"/>
      <c r="Z71" s="134"/>
      <c r="AA71" s="6"/>
      <c r="AK71" t="s">
        <v>425</v>
      </c>
      <c r="AS71">
        <v>3.2801999999999998E-2</v>
      </c>
      <c r="AX71">
        <v>0</v>
      </c>
      <c r="BB71">
        <v>0</v>
      </c>
      <c r="BE71" s="41">
        <f t="shared" si="0"/>
        <v>0</v>
      </c>
      <c r="BF71" s="41">
        <f t="shared" si="1"/>
        <v>0</v>
      </c>
      <c r="BG71" s="41">
        <f t="shared" si="2"/>
        <v>0</v>
      </c>
      <c r="BH71" s="41">
        <f t="shared" si="3"/>
        <v>0</v>
      </c>
      <c r="BI71" s="41">
        <f t="shared" si="4"/>
        <v>0</v>
      </c>
      <c r="BJ71" s="41">
        <f t="shared" si="5"/>
        <v>0</v>
      </c>
      <c r="BK71" s="41">
        <f t="shared" si="6"/>
        <v>0</v>
      </c>
      <c r="BL71" s="41">
        <f t="shared" si="7"/>
        <v>0</v>
      </c>
      <c r="BM71" s="41">
        <f t="shared" si="8"/>
        <v>0</v>
      </c>
      <c r="BN71" s="41">
        <f t="shared" si="9"/>
        <v>0</v>
      </c>
      <c r="BO71" s="41">
        <f t="shared" si="10"/>
        <v>0</v>
      </c>
      <c r="BP71" s="41">
        <f t="shared" si="11"/>
        <v>0</v>
      </c>
      <c r="BQ71" s="41">
        <f t="shared" si="12"/>
        <v>0</v>
      </c>
      <c r="BR71" s="41">
        <f t="shared" si="13"/>
        <v>0</v>
      </c>
      <c r="BS71" s="41">
        <f t="shared" si="14"/>
        <v>0</v>
      </c>
      <c r="BT71" s="41">
        <f t="shared" si="15"/>
        <v>0</v>
      </c>
      <c r="BU71" s="41"/>
      <c r="BV71" s="41"/>
      <c r="BW71" s="41"/>
      <c r="BX71" s="41"/>
      <c r="BY71" s="41"/>
      <c r="BZ71" s="41"/>
      <c r="CA71" s="41"/>
      <c r="CB71" s="41"/>
      <c r="CC71" s="41"/>
      <c r="CD71" s="41"/>
      <c r="CE71" s="41"/>
      <c r="CF71" s="41"/>
      <c r="CG71" s="41"/>
      <c r="CH71" s="41"/>
      <c r="CI71" s="41"/>
      <c r="CJ71" s="41"/>
      <c r="CK71" s="41"/>
      <c r="CL71" s="41"/>
      <c r="CM71" s="41"/>
      <c r="CN71" s="41"/>
      <c r="CO71" s="41"/>
      <c r="CP71" s="41"/>
    </row>
    <row r="72" spans="5:94" x14ac:dyDescent="0.3">
      <c r="G72" s="64"/>
      <c r="H72" s="64"/>
      <c r="I72" s="56">
        <f>LBW_prem_2AGA_1</f>
        <v>0.60031407035175877</v>
      </c>
      <c r="J72" s="64"/>
      <c r="K72" s="64"/>
      <c r="L72" s="64"/>
      <c r="M72" s="64"/>
      <c r="N72" s="64"/>
      <c r="O72" s="54" t="s">
        <v>161</v>
      </c>
      <c r="P72" s="64"/>
      <c r="Q72" s="57">
        <f>c_cog+c_hosp_fu+c_CSG</f>
        <v>15766</v>
      </c>
      <c r="R72" s="57"/>
      <c r="S72" s="129"/>
      <c r="T72" s="105"/>
      <c r="U72" s="133"/>
      <c r="V72" s="133"/>
      <c r="W72" s="133"/>
      <c r="X72" s="133"/>
      <c r="Y72" s="133"/>
      <c r="Z72" s="134"/>
      <c r="AA72" s="6"/>
      <c r="AK72">
        <v>0.55590452261306533</v>
      </c>
      <c r="AQ72" t="s">
        <v>161</v>
      </c>
      <c r="AS72">
        <v>4840</v>
      </c>
      <c r="AX72">
        <v>0</v>
      </c>
      <c r="BB72">
        <v>0</v>
      </c>
      <c r="BE72" s="41">
        <f t="shared" si="0"/>
        <v>0</v>
      </c>
      <c r="BF72" s="41">
        <f t="shared" si="1"/>
        <v>0</v>
      </c>
      <c r="BG72" s="41">
        <f t="shared" si="2"/>
        <v>0</v>
      </c>
      <c r="BH72" s="41">
        <f t="shared" si="3"/>
        <v>0</v>
      </c>
      <c r="BI72" s="41">
        <f t="shared" si="4"/>
        <v>1</v>
      </c>
      <c r="BJ72" s="41">
        <f t="shared" si="5"/>
        <v>0</v>
      </c>
      <c r="BK72" s="41">
        <f t="shared" si="6"/>
        <v>0</v>
      </c>
      <c r="BL72" s="41">
        <f t="shared" si="7"/>
        <v>0</v>
      </c>
      <c r="BM72" s="41">
        <f t="shared" si="8"/>
        <v>0</v>
      </c>
      <c r="BN72" s="41">
        <f t="shared" si="9"/>
        <v>0</v>
      </c>
      <c r="BO72" s="41">
        <f t="shared" si="10"/>
        <v>0</v>
      </c>
      <c r="BP72" s="41">
        <f t="shared" si="11"/>
        <v>0</v>
      </c>
      <c r="BQ72" s="41">
        <f t="shared" si="12"/>
        <v>1</v>
      </c>
      <c r="BR72" s="41">
        <f t="shared" si="13"/>
        <v>0</v>
      </c>
      <c r="BS72" s="41">
        <f t="shared" si="14"/>
        <v>0</v>
      </c>
      <c r="BT72" s="41">
        <f t="shared" si="15"/>
        <v>0</v>
      </c>
      <c r="BU72" s="41"/>
      <c r="BV72" s="41"/>
      <c r="BW72" s="41"/>
      <c r="BX72" s="41"/>
      <c r="BY72" s="41"/>
      <c r="BZ72" s="41"/>
      <c r="CA72" s="41"/>
      <c r="CB72" s="41"/>
      <c r="CC72" s="41"/>
      <c r="CD72" s="41"/>
      <c r="CE72" s="41"/>
      <c r="CF72" s="41"/>
      <c r="CG72" s="41"/>
      <c r="CH72" s="41"/>
      <c r="CI72" s="41"/>
      <c r="CJ72" s="41"/>
      <c r="CK72" s="41"/>
      <c r="CL72" s="41"/>
      <c r="CM72" s="41"/>
      <c r="CN72" s="41"/>
      <c r="CO72" s="41"/>
      <c r="CP72" s="41"/>
    </row>
    <row r="73" spans="5:94" x14ac:dyDescent="0.3">
      <c r="G73" s="64"/>
      <c r="H73" s="64"/>
      <c r="I73" s="57"/>
      <c r="J73" s="64"/>
      <c r="K73" s="64"/>
      <c r="L73" s="64"/>
      <c r="M73" s="64"/>
      <c r="N73" s="64"/>
      <c r="O73" s="56">
        <f>AGA_prem_2hypoglycaemia_1</f>
        <v>0.15</v>
      </c>
      <c r="P73" s="64"/>
      <c r="Q73" s="54" t="s">
        <v>369</v>
      </c>
      <c r="R73" s="54"/>
      <c r="S73" s="129"/>
      <c r="T73" s="105"/>
      <c r="U73" s="133">
        <f>$K$83*$I$72*$G$40*$E$78*$C$148*$A$103*$M$78*$O$73*Q74</f>
        <v>4.2073046880439162E-5</v>
      </c>
      <c r="V73" s="133">
        <v>6.531729866272839E-5</v>
      </c>
      <c r="W73" s="134">
        <f>$K$84+$I$73+$G$41+$E$79+$C$149+$A$104+$M$79+$O$74+Q75</f>
        <v>293587.0487587137</v>
      </c>
      <c r="X73" s="133">
        <f>u_ChronicResp+u_CongnitiveImpairement</f>
        <v>17.805052694763283</v>
      </c>
      <c r="Y73" s="133"/>
      <c r="Z73" s="134">
        <f>U73*W73</f>
        <v>12.352101665915139</v>
      </c>
      <c r="AA73" s="6">
        <f>U73*X73</f>
        <v>7.4911281673546519E-4</v>
      </c>
      <c r="AQ73">
        <v>0.15</v>
      </c>
      <c r="AS73" t="s">
        <v>369</v>
      </c>
      <c r="AV73">
        <v>6.531729866272839E-5</v>
      </c>
      <c r="AW73">
        <v>3.9595215814748616E-5</v>
      </c>
      <c r="AX73">
        <v>1</v>
      </c>
      <c r="AY73">
        <v>832385.6399999999</v>
      </c>
      <c r="AZ73">
        <v>17.805052694763283</v>
      </c>
      <c r="BB73">
        <v>1.1629779445694703E-3</v>
      </c>
      <c r="BE73" s="41">
        <f t="shared" si="0"/>
        <v>0</v>
      </c>
      <c r="BF73" s="41">
        <f t="shared" si="1"/>
        <v>0</v>
      </c>
      <c r="BG73" s="41">
        <f t="shared" si="2"/>
        <v>0</v>
      </c>
      <c r="BH73" s="41">
        <f t="shared" si="3"/>
        <v>0</v>
      </c>
      <c r="BI73" s="41">
        <f t="shared" si="4"/>
        <v>0</v>
      </c>
      <c r="BJ73" s="41">
        <f t="shared" si="5"/>
        <v>0</v>
      </c>
      <c r="BK73" s="41">
        <f t="shared" si="6"/>
        <v>0</v>
      </c>
      <c r="BL73" s="41">
        <f t="shared" si="7"/>
        <v>0</v>
      </c>
      <c r="BM73" s="41">
        <f t="shared" si="8"/>
        <v>0</v>
      </c>
      <c r="BN73" s="41">
        <f t="shared" si="9"/>
        <v>0</v>
      </c>
      <c r="BO73" s="41">
        <f t="shared" si="10"/>
        <v>0</v>
      </c>
      <c r="BP73" s="41">
        <f t="shared" si="11"/>
        <v>0</v>
      </c>
      <c r="BQ73" s="41">
        <f t="shared" si="12"/>
        <v>0</v>
      </c>
      <c r="BR73" s="41">
        <f t="shared" si="13"/>
        <v>0</v>
      </c>
      <c r="BS73" s="41">
        <f t="shared" si="14"/>
        <v>0</v>
      </c>
      <c r="BT73" s="41">
        <f t="shared" si="15"/>
        <v>1</v>
      </c>
      <c r="BU73" s="41"/>
      <c r="BV73" s="41"/>
      <c r="BW73" s="41"/>
      <c r="BX73" s="41"/>
      <c r="BY73" s="41"/>
      <c r="BZ73" s="41"/>
      <c r="CA73" s="41"/>
      <c r="CB73" s="41"/>
      <c r="CC73" s="41"/>
      <c r="CD73" s="41"/>
      <c r="CE73" s="41"/>
      <c r="CF73" s="41"/>
      <c r="CG73" s="41"/>
      <c r="CH73" s="41"/>
      <c r="CI73" s="41"/>
      <c r="CJ73" s="41"/>
      <c r="CK73" s="41"/>
      <c r="CL73" s="41"/>
      <c r="CM73" s="41"/>
      <c r="CN73" s="41"/>
      <c r="CO73" s="41"/>
      <c r="CP73" s="41"/>
    </row>
    <row r="74" spans="5:94" x14ac:dyDescent="0.3">
      <c r="G74" s="64"/>
      <c r="H74" s="64"/>
      <c r="I74" s="64"/>
      <c r="J74" s="64"/>
      <c r="K74" s="64"/>
      <c r="L74" s="64"/>
      <c r="M74" s="64"/>
      <c r="N74" s="64"/>
      <c r="O74" s="57">
        <f>c_hypo</f>
        <v>2936.2604000000001</v>
      </c>
      <c r="P74" s="64"/>
      <c r="Q74" s="56">
        <f>Hypo2CI_1*RDS2CLD_1</f>
        <v>1.8531333333333334E-2</v>
      </c>
      <c r="R74" s="56"/>
      <c r="S74" s="129"/>
      <c r="T74" s="105"/>
      <c r="U74" s="133"/>
      <c r="V74" s="133"/>
      <c r="W74" s="133"/>
      <c r="X74" s="133"/>
      <c r="Y74" s="133"/>
      <c r="Z74" s="134"/>
      <c r="AA74" s="6"/>
      <c r="AQ74">
        <v>2728.1</v>
      </c>
      <c r="AS74">
        <v>1.8531333333333334E-2</v>
      </c>
      <c r="AX74">
        <v>0</v>
      </c>
      <c r="BB74">
        <v>0</v>
      </c>
      <c r="BE74" s="41">
        <f t="shared" si="0"/>
        <v>0</v>
      </c>
      <c r="BF74" s="41">
        <f t="shared" si="1"/>
        <v>0</v>
      </c>
      <c r="BG74" s="41">
        <f t="shared" si="2"/>
        <v>0</v>
      </c>
      <c r="BH74" s="41">
        <f t="shared" si="3"/>
        <v>0</v>
      </c>
      <c r="BI74" s="41">
        <f t="shared" si="4"/>
        <v>0</v>
      </c>
      <c r="BJ74" s="41">
        <f t="shared" si="5"/>
        <v>0</v>
      </c>
      <c r="BK74" s="41">
        <f t="shared" si="6"/>
        <v>0</v>
      </c>
      <c r="BL74" s="41">
        <f t="shared" si="7"/>
        <v>0</v>
      </c>
      <c r="BM74" s="41">
        <f t="shared" si="8"/>
        <v>0</v>
      </c>
      <c r="BN74" s="41">
        <f t="shared" si="9"/>
        <v>0</v>
      </c>
      <c r="BO74" s="41">
        <f t="shared" si="10"/>
        <v>1</v>
      </c>
      <c r="BP74" s="41">
        <f t="shared" si="11"/>
        <v>0</v>
      </c>
      <c r="BQ74" s="41">
        <f t="shared" si="12"/>
        <v>0</v>
      </c>
      <c r="BR74" s="41">
        <f t="shared" si="13"/>
        <v>0</v>
      </c>
      <c r="BS74" s="41">
        <f t="shared" si="14"/>
        <v>0</v>
      </c>
      <c r="BT74" s="41">
        <f t="shared" si="15"/>
        <v>0</v>
      </c>
      <c r="BU74" s="41"/>
      <c r="BV74" s="41"/>
      <c r="BW74" s="41"/>
      <c r="BX74" s="41"/>
      <c r="BY74" s="41"/>
      <c r="BZ74" s="41"/>
      <c r="CA74" s="41"/>
      <c r="CB74" s="41"/>
      <c r="CC74" s="41"/>
      <c r="CD74" s="41"/>
      <c r="CE74" s="41"/>
      <c r="CF74" s="41"/>
      <c r="CG74" s="41"/>
      <c r="CH74" s="41"/>
      <c r="CI74" s="41"/>
      <c r="CJ74" s="41"/>
      <c r="CK74" s="41"/>
      <c r="CL74" s="41"/>
      <c r="CM74" s="41"/>
      <c r="CN74" s="41"/>
      <c r="CO74" s="41"/>
      <c r="CP74" s="41"/>
    </row>
    <row r="75" spans="5:94" x14ac:dyDescent="0.3">
      <c r="G75" s="64"/>
      <c r="H75" s="64"/>
      <c r="I75" s="64"/>
      <c r="J75" s="64"/>
      <c r="K75" s="64"/>
      <c r="L75" s="64"/>
      <c r="M75" s="65"/>
      <c r="N75" s="64"/>
      <c r="O75" s="53"/>
      <c r="P75" s="64"/>
      <c r="Q75" s="57">
        <f>c_lung+c_cog+c_hosp_fu+c_CSG</f>
        <v>58348.510902399998</v>
      </c>
      <c r="R75" s="57"/>
      <c r="S75" s="129"/>
      <c r="T75" s="105"/>
      <c r="U75" s="133"/>
      <c r="V75" s="133"/>
      <c r="W75" s="133"/>
      <c r="X75" s="133"/>
      <c r="Y75" s="133"/>
      <c r="Z75" s="134"/>
      <c r="AA75" s="6"/>
      <c r="AS75">
        <v>45990.200000000004</v>
      </c>
      <c r="AX75">
        <v>0</v>
      </c>
      <c r="BB75">
        <v>0</v>
      </c>
      <c r="BE75" s="41">
        <f t="shared" si="0"/>
        <v>0</v>
      </c>
      <c r="BF75" s="41">
        <f t="shared" si="1"/>
        <v>0</v>
      </c>
      <c r="BG75" s="41">
        <f t="shared" si="2"/>
        <v>0</v>
      </c>
      <c r="BH75" s="41">
        <f t="shared" si="3"/>
        <v>0</v>
      </c>
      <c r="BI75" s="41">
        <f t="shared" si="4"/>
        <v>0</v>
      </c>
      <c r="BJ75" s="41">
        <f t="shared" si="5"/>
        <v>0</v>
      </c>
      <c r="BK75" s="41">
        <f t="shared" si="6"/>
        <v>0</v>
      </c>
      <c r="BL75" s="41">
        <f t="shared" si="7"/>
        <v>0</v>
      </c>
      <c r="BM75" s="41">
        <f t="shared" si="8"/>
        <v>0</v>
      </c>
      <c r="BN75" s="41">
        <f t="shared" si="9"/>
        <v>0</v>
      </c>
      <c r="BO75" s="41">
        <f t="shared" si="10"/>
        <v>0</v>
      </c>
      <c r="BP75" s="41">
        <f t="shared" si="11"/>
        <v>0</v>
      </c>
      <c r="BQ75" s="41">
        <f t="shared" si="12"/>
        <v>1</v>
      </c>
      <c r="BR75" s="41">
        <f t="shared" si="13"/>
        <v>0</v>
      </c>
      <c r="BS75" s="41">
        <f t="shared" si="14"/>
        <v>0</v>
      </c>
      <c r="BT75" s="41">
        <f t="shared" si="15"/>
        <v>0</v>
      </c>
      <c r="BU75" s="41"/>
      <c r="BV75" s="41"/>
      <c r="BW75" s="41"/>
      <c r="BX75" s="41"/>
      <c r="BY75" s="41"/>
      <c r="BZ75" s="41"/>
      <c r="CA75" s="41"/>
      <c r="CB75" s="41"/>
      <c r="CC75" s="41"/>
      <c r="CD75" s="41"/>
      <c r="CE75" s="41"/>
      <c r="CF75" s="41"/>
      <c r="CG75" s="41"/>
      <c r="CH75" s="41"/>
      <c r="CI75" s="41"/>
      <c r="CJ75" s="41"/>
      <c r="CK75" s="41"/>
      <c r="CL75" s="41"/>
      <c r="CM75" s="41"/>
      <c r="CN75" s="41"/>
      <c r="CO75" s="41"/>
      <c r="CP75" s="41"/>
    </row>
    <row r="76" spans="5:94" x14ac:dyDescent="0.3">
      <c r="G76" s="64"/>
      <c r="H76" s="64"/>
      <c r="I76" s="64"/>
      <c r="J76" s="64"/>
      <c r="K76" s="64"/>
      <c r="L76" s="64"/>
      <c r="M76" s="64"/>
      <c r="N76" s="64"/>
      <c r="O76" s="64"/>
      <c r="P76" s="64"/>
      <c r="Q76" s="54" t="s">
        <v>370</v>
      </c>
      <c r="R76" s="54"/>
      <c r="S76" s="129"/>
      <c r="T76" s="105"/>
      <c r="U76" s="133">
        <f>$K$83*$I$72*$G$40*$E$78*$C$148*$A$103*$M$78*$O$73*Q77</f>
        <v>1.3762958344153214E-3</v>
      </c>
      <c r="V76" s="133">
        <v>2.1366630831428906E-3</v>
      </c>
      <c r="W76" s="134">
        <f>$K$84+$I$73+$G$41+$E$79+$C$149+$A$104+$M$79+$O$74+Q78</f>
        <v>249641.53785631372</v>
      </c>
      <c r="X76" s="133">
        <f>u_Healthy</f>
        <v>0</v>
      </c>
      <c r="Y76" s="133"/>
      <c r="Z76" s="134">
        <f>U76*W76</f>
        <v>343.58060864867934</v>
      </c>
      <c r="AA76" s="6">
        <f>U76*X76</f>
        <v>0</v>
      </c>
      <c r="AS76" t="s">
        <v>370</v>
      </c>
      <c r="AV76">
        <v>2.1366630831428906E-3</v>
      </c>
      <c r="AW76">
        <v>2.1623851659908705E-3</v>
      </c>
      <c r="AX76">
        <v>1</v>
      </c>
      <c r="AY76">
        <v>789625.44</v>
      </c>
      <c r="AZ76">
        <v>0</v>
      </c>
      <c r="BB76">
        <v>0</v>
      </c>
      <c r="BE76" s="41">
        <f t="shared" si="0"/>
        <v>0</v>
      </c>
      <c r="BF76" s="41">
        <f t="shared" si="1"/>
        <v>0</v>
      </c>
      <c r="BG76" s="41">
        <f t="shared" si="2"/>
        <v>0</v>
      </c>
      <c r="BH76" s="41">
        <f t="shared" si="3"/>
        <v>0</v>
      </c>
      <c r="BI76" s="41">
        <f t="shared" si="4"/>
        <v>0</v>
      </c>
      <c r="BJ76" s="41">
        <f t="shared" si="5"/>
        <v>0</v>
      </c>
      <c r="BK76" s="41">
        <f t="shared" si="6"/>
        <v>0</v>
      </c>
      <c r="BL76" s="41">
        <f t="shared" si="7"/>
        <v>0</v>
      </c>
      <c r="BM76" s="41">
        <f t="shared" si="8"/>
        <v>0</v>
      </c>
      <c r="BN76" s="41">
        <f t="shared" si="9"/>
        <v>0</v>
      </c>
      <c r="BO76" s="41">
        <f t="shared" si="10"/>
        <v>0</v>
      </c>
      <c r="BP76" s="41">
        <f t="shared" si="11"/>
        <v>0</v>
      </c>
      <c r="BQ76" s="41">
        <f t="shared" si="12"/>
        <v>0</v>
      </c>
      <c r="BR76" s="41">
        <f t="shared" si="13"/>
        <v>0</v>
      </c>
      <c r="BS76" s="41">
        <f t="shared" si="14"/>
        <v>0</v>
      </c>
      <c r="BT76" s="41">
        <f t="shared" si="15"/>
        <v>1</v>
      </c>
      <c r="BU76" s="41"/>
      <c r="BV76" s="41"/>
      <c r="BW76" s="41"/>
      <c r="BX76" s="41"/>
      <c r="BY76" s="41"/>
      <c r="BZ76" s="41"/>
      <c r="CA76" s="41"/>
      <c r="CB76" s="41"/>
      <c r="CC76" s="41"/>
      <c r="CD76" s="41"/>
      <c r="CE76" s="41"/>
      <c r="CF76" s="41"/>
      <c r="CG76" s="41"/>
      <c r="CH76" s="41"/>
      <c r="CI76" s="41"/>
      <c r="CJ76" s="41"/>
      <c r="CK76" s="41"/>
      <c r="CL76" s="41"/>
      <c r="CM76" s="41"/>
      <c r="CN76" s="41"/>
      <c r="CO76" s="41"/>
      <c r="CP76" s="41"/>
    </row>
    <row r="77" spans="5:94" x14ac:dyDescent="0.3">
      <c r="E77" s="54" t="s">
        <v>10</v>
      </c>
      <c r="G77" s="64"/>
      <c r="H77" s="64"/>
      <c r="I77" s="64"/>
      <c r="J77" s="64"/>
      <c r="K77" s="64"/>
      <c r="L77" s="64"/>
      <c r="M77" s="54" t="s">
        <v>9</v>
      </c>
      <c r="N77" s="64"/>
      <c r="O77" s="64"/>
      <c r="P77" s="64"/>
      <c r="Q77" s="56">
        <f>1-Q68-Q71-Q74</f>
        <v>0.60619800000000001</v>
      </c>
      <c r="R77" s="56"/>
      <c r="S77" s="129"/>
      <c r="T77" s="105"/>
      <c r="U77" s="133"/>
      <c r="V77" s="133"/>
      <c r="W77" s="133"/>
      <c r="X77" s="133"/>
      <c r="Y77" s="133"/>
      <c r="Z77" s="134"/>
      <c r="AA77" s="6"/>
      <c r="AG77" t="s">
        <v>10</v>
      </c>
      <c r="AO77" t="s">
        <v>9</v>
      </c>
      <c r="AS77">
        <v>0.60619800000000001</v>
      </c>
      <c r="AX77">
        <v>0</v>
      </c>
      <c r="BB77">
        <v>0</v>
      </c>
      <c r="BE77" s="41">
        <f t="shared" si="0"/>
        <v>0</v>
      </c>
      <c r="BF77" s="41">
        <f t="shared" si="1"/>
        <v>0</v>
      </c>
      <c r="BG77" s="41">
        <f t="shared" si="2"/>
        <v>0</v>
      </c>
      <c r="BH77" s="41">
        <f t="shared" si="3"/>
        <v>0</v>
      </c>
      <c r="BI77" s="41">
        <f t="shared" si="4"/>
        <v>0</v>
      </c>
      <c r="BJ77" s="41">
        <f t="shared" si="5"/>
        <v>0</v>
      </c>
      <c r="BK77" s="41">
        <f t="shared" si="6"/>
        <v>0</v>
      </c>
      <c r="BL77" s="41">
        <f t="shared" si="7"/>
        <v>0</v>
      </c>
      <c r="BM77" s="41">
        <f t="shared" si="8"/>
        <v>0</v>
      </c>
      <c r="BN77" s="41">
        <f t="shared" si="9"/>
        <v>0</v>
      </c>
      <c r="BO77" s="41">
        <f t="shared" si="10"/>
        <v>0</v>
      </c>
      <c r="BP77" s="41">
        <f t="shared" si="11"/>
        <v>0</v>
      </c>
      <c r="BQ77" s="41">
        <f t="shared" si="12"/>
        <v>0</v>
      </c>
      <c r="BR77" s="41">
        <f t="shared" si="13"/>
        <v>0</v>
      </c>
      <c r="BS77" s="41">
        <f t="shared" si="14"/>
        <v>0</v>
      </c>
      <c r="BT77" s="41">
        <f t="shared" si="15"/>
        <v>0</v>
      </c>
      <c r="BU77" s="41"/>
      <c r="BV77" s="41"/>
      <c r="BW77" s="41"/>
      <c r="BX77" s="41"/>
      <c r="BY77" s="41"/>
      <c r="BZ77" s="41"/>
      <c r="CA77" s="41"/>
      <c r="CB77" s="41"/>
      <c r="CC77" s="41"/>
      <c r="CD77" s="41"/>
      <c r="CE77" s="41"/>
      <c r="CF77" s="41"/>
      <c r="CG77" s="41"/>
      <c r="CH77" s="41"/>
      <c r="CI77" s="41"/>
      <c r="CJ77" s="41"/>
      <c r="CK77" s="41"/>
      <c r="CL77" s="41"/>
      <c r="CM77" s="41"/>
      <c r="CN77" s="41"/>
      <c r="CO77" s="41"/>
      <c r="CP77" s="41"/>
    </row>
    <row r="78" spans="5:94" x14ac:dyDescent="0.3">
      <c r="E78" s="56">
        <f>LB2prem_1</f>
        <v>0.13286148238153098</v>
      </c>
      <c r="G78" s="64"/>
      <c r="H78" s="64"/>
      <c r="I78" s="64"/>
      <c r="J78" s="64"/>
      <c r="K78" s="65"/>
      <c r="L78" s="64"/>
      <c r="M78" s="56">
        <f>S_prem_2RDS_1</f>
        <v>0.45</v>
      </c>
      <c r="N78" s="64"/>
      <c r="O78" s="64"/>
      <c r="P78" s="64"/>
      <c r="Q78" s="57">
        <f>c_clinic_fu+c_CSG</f>
        <v>14403</v>
      </c>
      <c r="R78" s="57"/>
      <c r="S78" s="129"/>
      <c r="T78" s="105"/>
      <c r="U78" s="133"/>
      <c r="V78" s="133"/>
      <c r="W78" s="133"/>
      <c r="X78" s="133"/>
      <c r="Y78" s="133"/>
      <c r="Z78" s="134"/>
      <c r="AA78" s="6"/>
      <c r="AG78">
        <v>0.17481773997569866</v>
      </c>
      <c r="AO78">
        <v>0.45</v>
      </c>
      <c r="AS78">
        <v>3230</v>
      </c>
      <c r="AX78">
        <v>0</v>
      </c>
      <c r="BB78">
        <v>0</v>
      </c>
      <c r="BE78" s="41">
        <f t="shared" si="0"/>
        <v>1</v>
      </c>
      <c r="BF78" s="41">
        <f t="shared" si="1"/>
        <v>0</v>
      </c>
      <c r="BG78" s="41">
        <f t="shared" si="2"/>
        <v>0</v>
      </c>
      <c r="BH78" s="41">
        <f t="shared" si="3"/>
        <v>0</v>
      </c>
      <c r="BI78" s="41">
        <f t="shared" si="4"/>
        <v>0</v>
      </c>
      <c r="BJ78" s="41">
        <f t="shared" si="5"/>
        <v>0</v>
      </c>
      <c r="BK78" s="41">
        <f t="shared" si="6"/>
        <v>0</v>
      </c>
      <c r="BL78" s="41">
        <f t="shared" si="7"/>
        <v>0</v>
      </c>
      <c r="BM78" s="41">
        <f t="shared" si="8"/>
        <v>0</v>
      </c>
      <c r="BN78" s="41">
        <f t="shared" si="9"/>
        <v>0</v>
      </c>
      <c r="BO78" s="41">
        <f t="shared" si="10"/>
        <v>0</v>
      </c>
      <c r="BP78" s="41">
        <f t="shared" si="11"/>
        <v>0</v>
      </c>
      <c r="BQ78" s="41">
        <f t="shared" si="12"/>
        <v>1</v>
      </c>
      <c r="BR78" s="41">
        <f t="shared" si="13"/>
        <v>0</v>
      </c>
      <c r="BS78" s="41">
        <f t="shared" si="14"/>
        <v>0</v>
      </c>
      <c r="BT78" s="41">
        <f t="shared" si="15"/>
        <v>0</v>
      </c>
      <c r="BU78" s="41"/>
      <c r="BV78" s="41"/>
      <c r="BW78" s="41"/>
      <c r="BX78" s="41"/>
      <c r="BY78" s="41"/>
      <c r="BZ78" s="41"/>
      <c r="CA78" s="41"/>
      <c r="CB78" s="41"/>
      <c r="CC78" s="41"/>
      <c r="CD78" s="41"/>
      <c r="CE78" s="41"/>
      <c r="CF78" s="41"/>
      <c r="CG78" s="41"/>
      <c r="CH78" s="41"/>
      <c r="CI78" s="41"/>
      <c r="CJ78" s="41"/>
      <c r="CK78" s="41"/>
      <c r="CL78" s="41"/>
      <c r="CM78" s="41"/>
      <c r="CN78" s="41"/>
      <c r="CO78" s="41"/>
      <c r="CP78" s="41"/>
    </row>
    <row r="79" spans="5:94" x14ac:dyDescent="0.3">
      <c r="E79" s="57">
        <f>c_prem</f>
        <v>577.9017081081081</v>
      </c>
      <c r="G79" s="64"/>
      <c r="H79" s="64"/>
      <c r="I79" s="64"/>
      <c r="J79" s="64"/>
      <c r="K79" s="65"/>
      <c r="L79" s="64"/>
      <c r="M79" s="57">
        <f>c_RDS</f>
        <v>30595.610148205637</v>
      </c>
      <c r="N79" s="64"/>
      <c r="O79" s="64"/>
      <c r="P79" s="64"/>
      <c r="Q79" s="65"/>
      <c r="R79" s="65"/>
      <c r="S79" s="129"/>
      <c r="T79" s="105"/>
      <c r="U79" s="133"/>
      <c r="V79" s="133"/>
      <c r="W79" s="133"/>
      <c r="X79" s="133"/>
      <c r="Y79" s="133"/>
      <c r="Z79" s="134"/>
      <c r="AA79" s="6"/>
      <c r="AG79">
        <v>1653.34</v>
      </c>
      <c r="AO79">
        <v>23624</v>
      </c>
      <c r="AX79">
        <v>0</v>
      </c>
      <c r="BB79">
        <v>0</v>
      </c>
      <c r="BE79" s="41">
        <f t="shared" si="0"/>
        <v>1</v>
      </c>
      <c r="BF79" s="41">
        <f t="shared" si="1"/>
        <v>0</v>
      </c>
      <c r="BG79" s="41">
        <f t="shared" si="2"/>
        <v>0</v>
      </c>
      <c r="BH79" s="41">
        <f t="shared" si="3"/>
        <v>0</v>
      </c>
      <c r="BI79" s="41">
        <f t="shared" si="4"/>
        <v>0</v>
      </c>
      <c r="BJ79" s="41">
        <f t="shared" si="5"/>
        <v>0</v>
      </c>
      <c r="BK79" s="41">
        <f t="shared" si="6"/>
        <v>0</v>
      </c>
      <c r="BL79" s="41">
        <f t="shared" si="7"/>
        <v>0</v>
      </c>
      <c r="BM79" s="41">
        <f t="shared" si="8"/>
        <v>1</v>
      </c>
      <c r="BN79" s="41">
        <f t="shared" si="9"/>
        <v>0</v>
      </c>
      <c r="BO79" s="41">
        <f t="shared" si="10"/>
        <v>0</v>
      </c>
      <c r="BP79" s="41">
        <f t="shared" si="11"/>
        <v>0</v>
      </c>
      <c r="BQ79" s="41">
        <f t="shared" si="12"/>
        <v>0</v>
      </c>
      <c r="BR79" s="41">
        <f t="shared" si="13"/>
        <v>0</v>
      </c>
      <c r="BS79" s="41">
        <f t="shared" si="14"/>
        <v>0</v>
      </c>
      <c r="BT79" s="41">
        <f t="shared" si="15"/>
        <v>0</v>
      </c>
      <c r="BU79" s="41"/>
      <c r="BV79" s="41"/>
      <c r="BW79" s="41"/>
      <c r="BX79" s="41"/>
      <c r="BY79" s="41"/>
      <c r="BZ79" s="41"/>
      <c r="CA79" s="41"/>
      <c r="CB79" s="41"/>
      <c r="CC79" s="41"/>
      <c r="CD79" s="41"/>
      <c r="CE79" s="41"/>
      <c r="CF79" s="41"/>
      <c r="CG79" s="41"/>
      <c r="CH79" s="41"/>
      <c r="CI79" s="41"/>
      <c r="CJ79" s="41"/>
      <c r="CK79" s="41"/>
      <c r="CL79" s="41"/>
      <c r="CM79" s="41"/>
      <c r="CN79" s="41"/>
      <c r="CO79" s="41"/>
      <c r="CP79" s="41"/>
    </row>
    <row r="80" spans="5:94" x14ac:dyDescent="0.3">
      <c r="G80" s="64"/>
      <c r="H80" s="64"/>
      <c r="I80" s="64"/>
      <c r="J80" s="64"/>
      <c r="K80" s="64"/>
      <c r="L80" s="64"/>
      <c r="M80" s="64"/>
      <c r="N80" s="64"/>
      <c r="O80" s="64"/>
      <c r="P80" s="64"/>
      <c r="Q80" s="54" t="s">
        <v>368</v>
      </c>
      <c r="R80" s="54"/>
      <c r="S80" s="129"/>
      <c r="T80" s="105"/>
      <c r="U80" s="133">
        <f>$K$83*$I$72*$G$40*$E$78*$C$148*$A$103*$M$78*$O$83*Q81</f>
        <v>4.4907636996857634E-3</v>
      </c>
      <c r="V80" s="133">
        <v>6.9717925262144063E-3</v>
      </c>
      <c r="W80" s="134">
        <f>$K$84+$I$73+$G$41+$E$79+$C$149+$A$104+$M$79+$O$84+Q82</f>
        <v>286831.78835871373</v>
      </c>
      <c r="X80" s="133">
        <f>u_ChronicResp</f>
        <v>0.53465956747782661</v>
      </c>
      <c r="Y80" s="133"/>
      <c r="Z80" s="134">
        <f>U80*W80</f>
        <v>1288.0937830772612</v>
      </c>
      <c r="AA80" s="6">
        <f>U80*X80</f>
        <v>2.4010297773191147E-3</v>
      </c>
      <c r="AS80" t="s">
        <v>368</v>
      </c>
      <c r="AV80">
        <v>6.9717925262144063E-3</v>
      </c>
      <c r="AW80">
        <v>6.9717925262144063E-3</v>
      </c>
      <c r="AX80">
        <v>0</v>
      </c>
      <c r="AY80">
        <v>825990.53999999992</v>
      </c>
      <c r="AZ80">
        <v>0.53465956747782661</v>
      </c>
      <c r="BB80">
        <v>3.7275355766109388E-3</v>
      </c>
      <c r="BE80" s="41">
        <f t="shared" si="0"/>
        <v>0</v>
      </c>
      <c r="BF80" s="41">
        <f t="shared" si="1"/>
        <v>0</v>
      </c>
      <c r="BG80" s="41">
        <f t="shared" si="2"/>
        <v>0</v>
      </c>
      <c r="BH80" s="41">
        <f t="shared" si="3"/>
        <v>0</v>
      </c>
      <c r="BI80" s="41">
        <f t="shared" si="4"/>
        <v>0</v>
      </c>
      <c r="BJ80" s="41">
        <f t="shared" si="5"/>
        <v>0</v>
      </c>
      <c r="BK80" s="41">
        <f t="shared" si="6"/>
        <v>0</v>
      </c>
      <c r="BL80" s="41">
        <f t="shared" si="7"/>
        <v>0</v>
      </c>
      <c r="BM80" s="41">
        <f t="shared" si="8"/>
        <v>0</v>
      </c>
      <c r="BN80" s="41">
        <f t="shared" si="9"/>
        <v>0</v>
      </c>
      <c r="BO80" s="41">
        <f t="shared" si="10"/>
        <v>0</v>
      </c>
      <c r="BP80" s="41">
        <f t="shared" si="11"/>
        <v>0</v>
      </c>
      <c r="BQ80" s="41">
        <f t="shared" si="12"/>
        <v>0</v>
      </c>
      <c r="BR80" s="41">
        <f t="shared" si="13"/>
        <v>0</v>
      </c>
      <c r="BS80" s="41">
        <f t="shared" si="14"/>
        <v>0</v>
      </c>
      <c r="BT80" s="41">
        <f t="shared" si="15"/>
        <v>1</v>
      </c>
      <c r="BU80" s="41"/>
      <c r="BV80" s="41"/>
      <c r="BW80" s="41"/>
      <c r="BX80" s="41"/>
      <c r="BY80" s="41"/>
      <c r="BZ80" s="41"/>
      <c r="CA80" s="41"/>
      <c r="CB80" s="41"/>
      <c r="CC80" s="41"/>
      <c r="CD80" s="41"/>
      <c r="CE80" s="41"/>
      <c r="CF80" s="41"/>
      <c r="CG80" s="41"/>
      <c r="CH80" s="41"/>
      <c r="CI80" s="41"/>
      <c r="CJ80" s="41"/>
      <c r="CK80" s="41"/>
      <c r="CL80" s="41"/>
      <c r="CM80" s="41"/>
      <c r="CN80" s="41"/>
      <c r="CO80" s="41"/>
      <c r="CP80" s="41"/>
    </row>
    <row r="81" spans="7:94" x14ac:dyDescent="0.3">
      <c r="G81" s="64"/>
      <c r="H81" s="64"/>
      <c r="I81" s="64"/>
      <c r="J81" s="64"/>
      <c r="K81" s="64"/>
      <c r="L81" s="64"/>
      <c r="M81" s="64"/>
      <c r="N81" s="64"/>
      <c r="O81" s="64"/>
      <c r="P81" s="64"/>
      <c r="Q81" s="56">
        <f>RDS2CLD_1-(RDS2CLD_1*noHypo2CI_1)</f>
        <v>0.34905610687022898</v>
      </c>
      <c r="R81" s="56"/>
      <c r="S81" s="129"/>
      <c r="T81" s="105"/>
      <c r="U81" s="133"/>
      <c r="V81" s="133"/>
      <c r="W81" s="133"/>
      <c r="X81" s="133"/>
      <c r="Y81" s="133"/>
      <c r="Z81" s="134"/>
      <c r="AA81" s="6"/>
      <c r="AS81">
        <v>0.34905610687022898</v>
      </c>
      <c r="AX81">
        <v>0</v>
      </c>
      <c r="BB81">
        <v>0</v>
      </c>
      <c r="BE81" s="41">
        <f t="shared" si="0"/>
        <v>0</v>
      </c>
      <c r="BF81" s="41">
        <f t="shared" si="1"/>
        <v>0</v>
      </c>
      <c r="BG81" s="41">
        <f t="shared" si="2"/>
        <v>0</v>
      </c>
      <c r="BH81" s="41">
        <f t="shared" si="3"/>
        <v>0</v>
      </c>
      <c r="BI81" s="41">
        <f t="shared" si="4"/>
        <v>0</v>
      </c>
      <c r="BJ81" s="41">
        <f t="shared" si="5"/>
        <v>0</v>
      </c>
      <c r="BK81" s="41">
        <f t="shared" si="6"/>
        <v>0</v>
      </c>
      <c r="BL81" s="41">
        <f t="shared" si="7"/>
        <v>0</v>
      </c>
      <c r="BM81" s="41">
        <f t="shared" si="8"/>
        <v>0</v>
      </c>
      <c r="BN81" s="41">
        <f t="shared" si="9"/>
        <v>0</v>
      </c>
      <c r="BO81" s="41">
        <f t="shared" si="10"/>
        <v>0</v>
      </c>
      <c r="BP81" s="41">
        <f t="shared" si="11"/>
        <v>0</v>
      </c>
      <c r="BQ81" s="41">
        <f t="shared" si="12"/>
        <v>0</v>
      </c>
      <c r="BR81" s="41">
        <f t="shared" si="13"/>
        <v>0</v>
      </c>
      <c r="BS81" s="41">
        <f t="shared" si="14"/>
        <v>0</v>
      </c>
      <c r="BT81" s="41">
        <f t="shared" si="15"/>
        <v>0</v>
      </c>
      <c r="BU81" s="41"/>
      <c r="BV81" s="41"/>
      <c r="BW81" s="41"/>
      <c r="BX81" s="41"/>
      <c r="BY81" s="41"/>
      <c r="BZ81" s="41"/>
      <c r="CA81" s="41"/>
      <c r="CB81" s="41"/>
      <c r="CC81" s="41"/>
      <c r="CD81" s="41"/>
      <c r="CE81" s="41"/>
      <c r="CF81" s="41"/>
      <c r="CG81" s="41"/>
      <c r="CH81" s="41"/>
      <c r="CI81" s="41"/>
      <c r="CJ81" s="41"/>
      <c r="CK81" s="41"/>
      <c r="CL81" s="41"/>
      <c r="CM81" s="41"/>
      <c r="CN81" s="41"/>
      <c r="CO81" s="41"/>
      <c r="CP81" s="41"/>
    </row>
    <row r="82" spans="7:94" x14ac:dyDescent="0.3">
      <c r="G82" s="64"/>
      <c r="H82" s="64"/>
      <c r="I82" s="64"/>
      <c r="J82" s="64"/>
      <c r="K82" s="54" t="s">
        <v>37</v>
      </c>
      <c r="L82" s="64"/>
      <c r="M82" s="65"/>
      <c r="N82" s="64"/>
      <c r="O82" s="54" t="s">
        <v>371</v>
      </c>
      <c r="P82" s="64"/>
      <c r="Q82" s="57">
        <f>c_lung+c_hosp_fu+c_CSG</f>
        <v>54529.510902399998</v>
      </c>
      <c r="R82" s="57"/>
      <c r="S82" s="129"/>
      <c r="T82" s="105"/>
      <c r="U82" s="133"/>
      <c r="V82" s="133"/>
      <c r="W82" s="133"/>
      <c r="X82" s="133"/>
      <c r="Y82" s="133"/>
      <c r="Z82" s="134"/>
      <c r="AA82" s="6"/>
      <c r="AM82" t="s">
        <v>37</v>
      </c>
      <c r="AQ82" t="s">
        <v>371</v>
      </c>
      <c r="AS82">
        <v>42323.200000000004</v>
      </c>
      <c r="AX82">
        <v>0</v>
      </c>
      <c r="BB82">
        <v>0</v>
      </c>
      <c r="BE82" s="41">
        <f t="shared" si="0"/>
        <v>0</v>
      </c>
      <c r="BF82" s="41">
        <f t="shared" si="1"/>
        <v>0</v>
      </c>
      <c r="BG82" s="41">
        <f t="shared" si="2"/>
        <v>0</v>
      </c>
      <c r="BH82" s="41">
        <f t="shared" si="3"/>
        <v>0</v>
      </c>
      <c r="BI82" s="41">
        <f t="shared" si="4"/>
        <v>0</v>
      </c>
      <c r="BJ82" s="41">
        <f t="shared" si="5"/>
        <v>0</v>
      </c>
      <c r="BK82" s="41">
        <f t="shared" si="6"/>
        <v>0</v>
      </c>
      <c r="BL82" s="41">
        <f t="shared" si="7"/>
        <v>0</v>
      </c>
      <c r="BM82" s="41">
        <f t="shared" si="8"/>
        <v>0</v>
      </c>
      <c r="BN82" s="41">
        <f t="shared" si="9"/>
        <v>0</v>
      </c>
      <c r="BO82" s="41">
        <f t="shared" si="10"/>
        <v>0</v>
      </c>
      <c r="BP82" s="41">
        <f t="shared" si="11"/>
        <v>0</v>
      </c>
      <c r="BQ82" s="41">
        <f t="shared" si="12"/>
        <v>1</v>
      </c>
      <c r="BR82" s="41">
        <f t="shared" si="13"/>
        <v>0</v>
      </c>
      <c r="BS82" s="41">
        <f t="shared" si="14"/>
        <v>0</v>
      </c>
      <c r="BT82" s="41">
        <f t="shared" si="15"/>
        <v>0</v>
      </c>
      <c r="BU82" s="41"/>
      <c r="BV82" s="41"/>
      <c r="BW82" s="41"/>
      <c r="BX82" s="41"/>
      <c r="BY82" s="41"/>
      <c r="BZ82" s="41"/>
      <c r="CA82" s="41"/>
      <c r="CB82" s="41"/>
      <c r="CC82" s="41"/>
      <c r="CD82" s="41"/>
      <c r="CE82" s="41"/>
      <c r="CF82" s="41"/>
      <c r="CG82" s="41"/>
      <c r="CH82" s="41"/>
      <c r="CI82" s="41"/>
      <c r="CJ82" s="41"/>
      <c r="CK82" s="41"/>
      <c r="CL82" s="41"/>
      <c r="CM82" s="41"/>
      <c r="CN82" s="41"/>
      <c r="CO82" s="41"/>
      <c r="CP82" s="41"/>
    </row>
    <row r="83" spans="7:94" x14ac:dyDescent="0.3">
      <c r="G83" s="64"/>
      <c r="H83" s="64"/>
      <c r="I83" s="64"/>
      <c r="J83" s="64"/>
      <c r="K83" s="56">
        <f>AGA_prem_2s_1</f>
        <v>0.96869424999999998</v>
      </c>
      <c r="L83" s="64"/>
      <c r="M83" s="64"/>
      <c r="N83" s="64"/>
      <c r="O83" s="56">
        <f>AGA_prem_2normoglycaemia_1</f>
        <v>0.85</v>
      </c>
      <c r="P83" s="64"/>
      <c r="Q83" s="54" t="s">
        <v>226</v>
      </c>
      <c r="R83" s="54"/>
      <c r="S83" s="129"/>
      <c r="T83" s="105"/>
      <c r="U83" s="133">
        <f>$K$83*$I$72*$G$40*$E$78*$C$148*$A$103*$M$78*$O$83*Q84</f>
        <v>2.7199725925339648E-4</v>
      </c>
      <c r="V83" s="133">
        <v>4.2226859082928909E-4</v>
      </c>
      <c r="W83" s="134">
        <f>$K$84+$I$73+$G$41+$E$79+$C$149+$A$104+$M$79+$O$84+Q85</f>
        <v>248068.27745631372</v>
      </c>
      <c r="X83" s="133">
        <f>u_CongnitiveImpairement</f>
        <v>17.270393127285455</v>
      </c>
      <c r="Y83" s="133"/>
      <c r="Z83" s="134">
        <f>U83*W83</f>
        <v>67.473891575828446</v>
      </c>
      <c r="AA83" s="6">
        <f>U83*X83</f>
        <v>4.6974995968503391E-3</v>
      </c>
      <c r="AM83">
        <v>0.96482500000000004</v>
      </c>
      <c r="AQ83">
        <v>0.85</v>
      </c>
      <c r="AS83" t="s">
        <v>226</v>
      </c>
      <c r="AV83">
        <v>4.2226859082928909E-4</v>
      </c>
      <c r="AW83">
        <v>4.2226859082928909E-4</v>
      </c>
      <c r="AX83">
        <v>0</v>
      </c>
      <c r="AY83">
        <v>788507.34</v>
      </c>
      <c r="AZ83">
        <v>17.270393127285455</v>
      </c>
      <c r="BB83">
        <v>7.2927445689266682E-3</v>
      </c>
      <c r="BE83" s="41">
        <f t="shared" si="0"/>
        <v>0</v>
      </c>
      <c r="BF83" s="41">
        <f t="shared" si="1"/>
        <v>0</v>
      </c>
      <c r="BG83" s="41">
        <f t="shared" si="2"/>
        <v>0</v>
      </c>
      <c r="BH83" s="41">
        <f t="shared" si="3"/>
        <v>0</v>
      </c>
      <c r="BI83" s="41">
        <f t="shared" si="4"/>
        <v>0</v>
      </c>
      <c r="BJ83" s="41">
        <f t="shared" si="5"/>
        <v>0</v>
      </c>
      <c r="BK83" s="41">
        <f t="shared" si="6"/>
        <v>1</v>
      </c>
      <c r="BL83" s="41">
        <f t="shared" si="7"/>
        <v>0</v>
      </c>
      <c r="BM83" s="41">
        <f t="shared" si="8"/>
        <v>0</v>
      </c>
      <c r="BN83" s="41">
        <f t="shared" si="9"/>
        <v>0</v>
      </c>
      <c r="BO83" s="41">
        <f t="shared" si="10"/>
        <v>0</v>
      </c>
      <c r="BP83" s="41">
        <f t="shared" si="11"/>
        <v>0</v>
      </c>
      <c r="BQ83" s="41">
        <f t="shared" si="12"/>
        <v>0</v>
      </c>
      <c r="BR83" s="41">
        <f t="shared" si="13"/>
        <v>0</v>
      </c>
      <c r="BS83" s="41">
        <f t="shared" si="14"/>
        <v>0</v>
      </c>
      <c r="BT83" s="41">
        <f t="shared" si="15"/>
        <v>1</v>
      </c>
      <c r="BU83" s="41"/>
      <c r="BV83" s="41"/>
      <c r="BW83" s="41"/>
      <c r="BX83" s="41"/>
      <c r="BY83" s="41"/>
      <c r="BZ83" s="41"/>
      <c r="CA83" s="41"/>
      <c r="CB83" s="41"/>
      <c r="CC83" s="41"/>
      <c r="CD83" s="41"/>
      <c r="CE83" s="41"/>
      <c r="CF83" s="41"/>
      <c r="CG83" s="41"/>
      <c r="CH83" s="41"/>
      <c r="CI83" s="41"/>
      <c r="CJ83" s="41"/>
      <c r="CK83" s="41"/>
      <c r="CL83" s="41"/>
      <c r="CM83" s="41"/>
      <c r="CN83" s="41"/>
      <c r="CO83" s="41"/>
      <c r="CP83" s="41"/>
    </row>
    <row r="84" spans="7:94" x14ac:dyDescent="0.3">
      <c r="G84" s="64"/>
      <c r="H84" s="64"/>
      <c r="I84" s="64"/>
      <c r="J84" s="64"/>
      <c r="K84" s="57"/>
      <c r="L84" s="64"/>
      <c r="M84" s="64"/>
      <c r="N84" s="64"/>
      <c r="O84" s="57"/>
      <c r="P84" s="64"/>
      <c r="Q84" s="56">
        <f>noHypo2CI_1-(RDS2CLD_1*noHypo2CI_1)</f>
        <v>2.1141683406990762E-2</v>
      </c>
      <c r="R84" s="56"/>
      <c r="S84" s="129"/>
      <c r="T84" s="105"/>
      <c r="U84" s="133"/>
      <c r="V84" s="133"/>
      <c r="W84" s="133"/>
      <c r="X84" s="133"/>
      <c r="Y84" s="133"/>
      <c r="Z84" s="134"/>
      <c r="AA84" s="6"/>
    </row>
    <row r="85" spans="7:94" x14ac:dyDescent="0.3">
      <c r="H85" s="64"/>
      <c r="I85" s="64"/>
      <c r="J85" s="64"/>
      <c r="K85" s="64"/>
      <c r="L85" s="64"/>
      <c r="M85" s="64"/>
      <c r="N85" s="64"/>
      <c r="O85" s="53"/>
      <c r="P85" s="64"/>
      <c r="Q85" s="57">
        <f>c_cog+c_hosp_fu+c_CSG</f>
        <v>15766</v>
      </c>
      <c r="R85" s="57"/>
      <c r="S85" s="129"/>
      <c r="T85" s="105"/>
      <c r="U85" s="133"/>
      <c r="V85" s="133"/>
      <c r="W85" s="133"/>
      <c r="X85" s="133"/>
      <c r="Y85" s="133"/>
      <c r="Z85" s="134"/>
      <c r="AA85" s="6"/>
    </row>
    <row r="86" spans="7:94" x14ac:dyDescent="0.3">
      <c r="H86" s="64"/>
      <c r="I86" s="64"/>
      <c r="J86" s="64"/>
      <c r="K86" s="64"/>
      <c r="L86" s="64"/>
      <c r="M86" s="64"/>
      <c r="N86" s="64"/>
      <c r="O86" s="53"/>
      <c r="P86" s="64"/>
      <c r="Q86" s="54" t="s">
        <v>369</v>
      </c>
      <c r="R86" s="54"/>
      <c r="S86" s="129"/>
      <c r="T86" s="105"/>
      <c r="U86" s="133">
        <f>$K$83*$I$72*$G$40*$E$78*$C$148*$A$103*$M$78*$O$83*Q87</f>
        <v>1.5366355334972789E-4</v>
      </c>
      <c r="V86" s="133">
        <v>2.3855862486599894E-4</v>
      </c>
      <c r="W86" s="134">
        <f>$K$84+$I$73+$G$41+$E$79+$C$149+$A$104+$M$79+$O$84+Q88</f>
        <v>290650.78835871373</v>
      </c>
      <c r="X86" s="133">
        <f>u_ChronicResp+u_CongnitiveImpairement</f>
        <v>17.805052694763283</v>
      </c>
      <c r="Y86" s="133"/>
      <c r="Z86" s="134">
        <f>U86*W86</f>
        <v>44.662432923099679</v>
      </c>
      <c r="AA86" s="6">
        <f>U86*X86</f>
        <v>2.735987664656474E-3</v>
      </c>
    </row>
    <row r="87" spans="7:94" x14ac:dyDescent="0.3">
      <c r="H87" s="64"/>
      <c r="I87" s="64"/>
      <c r="J87" s="64"/>
      <c r="K87" s="64"/>
      <c r="L87" s="64"/>
      <c r="M87" s="64"/>
      <c r="N87" s="64"/>
      <c r="O87" s="53"/>
      <c r="P87" s="64"/>
      <c r="Q87" s="56">
        <f>RDS2CLD_1*noHypo2CI_1</f>
        <v>1.1943893129770991E-2</v>
      </c>
      <c r="R87" s="56"/>
      <c r="S87" s="129"/>
      <c r="T87" s="105"/>
      <c r="U87" s="133"/>
      <c r="V87" s="133"/>
      <c r="W87" s="133"/>
      <c r="X87" s="133"/>
      <c r="Y87" s="133"/>
      <c r="Z87" s="134"/>
      <c r="AA87" s="6"/>
    </row>
    <row r="88" spans="7:94" x14ac:dyDescent="0.3">
      <c r="G88" s="64"/>
      <c r="H88" s="64"/>
      <c r="I88" s="64"/>
      <c r="J88" s="64"/>
      <c r="K88" s="64"/>
      <c r="L88" s="64"/>
      <c r="M88" s="64"/>
      <c r="N88" s="64"/>
      <c r="O88" s="53"/>
      <c r="P88" s="64"/>
      <c r="Q88" s="57">
        <f>c_cog+c_lung+c_hosp_fu+c_CSG</f>
        <v>58348.510902399998</v>
      </c>
      <c r="R88" s="57"/>
      <c r="S88" s="129"/>
      <c r="T88" s="105"/>
      <c r="U88" s="133"/>
      <c r="V88" s="133"/>
      <c r="W88" s="133"/>
      <c r="X88" s="133"/>
      <c r="Y88" s="133"/>
      <c r="Z88" s="134"/>
      <c r="AA88" s="6"/>
    </row>
    <row r="89" spans="7:94" x14ac:dyDescent="0.3">
      <c r="G89" s="64"/>
      <c r="H89" s="64"/>
      <c r="I89" s="64"/>
      <c r="J89" s="64"/>
      <c r="K89" s="64"/>
      <c r="L89" s="64"/>
      <c r="M89" s="64"/>
      <c r="N89" s="64"/>
      <c r="O89" s="53"/>
      <c r="P89" s="64"/>
      <c r="Q89" s="54" t="s">
        <v>370</v>
      </c>
      <c r="R89" s="54"/>
      <c r="S89" s="129"/>
      <c r="T89" s="105"/>
      <c r="U89" s="133">
        <f>$K$83*$I$72*$G$40*$E$78*$C$148*$A$103*$M$78*$O$83*Q90</f>
        <v>7.9490249421030577E-3</v>
      </c>
      <c r="V89" s="133">
        <v>1.2340652144739632E-2</v>
      </c>
      <c r="W89" s="134">
        <f>$K$84+$I$73+$G$41+$E$79+$C$149+$A$104+$M$79+$O$84+Q91</f>
        <v>246705.27745631372</v>
      </c>
      <c r="X89" s="133">
        <f>u_Healthy</f>
        <v>0</v>
      </c>
      <c r="Y89" s="133"/>
      <c r="Z89" s="134">
        <f>U89*W89</f>
        <v>1961.066403848693</v>
      </c>
      <c r="AA89" s="6">
        <f>U89*X89</f>
        <v>0</v>
      </c>
    </row>
    <row r="90" spans="7:94" x14ac:dyDescent="0.3">
      <c r="G90" s="64"/>
      <c r="H90" s="64"/>
      <c r="I90" s="64"/>
      <c r="J90" s="64"/>
      <c r="K90" s="64"/>
      <c r="L90" s="64"/>
      <c r="M90" s="64"/>
      <c r="N90" s="64"/>
      <c r="O90" s="53"/>
      <c r="P90" s="64"/>
      <c r="Q90" s="56">
        <f>1-Q87-Q84-Q81</f>
        <v>0.61785831659300938</v>
      </c>
      <c r="R90" s="56"/>
      <c r="T90" s="105"/>
      <c r="U90" s="133"/>
      <c r="V90" s="133"/>
      <c r="W90" s="133"/>
      <c r="X90" s="133"/>
      <c r="Y90" s="133"/>
      <c r="Z90" s="134"/>
      <c r="AA90" s="6"/>
    </row>
    <row r="91" spans="7:94" x14ac:dyDescent="0.3">
      <c r="G91" s="64"/>
      <c r="H91" s="64"/>
      <c r="I91" s="64"/>
      <c r="J91" s="64"/>
      <c r="K91" s="64"/>
      <c r="L91" s="64"/>
      <c r="M91" s="64"/>
      <c r="N91" s="64"/>
      <c r="O91" s="64"/>
      <c r="P91" s="64"/>
      <c r="Q91" s="57">
        <f>c_clinic_fu+c_CSG</f>
        <v>14403</v>
      </c>
      <c r="R91" s="57"/>
      <c r="S91" s="129"/>
      <c r="T91" s="105"/>
      <c r="U91" s="133"/>
      <c r="V91" s="133"/>
      <c r="W91" s="133"/>
      <c r="X91" s="133"/>
      <c r="Y91" s="133"/>
      <c r="Z91" s="134"/>
      <c r="AA91" s="6"/>
    </row>
    <row r="92" spans="7:94" x14ac:dyDescent="0.3">
      <c r="G92" s="64"/>
      <c r="H92" s="64"/>
      <c r="I92" s="64"/>
      <c r="J92" s="64"/>
      <c r="K92" s="64"/>
      <c r="L92" s="64"/>
      <c r="M92" s="64"/>
      <c r="N92" s="64"/>
      <c r="O92" s="64"/>
      <c r="P92" s="64"/>
      <c r="Q92" s="65"/>
      <c r="R92" s="65"/>
      <c r="S92" s="129"/>
      <c r="T92" s="105"/>
      <c r="U92" s="133"/>
      <c r="V92" s="133"/>
      <c r="W92" s="133"/>
      <c r="X92" s="133"/>
      <c r="Y92" s="133"/>
      <c r="Z92" s="134"/>
      <c r="AA92" s="6"/>
    </row>
    <row r="93" spans="7:94" x14ac:dyDescent="0.3">
      <c r="G93" s="64"/>
      <c r="H93" s="64"/>
      <c r="I93" s="64"/>
      <c r="J93" s="64"/>
      <c r="K93" s="64"/>
      <c r="L93" s="64"/>
      <c r="M93" s="64"/>
      <c r="N93" s="64"/>
      <c r="O93" s="64"/>
      <c r="P93" s="64"/>
      <c r="Q93" s="65"/>
      <c r="R93" s="65"/>
      <c r="S93" s="129"/>
      <c r="T93" s="105"/>
      <c r="U93" s="133"/>
      <c r="V93" s="133"/>
      <c r="W93" s="133"/>
      <c r="X93" s="133"/>
      <c r="Y93" s="133"/>
      <c r="Z93" s="134"/>
      <c r="AA93" s="6"/>
    </row>
    <row r="94" spans="7:94" x14ac:dyDescent="0.3">
      <c r="G94" s="64"/>
      <c r="H94" s="64"/>
      <c r="I94" s="64"/>
      <c r="J94" s="64"/>
      <c r="K94" s="64"/>
      <c r="L94" s="64"/>
      <c r="M94" s="64"/>
      <c r="N94" s="64"/>
      <c r="O94" s="64"/>
      <c r="P94" s="64"/>
      <c r="Q94" s="54" t="s">
        <v>368</v>
      </c>
      <c r="R94" s="54"/>
      <c r="S94" s="129"/>
      <c r="T94" s="105"/>
      <c r="U94" s="133">
        <f>$K$83*$I$72*$G$40*$E$78*$C$148*$A$103*$M$99*$O$97*Q95</f>
        <v>0</v>
      </c>
      <c r="V94" s="133">
        <v>0</v>
      </c>
      <c r="W94" s="134">
        <f>$K$84+$I$73+$G$41+$E$79+$C$149+$A$104+$M$100+$O$98+Q96</f>
        <v>259172.43861050811</v>
      </c>
      <c r="X94" s="133">
        <f>u_ChronicResp</f>
        <v>0.53465956747782661</v>
      </c>
      <c r="Y94" s="133"/>
      <c r="Z94" s="134">
        <f>U94*W94</f>
        <v>0</v>
      </c>
      <c r="AA94" s="6">
        <f>U94*X94</f>
        <v>0</v>
      </c>
    </row>
    <row r="95" spans="7:94" x14ac:dyDescent="0.3">
      <c r="G95" s="64"/>
      <c r="H95" s="64"/>
      <c r="I95" s="64"/>
      <c r="J95" s="64"/>
      <c r="K95" s="64"/>
      <c r="L95" s="64"/>
      <c r="M95" s="64"/>
      <c r="N95" s="64"/>
      <c r="O95" s="64"/>
      <c r="P95" s="64"/>
      <c r="Q95" s="56">
        <f>noRDS2CLD_1-(Hypo2CI_1*noRDS2CLD_1)</f>
        <v>0</v>
      </c>
      <c r="R95" s="56"/>
      <c r="S95" s="129"/>
      <c r="T95" s="105"/>
      <c r="U95" s="133"/>
      <c r="V95" s="133"/>
      <c r="W95" s="133"/>
      <c r="X95" s="133"/>
      <c r="Y95" s="133"/>
      <c r="Z95" s="134"/>
      <c r="AA95" s="6"/>
    </row>
    <row r="96" spans="7:94" x14ac:dyDescent="0.3">
      <c r="G96" s="64"/>
      <c r="H96" s="64"/>
      <c r="I96" s="64"/>
      <c r="J96" s="64"/>
      <c r="K96" s="64"/>
      <c r="L96" s="64"/>
      <c r="M96" s="64"/>
      <c r="N96" s="64"/>
      <c r="O96" s="54" t="s">
        <v>161</v>
      </c>
      <c r="P96" s="64"/>
      <c r="Q96" s="57">
        <f>c_lung+c_hosp_fu+c_CSG</f>
        <v>54529.510902399998</v>
      </c>
      <c r="R96" s="57"/>
      <c r="S96" s="129"/>
      <c r="T96" s="105"/>
      <c r="U96" s="133"/>
      <c r="V96" s="133"/>
      <c r="W96" s="133"/>
      <c r="X96" s="133"/>
      <c r="Y96" s="133"/>
      <c r="Z96" s="134"/>
      <c r="AA96" s="6"/>
    </row>
    <row r="97" spans="1:27" x14ac:dyDescent="0.3">
      <c r="G97" s="64"/>
      <c r="H97" s="64"/>
      <c r="I97" s="64"/>
      <c r="J97" s="64"/>
      <c r="K97" s="64"/>
      <c r="L97" s="64"/>
      <c r="M97" s="64"/>
      <c r="N97" s="64"/>
      <c r="O97" s="56">
        <f>AGA_prem_2hypoglycaemia_1</f>
        <v>0.15</v>
      </c>
      <c r="P97" s="64"/>
      <c r="Q97" s="54" t="s">
        <v>226</v>
      </c>
      <c r="R97" s="54"/>
      <c r="S97" s="129"/>
      <c r="T97" s="105"/>
      <c r="U97" s="133">
        <f>$K$83*$I$72*$G$40*$E$78*$C$148*$A$103*$M$99*$O$97*Q98</f>
        <v>1.4244491095254873E-4</v>
      </c>
      <c r="V97" s="133">
        <v>2.2114197762081018E-4</v>
      </c>
      <c r="W97" s="134">
        <f>$K$84+$I$73+$G$41+$E$79+$C$149+$A$104+$M$100+$O$98+Q99</f>
        <v>220408.92770810809</v>
      </c>
      <c r="X97" s="133">
        <f>u_CongnitiveImpairement</f>
        <v>17.270393127285455</v>
      </c>
      <c r="Y97" s="133"/>
      <c r="Z97" s="134">
        <f>U97*W97</f>
        <v>31.396130080528206</v>
      </c>
      <c r="AA97" s="6">
        <f>U97*X97</f>
        <v>2.4600796111316861E-3</v>
      </c>
    </row>
    <row r="98" spans="1:27" x14ac:dyDescent="0.3">
      <c r="G98" s="64"/>
      <c r="H98" s="64"/>
      <c r="I98" s="64"/>
      <c r="J98" s="64"/>
      <c r="K98" s="64"/>
      <c r="L98" s="64"/>
      <c r="M98" s="54" t="s">
        <v>203</v>
      </c>
      <c r="N98" s="64"/>
      <c r="O98" s="57">
        <f>c_hypo</f>
        <v>2936.2604000000001</v>
      </c>
      <c r="P98" s="64"/>
      <c r="Q98" s="56">
        <f>Hypo2CI_1-(Hypo2CI_1*noRDS2CLD_1)</f>
        <v>5.1333333333333335E-2</v>
      </c>
      <c r="R98" s="56"/>
      <c r="S98" s="129"/>
      <c r="T98" s="105"/>
      <c r="U98" s="133"/>
      <c r="V98" s="133"/>
      <c r="W98" s="133"/>
      <c r="X98" s="133"/>
      <c r="Y98" s="133"/>
      <c r="Z98" s="134"/>
      <c r="AA98" s="6"/>
    </row>
    <row r="99" spans="1:27" x14ac:dyDescent="0.3">
      <c r="G99" s="64"/>
      <c r="H99" s="64"/>
      <c r="I99" s="64"/>
      <c r="J99" s="64"/>
      <c r="K99" s="64"/>
      <c r="L99" s="64"/>
      <c r="M99" s="56">
        <f>S_prem_2noRDS_1</f>
        <v>0.55000000000000004</v>
      </c>
      <c r="N99" s="64"/>
      <c r="O99" s="53"/>
      <c r="P99" s="64"/>
      <c r="Q99" s="57">
        <f>c_cog+c_hosp_fu+c_CSG</f>
        <v>15766</v>
      </c>
      <c r="R99" s="57"/>
      <c r="S99" s="129"/>
      <c r="T99" s="105"/>
      <c r="U99" s="133"/>
      <c r="V99" s="133"/>
      <c r="W99" s="133"/>
      <c r="X99" s="133"/>
      <c r="Y99" s="133"/>
      <c r="Z99" s="134"/>
      <c r="AA99" s="6"/>
    </row>
    <row r="100" spans="1:27" x14ac:dyDescent="0.3">
      <c r="G100" s="64"/>
      <c r="H100" s="64"/>
      <c r="I100" s="64"/>
      <c r="J100" s="64"/>
      <c r="K100" s="64"/>
      <c r="L100" s="64"/>
      <c r="M100" s="57"/>
      <c r="N100" s="64"/>
      <c r="O100" s="65"/>
      <c r="P100" s="64"/>
      <c r="Q100" s="54" t="s">
        <v>369</v>
      </c>
      <c r="R100" s="54"/>
      <c r="S100" s="129"/>
      <c r="T100" s="105"/>
      <c r="U100" s="133">
        <f>$K$83*$I$72*$G$40*$E$78*$C$148*$A$103*$M$99*$O$97*Q101</f>
        <v>0</v>
      </c>
      <c r="V100" s="133">
        <v>0</v>
      </c>
      <c r="W100" s="134">
        <f>$K$84+$I$73+$G$41+$E$79+$C$149+$A$104+$M$100+$O$98+Q102</f>
        <v>262991.43861050811</v>
      </c>
      <c r="X100" s="133">
        <f>u_ChronicResp+u_CongnitiveImpairement</f>
        <v>17.805052694763283</v>
      </c>
      <c r="Y100" s="133"/>
      <c r="Z100" s="134">
        <f>U100*W100</f>
        <v>0</v>
      </c>
      <c r="AA100" s="6">
        <f>U100*X100</f>
        <v>0</v>
      </c>
    </row>
    <row r="101" spans="1:27" x14ac:dyDescent="0.3">
      <c r="A101" t="s">
        <v>293</v>
      </c>
      <c r="G101" s="64"/>
      <c r="H101" s="64"/>
      <c r="I101" s="53"/>
      <c r="J101" s="53"/>
      <c r="K101" s="64"/>
      <c r="L101" s="64"/>
      <c r="M101" s="65"/>
      <c r="N101" s="64"/>
      <c r="O101" s="41"/>
      <c r="P101" s="64"/>
      <c r="Q101" s="56">
        <f>noRDS2CLD_1*Hypo2CI_1</f>
        <v>0</v>
      </c>
      <c r="R101" s="56"/>
      <c r="S101" s="129"/>
      <c r="T101" s="105"/>
      <c r="U101" s="133"/>
      <c r="V101" s="133"/>
      <c r="W101" s="134"/>
      <c r="X101" s="133"/>
      <c r="Y101" s="133"/>
      <c r="Z101" s="134"/>
      <c r="AA101" s="6"/>
    </row>
    <row r="102" spans="1:27" x14ac:dyDescent="0.3">
      <c r="A102" s="54" t="s">
        <v>202</v>
      </c>
      <c r="G102" s="64"/>
      <c r="H102" s="64"/>
      <c r="I102" s="53"/>
      <c r="J102" s="53"/>
      <c r="K102" s="64"/>
      <c r="L102" s="64"/>
      <c r="M102" s="65"/>
      <c r="N102" s="64"/>
      <c r="O102" s="41"/>
      <c r="P102" s="64"/>
      <c r="Q102" s="57">
        <f>c_lung+c_cog+c_hosp_fu+c_CSG</f>
        <v>58348.510902399998</v>
      </c>
      <c r="R102" s="57"/>
      <c r="S102" s="129"/>
      <c r="T102" s="105"/>
      <c r="U102" s="133"/>
      <c r="V102" s="133"/>
      <c r="W102" s="133"/>
      <c r="X102" s="133"/>
      <c r="Y102" s="133"/>
      <c r="Z102" s="134"/>
      <c r="AA102" s="6"/>
    </row>
    <row r="103" spans="1:27" x14ac:dyDescent="0.3">
      <c r="A103" s="56">
        <f>G2ANC</f>
        <v>0.91493099999999994</v>
      </c>
      <c r="B103">
        <f>NoG2ANC</f>
        <v>0.83099999999999996</v>
      </c>
      <c r="C103" t="b">
        <f>B103=A103</f>
        <v>0</v>
      </c>
      <c r="G103" s="64"/>
      <c r="H103" s="64"/>
      <c r="I103" s="53"/>
      <c r="J103" s="53"/>
      <c r="K103" s="64"/>
      <c r="L103" s="64"/>
      <c r="M103" s="65"/>
      <c r="N103" s="64"/>
      <c r="O103" s="41"/>
      <c r="P103" s="64"/>
      <c r="Q103" s="54" t="s">
        <v>370</v>
      </c>
      <c r="R103" s="54"/>
      <c r="S103" s="129"/>
      <c r="T103" s="105"/>
      <c r="U103" s="133">
        <f>$K$83*$I$72*$G$40*$E$78*$C$148*$A$103*$M$99*$O$97*Q104</f>
        <v>2.6324559517594392E-3</v>
      </c>
      <c r="V103" s="133">
        <v>4.0868186253819857E-3</v>
      </c>
      <c r="W103" s="134">
        <f>$K$84+$I$73+$G$41+$E$79+$C$149+$A$104+$M$100+$O$98+Q105</f>
        <v>219045.92770810809</v>
      </c>
      <c r="X103" s="133">
        <f>u_Healthy</f>
        <v>0</v>
      </c>
      <c r="Y103" s="133"/>
      <c r="Z103" s="134">
        <f>U103*W103</f>
        <v>576.62875610387698</v>
      </c>
      <c r="AA103" s="6">
        <f>U103*X103</f>
        <v>0</v>
      </c>
    </row>
    <row r="104" spans="1:27" x14ac:dyDescent="0.3">
      <c r="A104" s="57">
        <f>c_ANC+c_grant</f>
        <v>2477</v>
      </c>
      <c r="G104" s="64"/>
      <c r="H104" s="64"/>
      <c r="I104" s="53"/>
      <c r="J104" s="53"/>
      <c r="K104" s="64"/>
      <c r="L104" s="64"/>
      <c r="M104" s="65"/>
      <c r="N104" s="64"/>
      <c r="O104" s="65"/>
      <c r="P104" s="64"/>
      <c r="Q104" s="56">
        <f>1-Q101-Q98-Q95</f>
        <v>0.94866666666666666</v>
      </c>
      <c r="R104" s="56"/>
      <c r="S104" s="129"/>
      <c r="T104" s="105"/>
      <c r="U104" s="133"/>
      <c r="V104" s="133"/>
      <c r="W104" s="134"/>
      <c r="X104" s="133"/>
      <c r="Y104" s="133"/>
      <c r="Z104" s="134"/>
      <c r="AA104" s="6"/>
    </row>
    <row r="105" spans="1:27" x14ac:dyDescent="0.3">
      <c r="G105" s="64"/>
      <c r="H105" s="64"/>
      <c r="I105" s="53"/>
      <c r="J105" s="53"/>
      <c r="K105" s="64"/>
      <c r="L105" s="64"/>
      <c r="M105" s="65"/>
      <c r="N105" s="64"/>
      <c r="O105" s="64"/>
      <c r="P105" s="64"/>
      <c r="Q105" s="57">
        <f>c_clinic_fu+c_CSG</f>
        <v>14403</v>
      </c>
      <c r="R105" s="57"/>
      <c r="T105" s="105"/>
      <c r="U105" s="133"/>
      <c r="V105" s="133"/>
      <c r="W105" s="133"/>
      <c r="X105" s="133"/>
      <c r="Y105" s="133"/>
      <c r="Z105" s="134"/>
      <c r="AA105" s="6"/>
    </row>
    <row r="106" spans="1:27" x14ac:dyDescent="0.3">
      <c r="G106" s="64"/>
      <c r="H106" s="64"/>
      <c r="J106" s="64"/>
      <c r="K106" s="64"/>
      <c r="L106" s="64"/>
      <c r="M106" s="65"/>
      <c r="N106" s="64"/>
      <c r="O106" s="64"/>
      <c r="P106" s="64"/>
      <c r="Q106" s="65"/>
      <c r="R106" s="65"/>
      <c r="S106" s="130"/>
      <c r="T106" s="105"/>
      <c r="U106" s="133"/>
      <c r="V106" s="133"/>
      <c r="W106" s="133"/>
      <c r="X106" s="133"/>
      <c r="Y106" s="133"/>
      <c r="Z106" s="134"/>
      <c r="AA106" s="6"/>
    </row>
    <row r="107" spans="1:27" x14ac:dyDescent="0.3">
      <c r="G107" s="64"/>
      <c r="H107" s="64"/>
      <c r="J107" s="64"/>
      <c r="K107" s="64"/>
      <c r="L107" s="64"/>
      <c r="M107" s="65"/>
      <c r="N107" s="64"/>
      <c r="O107" s="64"/>
      <c r="P107" s="64"/>
      <c r="Q107" s="54" t="s">
        <v>368</v>
      </c>
      <c r="R107" s="54"/>
      <c r="S107" s="129"/>
      <c r="T107" s="105"/>
      <c r="U107" s="133">
        <f>$K$83*$I$72*$G$40*$E$78*$C$148*$A$103*$M$99*$O$111*Q108</f>
        <v>0</v>
      </c>
      <c r="V107" s="133">
        <v>0</v>
      </c>
      <c r="W107" s="134">
        <f>$K$84+$I$73+$G$41+$E$79+$C$149+$A$104+$M$100+$O$112+$Q$109</f>
        <v>258265.43861050811</v>
      </c>
      <c r="X107" s="133">
        <f>u_ChronicResp</f>
        <v>0.53465956747782661</v>
      </c>
      <c r="Y107" s="133"/>
      <c r="Z107" s="134">
        <f>U107*W107</f>
        <v>0</v>
      </c>
      <c r="AA107" s="6">
        <f>U107*X107</f>
        <v>0</v>
      </c>
    </row>
    <row r="108" spans="1:27" x14ac:dyDescent="0.3">
      <c r="G108" s="64"/>
      <c r="H108" s="64"/>
      <c r="J108" s="64"/>
      <c r="K108" s="64"/>
      <c r="L108" s="64"/>
      <c r="M108" s="65"/>
      <c r="N108" s="64"/>
      <c r="O108" s="64"/>
      <c r="P108" s="64"/>
      <c r="Q108" s="56">
        <f>noRDS2CLD_1-(noRDS2CLD_1*noHypo2CI_1)</f>
        <v>0</v>
      </c>
      <c r="R108" s="56"/>
      <c r="S108" s="129"/>
      <c r="T108" s="105"/>
      <c r="U108" s="133"/>
      <c r="V108" s="133"/>
      <c r="W108" s="133"/>
      <c r="X108" s="133"/>
      <c r="Y108" s="133"/>
      <c r="Z108" s="134"/>
      <c r="AA108" s="6"/>
    </row>
    <row r="109" spans="1:27" x14ac:dyDescent="0.3">
      <c r="G109" s="64"/>
      <c r="H109" s="64"/>
      <c r="I109" s="64"/>
      <c r="J109" s="64"/>
      <c r="K109" s="64"/>
      <c r="L109" s="64"/>
      <c r="M109" s="65"/>
      <c r="N109" s="64"/>
      <c r="O109" s="64"/>
      <c r="P109" s="64"/>
      <c r="Q109" s="57">
        <f>c_lung+c_hypo+c_CSG</f>
        <v>56558.771302399997</v>
      </c>
      <c r="R109" s="57"/>
      <c r="S109" s="129"/>
      <c r="T109" s="105"/>
      <c r="U109" s="133"/>
      <c r="V109" s="133"/>
      <c r="W109" s="133"/>
      <c r="X109" s="133"/>
      <c r="Y109" s="133"/>
      <c r="Z109" s="134"/>
      <c r="AA109" s="6"/>
    </row>
    <row r="110" spans="1:27" x14ac:dyDescent="0.3">
      <c r="G110" s="64"/>
      <c r="H110" s="64"/>
      <c r="I110" s="64"/>
      <c r="J110" s="64"/>
      <c r="K110" s="64"/>
      <c r="L110" s="64"/>
      <c r="M110" s="65"/>
      <c r="N110" s="64"/>
      <c r="O110" s="54" t="s">
        <v>371</v>
      </c>
      <c r="P110" s="64"/>
      <c r="Q110" s="54" t="s">
        <v>226</v>
      </c>
      <c r="R110" s="54"/>
      <c r="S110" s="129"/>
      <c r="T110" s="105"/>
      <c r="U110" s="133">
        <f>$K$83*$I$72*$G$40*$E$78*$C$148*$A$103*$M$99*$O$111*Q111</f>
        <v>5.2025210429270763E-4</v>
      </c>
      <c r="V110" s="133">
        <v>8.0767770807201869E-4</v>
      </c>
      <c r="W110" s="134">
        <f>$K$84+$I$73+$G$41+$E$79+$C$149+$A$104+$M$100+$O$112+$Q$112</f>
        <v>217472.6673081081</v>
      </c>
      <c r="X110" s="133">
        <f>u_CongnitiveImpairement</f>
        <v>17.270393127285455</v>
      </c>
      <c r="Y110" s="133"/>
      <c r="Z110" s="134">
        <f>U110*W110</f>
        <v>113.14061279319117</v>
      </c>
      <c r="AA110" s="6">
        <f>U110*X110</f>
        <v>8.984958366432573E-3</v>
      </c>
    </row>
    <row r="111" spans="1:27" x14ac:dyDescent="0.3">
      <c r="G111" s="64"/>
      <c r="H111" s="64"/>
      <c r="I111" s="64"/>
      <c r="J111" s="64"/>
      <c r="K111" s="64"/>
      <c r="L111" s="64"/>
      <c r="M111" s="65"/>
      <c r="N111" s="64"/>
      <c r="O111" s="56">
        <f>AGA_prem_2normoglycaemia_1</f>
        <v>0.85</v>
      </c>
      <c r="P111" s="64"/>
      <c r="Q111" s="56">
        <f>noHypo2CI_1</f>
        <v>3.3085576536761752E-2</v>
      </c>
      <c r="R111" s="56"/>
      <c r="S111" s="129"/>
      <c r="T111" s="105"/>
      <c r="U111" s="133"/>
      <c r="V111" s="133"/>
      <c r="W111" s="133"/>
      <c r="X111" s="133"/>
      <c r="Y111" s="133"/>
      <c r="Z111" s="134"/>
      <c r="AA111" s="6"/>
    </row>
    <row r="112" spans="1:27" x14ac:dyDescent="0.3">
      <c r="G112" s="64"/>
      <c r="H112" s="64"/>
      <c r="I112" s="64"/>
      <c r="J112" s="64"/>
      <c r="K112" s="64"/>
      <c r="L112" s="64"/>
      <c r="M112" s="65"/>
      <c r="N112" s="64"/>
      <c r="O112" s="57"/>
      <c r="P112" s="64"/>
      <c r="Q112" s="57">
        <f>c_cog+c_hosp_fu+c_CSG</f>
        <v>15766</v>
      </c>
      <c r="R112" s="57"/>
      <c r="S112" s="129"/>
      <c r="T112" s="105"/>
      <c r="U112" s="133"/>
      <c r="V112" s="133"/>
      <c r="W112" s="133"/>
      <c r="X112" s="133"/>
      <c r="Y112" s="133"/>
      <c r="Z112" s="134"/>
      <c r="AA112" s="6"/>
    </row>
    <row r="113" spans="7:27" x14ac:dyDescent="0.3">
      <c r="G113" s="64"/>
      <c r="H113" s="64"/>
      <c r="I113" s="64"/>
      <c r="J113" s="64"/>
      <c r="K113" s="64"/>
      <c r="L113" s="64"/>
      <c r="M113" s="65"/>
      <c r="N113" s="64"/>
      <c r="O113" s="64"/>
      <c r="P113" s="64"/>
      <c r="Q113" s="54" t="s">
        <v>369</v>
      </c>
      <c r="R113" s="54"/>
      <c r="S113" s="129"/>
      <c r="T113" s="105"/>
      <c r="U113" s="133">
        <f>$K$83*$I$72*$G$40*$E$78*$C$148*$A$103*$M$99*$O$111*Q114</f>
        <v>0</v>
      </c>
      <c r="V113" s="133">
        <v>0</v>
      </c>
      <c r="W113" s="134">
        <f>$K$84+$I$73+$G$41+$E$79+$C$149+$A$104+$M$100+$O$112+$Q$115</f>
        <v>260055.17821050808</v>
      </c>
      <c r="X113" s="133">
        <f>u_ChronicResp+u_CongnitiveImpairement</f>
        <v>17.805052694763283</v>
      </c>
      <c r="Y113" s="133"/>
      <c r="Z113" s="134">
        <f>U113*W113</f>
        <v>0</v>
      </c>
      <c r="AA113" s="6">
        <f>U113*X113</f>
        <v>0</v>
      </c>
    </row>
    <row r="114" spans="7:27" x14ac:dyDescent="0.3">
      <c r="G114" s="64"/>
      <c r="H114" s="64"/>
      <c r="I114" s="64"/>
      <c r="J114" s="64"/>
      <c r="K114" s="64"/>
      <c r="L114" s="64"/>
      <c r="M114" s="53"/>
      <c r="N114" s="64"/>
      <c r="O114" s="64"/>
      <c r="P114" s="64"/>
      <c r="Q114" s="56">
        <f>noRDS2CLD_1*noHypo2CI_1</f>
        <v>0</v>
      </c>
      <c r="R114" s="56"/>
      <c r="S114" s="129"/>
      <c r="T114" s="105"/>
      <c r="U114" s="133"/>
      <c r="V114" s="133"/>
      <c r="W114" s="133"/>
      <c r="X114" s="133"/>
      <c r="Y114" s="133"/>
      <c r="Z114" s="134"/>
      <c r="AA114" s="6"/>
    </row>
    <row r="115" spans="7:27" x14ac:dyDescent="0.3">
      <c r="G115" s="64"/>
      <c r="H115" s="64"/>
      <c r="I115" s="64"/>
      <c r="J115" s="64"/>
      <c r="K115" s="64"/>
      <c r="L115" s="64"/>
      <c r="M115" s="44"/>
      <c r="N115" s="64"/>
      <c r="O115" s="64"/>
      <c r="P115" s="64"/>
      <c r="Q115" s="57">
        <f>c_cog+c_lung+c_hosp_fu+c_CSG</f>
        <v>58348.510902399998</v>
      </c>
      <c r="R115" s="57"/>
      <c r="S115" s="129"/>
      <c r="T115" s="105"/>
      <c r="U115" s="133"/>
      <c r="V115" s="133"/>
      <c r="W115" s="133"/>
      <c r="X115" s="133"/>
      <c r="Y115" s="133"/>
      <c r="Z115" s="134"/>
      <c r="AA115" s="6"/>
    </row>
    <row r="116" spans="7:27" x14ac:dyDescent="0.3">
      <c r="G116" s="64"/>
      <c r="H116" s="64"/>
      <c r="I116" s="64"/>
      <c r="J116" s="64"/>
      <c r="K116" s="64"/>
      <c r="L116" s="64"/>
      <c r="M116" s="65"/>
      <c r="N116" s="64"/>
      <c r="O116" s="64"/>
      <c r="P116" s="64"/>
      <c r="Q116" s="54" t="s">
        <v>370</v>
      </c>
      <c r="R116" s="54"/>
      <c r="S116" s="129"/>
      <c r="T116" s="105"/>
      <c r="U116" s="133">
        <f>$K$83*$I$72*$G$40*$E$78*$C$148*$A$103*$M$99*$O$111*Q117</f>
        <v>1.5204186117741892E-2</v>
      </c>
      <c r="V116" s="133">
        <v>2.3604099042277157E-2</v>
      </c>
      <c r="W116" s="134">
        <f>$K$84+$I$73+$G$41+$E$79+$C$149+$A$104+$M$100+$O$112+$Q$118</f>
        <v>216109.6673081081</v>
      </c>
      <c r="X116" s="133">
        <f>u_Healthy</f>
        <v>0</v>
      </c>
      <c r="Y116" s="133"/>
      <c r="Z116" s="134">
        <f>U116*W116</f>
        <v>3285.771603595756</v>
      </c>
      <c r="AA116" s="6">
        <f>U116*X116</f>
        <v>0</v>
      </c>
    </row>
    <row r="117" spans="7:27" x14ac:dyDescent="0.3">
      <c r="G117" s="64"/>
      <c r="H117" s="64"/>
      <c r="I117" s="64"/>
      <c r="J117" s="64"/>
      <c r="K117" s="64"/>
      <c r="L117" s="64"/>
      <c r="M117" s="65"/>
      <c r="N117" s="44"/>
      <c r="O117" s="64"/>
      <c r="P117" s="64"/>
      <c r="Q117" s="56">
        <f>1-Q114-Q111-Q108</f>
        <v>0.9669144234632383</v>
      </c>
      <c r="R117" s="56"/>
      <c r="T117" s="105"/>
      <c r="U117" s="133"/>
      <c r="V117" s="133"/>
      <c r="W117" s="133"/>
      <c r="X117" s="133"/>
      <c r="Y117" s="133"/>
      <c r="Z117" s="134"/>
      <c r="AA117" s="6"/>
    </row>
    <row r="118" spans="7:27" x14ac:dyDescent="0.3">
      <c r="G118" s="64"/>
      <c r="H118" s="64"/>
      <c r="I118" s="64"/>
      <c r="J118" s="64"/>
      <c r="K118" s="64"/>
      <c r="L118" s="64"/>
      <c r="M118" s="65"/>
      <c r="N118" s="64"/>
      <c r="O118" s="64"/>
      <c r="P118" s="64"/>
      <c r="Q118" s="57">
        <f>c_clinic_fu+c_CSG</f>
        <v>14403</v>
      </c>
      <c r="R118" s="57"/>
      <c r="S118" s="129"/>
      <c r="T118" s="105"/>
      <c r="U118" s="133"/>
      <c r="V118" s="133"/>
      <c r="W118" s="133"/>
      <c r="X118" s="133"/>
      <c r="Y118" s="133"/>
      <c r="Z118" s="134"/>
      <c r="AA118" s="6"/>
    </row>
    <row r="119" spans="7:27" x14ac:dyDescent="0.3">
      <c r="G119" s="64"/>
      <c r="H119" s="64"/>
      <c r="I119" s="64"/>
      <c r="J119" s="64"/>
      <c r="K119" s="64"/>
      <c r="L119" s="64"/>
      <c r="M119" s="65"/>
      <c r="N119" s="64"/>
      <c r="O119" s="64"/>
      <c r="P119" s="64"/>
      <c r="Q119" s="65"/>
      <c r="R119" s="65"/>
      <c r="T119" s="105"/>
      <c r="U119" s="133"/>
      <c r="V119" s="133"/>
      <c r="W119" s="133"/>
      <c r="X119" s="133"/>
      <c r="Y119" s="133"/>
      <c r="Z119" s="134"/>
      <c r="AA119" s="6"/>
    </row>
    <row r="120" spans="7:27" x14ac:dyDescent="0.3">
      <c r="G120" s="64"/>
      <c r="H120" s="64"/>
      <c r="I120" s="64"/>
      <c r="J120" s="64"/>
      <c r="K120" s="54" t="s">
        <v>165</v>
      </c>
      <c r="L120" s="54"/>
      <c r="M120" s="54"/>
      <c r="N120" s="54"/>
      <c r="O120" s="54"/>
      <c r="P120" s="54"/>
      <c r="Q120" s="54"/>
      <c r="R120" s="54"/>
      <c r="S120" s="129"/>
      <c r="T120" s="105"/>
      <c r="U120" s="133">
        <f>$K$121*$I$129*$G$150*$E$78*$C$148*$A$103</f>
        <v>0</v>
      </c>
      <c r="V120" s="133">
        <v>0</v>
      </c>
      <c r="W120" s="134">
        <f>$K$122+$I$130+$G$151+$E$79+$C$149+$A$104</f>
        <v>7945.7817081081084</v>
      </c>
      <c r="X120" s="133">
        <f>u_Death</f>
        <v>19.181538114427529</v>
      </c>
      <c r="Y120" s="133"/>
      <c r="Z120" s="134">
        <f>U120*W120</f>
        <v>0</v>
      </c>
      <c r="AA120" s="6">
        <f>U120*X120</f>
        <v>0</v>
      </c>
    </row>
    <row r="121" spans="7:27" x14ac:dyDescent="0.3">
      <c r="G121" s="64"/>
      <c r="H121" s="64"/>
      <c r="I121" s="64"/>
      <c r="J121" s="64"/>
      <c r="K121" s="56">
        <f>SGA_prem_2d_1</f>
        <v>7.4819333333333335E-2</v>
      </c>
      <c r="L121" s="64"/>
      <c r="M121" s="64"/>
      <c r="N121" s="64"/>
      <c r="O121" s="64"/>
      <c r="P121" s="64"/>
      <c r="Q121" s="64"/>
      <c r="R121" s="64"/>
      <c r="S121" s="129"/>
      <c r="T121" s="105"/>
      <c r="U121" s="133"/>
      <c r="V121" s="133"/>
      <c r="W121" s="133"/>
      <c r="X121" s="133"/>
      <c r="Y121" s="133"/>
      <c r="Z121" s="134"/>
      <c r="AA121" s="6"/>
    </row>
    <row r="122" spans="7:27" x14ac:dyDescent="0.3">
      <c r="G122" s="64"/>
      <c r="H122" s="64"/>
      <c r="I122" s="64"/>
      <c r="J122" s="64"/>
      <c r="K122" s="57">
        <f>c_SB</f>
        <v>1792</v>
      </c>
      <c r="L122" s="64"/>
      <c r="M122" s="64"/>
      <c r="N122" s="64"/>
      <c r="O122" s="64"/>
      <c r="P122" s="64"/>
      <c r="Q122" s="64"/>
      <c r="R122" s="64"/>
      <c r="S122" s="129"/>
      <c r="T122" s="105"/>
      <c r="U122" s="133"/>
      <c r="V122" s="133"/>
      <c r="W122" s="133"/>
      <c r="X122" s="133"/>
      <c r="Y122" s="133"/>
      <c r="Z122" s="134"/>
      <c r="AA122" s="6"/>
    </row>
    <row r="123" spans="7:27" s="41" customFormat="1" x14ac:dyDescent="0.3">
      <c r="G123" s="64"/>
      <c r="H123" s="64"/>
      <c r="I123" s="64"/>
      <c r="J123" s="64"/>
      <c r="K123" s="53"/>
      <c r="L123" s="64"/>
      <c r="M123" s="64"/>
      <c r="N123" s="64"/>
      <c r="O123" s="64"/>
      <c r="P123" s="64"/>
      <c r="Q123" s="64"/>
      <c r="R123" s="64"/>
      <c r="S123" s="129"/>
      <c r="T123" s="105"/>
      <c r="U123" s="133"/>
      <c r="V123" s="133"/>
      <c r="W123" s="133"/>
      <c r="X123" s="133"/>
      <c r="Y123" s="133"/>
      <c r="Z123" s="134"/>
      <c r="AA123" s="6"/>
    </row>
    <row r="124" spans="7:27" x14ac:dyDescent="0.3">
      <c r="G124" s="64"/>
      <c r="H124" s="64"/>
      <c r="I124" s="53"/>
      <c r="J124" s="53"/>
      <c r="K124" s="53"/>
      <c r="L124" s="53"/>
      <c r="M124" s="53"/>
      <c r="N124" s="53"/>
      <c r="O124" s="53"/>
      <c r="P124" s="53"/>
      <c r="Q124" s="54" t="s">
        <v>368</v>
      </c>
      <c r="R124" s="54"/>
      <c r="S124" s="129"/>
      <c r="T124" s="105"/>
      <c r="U124" s="133">
        <f>$K$140*$I$129*$G$150*$E$78*$C$148*$A$103*$M$135*$O$130*Q125</f>
        <v>0</v>
      </c>
      <c r="V124" s="133">
        <v>0</v>
      </c>
      <c r="W124" s="134">
        <f>$K$141+$I$130+$G$151+$E$79+$C$149+$M$136+$O$131+Q126+$A$104</f>
        <v>94215.163158713738</v>
      </c>
      <c r="X124" s="133">
        <f>u_ChronicResp</f>
        <v>0.53465956747782661</v>
      </c>
      <c r="Y124" s="133"/>
      <c r="Z124" s="134">
        <f>U124*W124</f>
        <v>0</v>
      </c>
      <c r="AA124" s="6">
        <f>U124*X124</f>
        <v>0</v>
      </c>
    </row>
    <row r="125" spans="7:27" x14ac:dyDescent="0.3">
      <c r="G125" s="64"/>
      <c r="H125" s="64"/>
      <c r="I125" s="53"/>
      <c r="J125" s="53"/>
      <c r="K125" s="53"/>
      <c r="L125" s="53"/>
      <c r="M125" s="53"/>
      <c r="N125" s="53"/>
      <c r="O125" s="64"/>
      <c r="P125" s="64"/>
      <c r="Q125" s="56">
        <f>RDS2CLD_1-(Hypo2CI_1*RDS2CLD_1)</f>
        <v>0.34246866666666664</v>
      </c>
      <c r="R125" s="56"/>
      <c r="S125" s="129"/>
      <c r="T125" s="105"/>
      <c r="U125" s="133"/>
      <c r="V125" s="133"/>
      <c r="W125" s="133"/>
      <c r="X125" s="133"/>
      <c r="Y125" s="133"/>
      <c r="Z125" s="134"/>
      <c r="AA125" s="6"/>
    </row>
    <row r="126" spans="7:27" x14ac:dyDescent="0.3">
      <c r="G126" s="64"/>
      <c r="H126" s="64"/>
      <c r="I126" s="53"/>
      <c r="J126" s="53"/>
      <c r="K126" s="53"/>
      <c r="L126" s="53"/>
      <c r="M126" s="53"/>
      <c r="N126" s="53"/>
      <c r="O126" s="64"/>
      <c r="P126" s="64"/>
      <c r="Q126" s="57">
        <f>c_lung+c_hosp_fu+c_CSG</f>
        <v>54529.510902399998</v>
      </c>
      <c r="R126" s="57"/>
      <c r="S126" s="129"/>
      <c r="T126" s="105"/>
      <c r="U126" s="133"/>
      <c r="V126" s="133"/>
      <c r="W126" s="133"/>
      <c r="X126" s="133"/>
      <c r="Y126" s="133"/>
      <c r="Z126" s="134"/>
      <c r="AA126" s="6"/>
    </row>
    <row r="127" spans="7:27" x14ac:dyDescent="0.3">
      <c r="G127" s="64"/>
      <c r="H127" s="64"/>
      <c r="I127" s="53"/>
      <c r="J127" s="53"/>
      <c r="K127" s="53"/>
      <c r="L127" s="53"/>
      <c r="M127" s="53"/>
      <c r="N127" s="53"/>
      <c r="O127" s="64"/>
      <c r="P127" s="64"/>
      <c r="Q127" s="54" t="s">
        <v>226</v>
      </c>
      <c r="R127" s="54"/>
      <c r="S127" s="129"/>
      <c r="T127" s="105"/>
      <c r="U127" s="133">
        <f>$K$140*$I$129*$G$150*$E$78*$C$148*$A$103*$M$135*$O$130*Q128</f>
        <v>0</v>
      </c>
      <c r="V127" s="133">
        <v>0</v>
      </c>
      <c r="W127" s="134">
        <f>$K$141+$I$130+$G$151+$E$79+$C$149+$M$136+$O$131+Q129+$A$104</f>
        <v>55451.652256313741</v>
      </c>
      <c r="X127" s="133">
        <f>u_CongnitiveImpairement</f>
        <v>17.270393127285455</v>
      </c>
      <c r="Y127" s="133"/>
      <c r="Z127" s="134">
        <f>U127*W127</f>
        <v>0</v>
      </c>
      <c r="AA127" s="6">
        <f>U127*X127</f>
        <v>0</v>
      </c>
    </row>
    <row r="128" spans="7:27" x14ac:dyDescent="0.3">
      <c r="G128" s="64"/>
      <c r="H128" s="64"/>
      <c r="I128" s="54" t="s">
        <v>164</v>
      </c>
      <c r="J128" s="64"/>
      <c r="K128" s="64"/>
      <c r="L128" s="64"/>
      <c r="M128" s="64"/>
      <c r="N128" s="64"/>
      <c r="O128" s="64"/>
      <c r="P128" s="64"/>
      <c r="Q128" s="56">
        <f>Hypo2CI_1-(Hypo2CI_1*RDS2CLD_1)</f>
        <v>3.2801999999999998E-2</v>
      </c>
      <c r="R128" s="56"/>
      <c r="S128" s="129"/>
      <c r="T128" s="105"/>
      <c r="U128" s="133"/>
      <c r="V128" s="133"/>
      <c r="W128" s="133"/>
      <c r="X128" s="133"/>
      <c r="Y128" s="133"/>
      <c r="Z128" s="134"/>
      <c r="AA128" s="6"/>
    </row>
    <row r="129" spans="7:27" x14ac:dyDescent="0.3">
      <c r="G129" s="64"/>
      <c r="H129" s="64"/>
      <c r="I129" s="56">
        <f>NBW_prem_2SGA_1</f>
        <v>0</v>
      </c>
      <c r="J129" s="64"/>
      <c r="K129" s="64"/>
      <c r="L129" s="64"/>
      <c r="M129" s="64"/>
      <c r="N129" s="64"/>
      <c r="O129" s="54" t="s">
        <v>161</v>
      </c>
      <c r="P129" s="64"/>
      <c r="Q129" s="57">
        <f>c_cog+c_hosp_fu+c_CSG</f>
        <v>15766</v>
      </c>
      <c r="R129" s="57"/>
      <c r="S129" s="129"/>
      <c r="T129" s="105"/>
      <c r="U129" s="133"/>
      <c r="V129" s="133"/>
      <c r="W129" s="133"/>
      <c r="X129" s="133"/>
      <c r="Y129" s="133"/>
      <c r="Z129" s="134"/>
      <c r="AA129" s="6"/>
    </row>
    <row r="130" spans="7:27" x14ac:dyDescent="0.3">
      <c r="G130" s="64"/>
      <c r="H130" s="64"/>
      <c r="I130" s="57"/>
      <c r="J130" s="64"/>
      <c r="K130" s="64"/>
      <c r="L130" s="64"/>
      <c r="M130" s="64"/>
      <c r="N130" s="64"/>
      <c r="O130" s="56">
        <f>SGA_prem_2hypoglycaemia_1</f>
        <v>0.2155</v>
      </c>
      <c r="P130" s="64"/>
      <c r="Q130" s="54" t="s">
        <v>369</v>
      </c>
      <c r="R130" s="54"/>
      <c r="S130" s="129"/>
      <c r="T130" s="105"/>
      <c r="U130" s="133">
        <f>$K$140*$I$129*$G$150*$E$78*$C$148*$A$103*$M$135*$O$130*Q131</f>
        <v>0</v>
      </c>
      <c r="V130" s="133">
        <v>0</v>
      </c>
      <c r="W130" s="134">
        <f>$K$141+$I$130+$G$151+$E$79+$C$149+$M$136+$O$131+Q132+$A$104</f>
        <v>98034.163158713738</v>
      </c>
      <c r="X130" s="133">
        <f>u_ChronicResp+u_CongnitiveImpairement</f>
        <v>17.805052694763283</v>
      </c>
      <c r="Y130" s="133"/>
      <c r="Z130" s="134">
        <f>U130*W130</f>
        <v>0</v>
      </c>
      <c r="AA130" s="6">
        <f>U130*X130</f>
        <v>0</v>
      </c>
    </row>
    <row r="131" spans="7:27" x14ac:dyDescent="0.3">
      <c r="G131" s="64"/>
      <c r="H131" s="64"/>
      <c r="I131" s="64"/>
      <c r="J131" s="64"/>
      <c r="K131" s="64"/>
      <c r="L131" s="64"/>
      <c r="M131" s="64"/>
      <c r="N131" s="64"/>
      <c r="O131" s="57">
        <f>c_hypo</f>
        <v>2936.2604000000001</v>
      </c>
      <c r="P131" s="64"/>
      <c r="Q131" s="56">
        <f>Hypo2CI_1*RDS2CLD_1</f>
        <v>1.8531333333333334E-2</v>
      </c>
      <c r="R131" s="56"/>
      <c r="S131" s="129"/>
      <c r="T131" s="105"/>
      <c r="U131" s="133"/>
      <c r="V131" s="133"/>
      <c r="W131" s="133"/>
      <c r="X131" s="133"/>
      <c r="Y131" s="133"/>
      <c r="Z131" s="134"/>
      <c r="AA131" s="6"/>
    </row>
    <row r="132" spans="7:27" x14ac:dyDescent="0.3">
      <c r="G132" s="64"/>
      <c r="H132" s="64"/>
      <c r="I132" s="64"/>
      <c r="J132" s="64"/>
      <c r="K132" s="64"/>
      <c r="L132" s="64"/>
      <c r="M132" s="65"/>
      <c r="N132" s="64"/>
      <c r="O132" s="53"/>
      <c r="P132" s="64"/>
      <c r="Q132" s="57">
        <f>c_lung+c_cog+c_hosp_fu+c_CSG</f>
        <v>58348.510902399998</v>
      </c>
      <c r="R132" s="57"/>
      <c r="S132" s="129"/>
      <c r="T132" s="105"/>
      <c r="U132" s="133"/>
      <c r="V132" s="133"/>
      <c r="W132" s="133"/>
      <c r="X132" s="133"/>
      <c r="Y132" s="133"/>
      <c r="Z132" s="134"/>
      <c r="AA132" s="6"/>
    </row>
    <row r="133" spans="7:27" x14ac:dyDescent="0.3">
      <c r="H133" s="44"/>
      <c r="I133" s="64"/>
      <c r="J133" s="64"/>
      <c r="K133" s="64"/>
      <c r="L133" s="64"/>
      <c r="M133" s="64"/>
      <c r="N133" s="64"/>
      <c r="O133" s="64"/>
      <c r="P133" s="64"/>
      <c r="Q133" s="54" t="s">
        <v>370</v>
      </c>
      <c r="R133" s="54"/>
      <c r="S133" s="129"/>
      <c r="T133" s="105"/>
      <c r="U133" s="133">
        <f>$K$140*$I$129*$G$150*$E$78*$C$148*$A$103*$M$135*$O$130*Q134</f>
        <v>0</v>
      </c>
      <c r="V133" s="133">
        <v>0</v>
      </c>
      <c r="W133" s="134">
        <f>$K$141+$I$130+$G$151+$E$79+$C$149+$M$136+$O$131+Q135+$A$104</f>
        <v>54088.652256313741</v>
      </c>
      <c r="X133" s="133">
        <f>u_Healthy</f>
        <v>0</v>
      </c>
      <c r="Y133" s="133"/>
      <c r="Z133" s="134">
        <f>U133*W133</f>
        <v>0</v>
      </c>
      <c r="AA133" s="6">
        <f>U133*X133</f>
        <v>0</v>
      </c>
    </row>
    <row r="134" spans="7:27" x14ac:dyDescent="0.3">
      <c r="G134" s="64"/>
      <c r="H134" s="64"/>
      <c r="I134" s="64"/>
      <c r="J134" s="64"/>
      <c r="K134" s="64"/>
      <c r="L134" s="64"/>
      <c r="M134" s="54" t="s">
        <v>9</v>
      </c>
      <c r="N134" s="64"/>
      <c r="O134" s="64"/>
      <c r="P134" s="64"/>
      <c r="Q134" s="56">
        <f>1-Q125-Q128-Q131</f>
        <v>0.60619800000000001</v>
      </c>
      <c r="R134" s="56"/>
      <c r="S134" s="129"/>
      <c r="T134" s="105"/>
      <c r="U134" s="133"/>
      <c r="V134" s="133"/>
      <c r="W134" s="133"/>
      <c r="X134" s="133"/>
      <c r="Y134" s="133"/>
      <c r="Z134" s="134"/>
      <c r="AA134" s="6"/>
    </row>
    <row r="135" spans="7:27" x14ac:dyDescent="0.3">
      <c r="G135" s="64"/>
      <c r="H135" s="64"/>
      <c r="I135" s="64"/>
      <c r="J135" s="64"/>
      <c r="K135" s="65"/>
      <c r="L135" s="64"/>
      <c r="M135" s="56">
        <f>S_prem_2RDS_1</f>
        <v>0.45</v>
      </c>
      <c r="N135" s="64"/>
      <c r="O135" s="64"/>
      <c r="P135" s="64"/>
      <c r="Q135" s="57">
        <f>c_clinic_fu+c_CSG</f>
        <v>14403</v>
      </c>
      <c r="R135" s="57"/>
      <c r="S135" s="129"/>
      <c r="T135" s="105"/>
      <c r="U135" s="133"/>
      <c r="V135" s="133"/>
      <c r="W135" s="133"/>
      <c r="X135" s="133"/>
      <c r="Y135" s="133"/>
      <c r="Z135" s="134"/>
      <c r="AA135" s="6"/>
    </row>
    <row r="136" spans="7:27" x14ac:dyDescent="0.3">
      <c r="G136" s="64"/>
      <c r="H136" s="64"/>
      <c r="I136" s="64"/>
      <c r="J136" s="64"/>
      <c r="K136" s="65"/>
      <c r="L136" s="64"/>
      <c r="M136" s="57">
        <f>c_RDS</f>
        <v>30595.610148205637</v>
      </c>
      <c r="N136" s="64"/>
      <c r="O136" s="64"/>
      <c r="P136" s="64"/>
      <c r="Q136" s="65"/>
      <c r="R136" s="65"/>
      <c r="S136" s="129"/>
      <c r="T136" s="105"/>
      <c r="U136" s="133"/>
      <c r="V136" s="133"/>
      <c r="W136" s="133"/>
      <c r="X136" s="133"/>
      <c r="Y136" s="133"/>
      <c r="Z136" s="134"/>
      <c r="AA136" s="6"/>
    </row>
    <row r="137" spans="7:27" x14ac:dyDescent="0.3">
      <c r="G137" s="53"/>
      <c r="H137" s="64"/>
      <c r="I137" s="64"/>
      <c r="J137" s="64"/>
      <c r="K137" s="64"/>
      <c r="L137" s="64"/>
      <c r="M137" s="64"/>
      <c r="N137" s="64"/>
      <c r="O137" s="64"/>
      <c r="P137" s="64"/>
      <c r="Q137" s="54" t="s">
        <v>368</v>
      </c>
      <c r="R137" s="54"/>
      <c r="S137" s="129"/>
      <c r="T137" s="105"/>
      <c r="U137" s="133">
        <f>$K$140*$I$129*$G$150*$E$78*$C$148*$A$103*$M$135*$O$140*Q138</f>
        <v>0</v>
      </c>
      <c r="V137" s="133">
        <v>0</v>
      </c>
      <c r="W137" s="134">
        <f>$K$141+$I$130+$G$151+$E$79+$C$149+$M$136+$O$141+Q139+$A$104</f>
        <v>91278.902758713739</v>
      </c>
      <c r="X137" s="133">
        <f>u_ChronicResp</f>
        <v>0.53465956747782661</v>
      </c>
      <c r="Y137" s="133"/>
      <c r="Z137" s="134">
        <f>U137*W137</f>
        <v>0</v>
      </c>
      <c r="AA137" s="6">
        <f>U137*X137</f>
        <v>0</v>
      </c>
    </row>
    <row r="138" spans="7:27" x14ac:dyDescent="0.3">
      <c r="G138" s="53"/>
      <c r="H138" s="64"/>
      <c r="I138" s="64"/>
      <c r="J138" s="64"/>
      <c r="K138" s="64"/>
      <c r="L138" s="64"/>
      <c r="M138" s="64"/>
      <c r="N138" s="64"/>
      <c r="O138" s="64"/>
      <c r="P138" s="64"/>
      <c r="Q138" s="56">
        <f>RDS2CLD_1-(RDS2CLD_1*noHypo2CI_1)</f>
        <v>0.34905610687022898</v>
      </c>
      <c r="R138" s="56"/>
      <c r="S138" s="129"/>
      <c r="T138" s="105"/>
      <c r="U138" s="133"/>
      <c r="V138" s="133"/>
      <c r="W138" s="133"/>
      <c r="X138" s="133"/>
      <c r="Y138" s="133"/>
      <c r="Z138" s="134"/>
      <c r="AA138" s="6"/>
    </row>
    <row r="139" spans="7:27" x14ac:dyDescent="0.3">
      <c r="G139" s="53"/>
      <c r="H139" s="64"/>
      <c r="I139" s="64"/>
      <c r="J139" s="64"/>
      <c r="K139" s="54" t="s">
        <v>37</v>
      </c>
      <c r="L139" s="64"/>
      <c r="M139" s="65"/>
      <c r="N139" s="64"/>
      <c r="O139" s="54" t="s">
        <v>371</v>
      </c>
      <c r="P139" s="64"/>
      <c r="Q139" s="57">
        <f>c_lung+c_hosp_fu+c_CSG</f>
        <v>54529.510902399998</v>
      </c>
      <c r="R139" s="57"/>
      <c r="S139" s="129"/>
      <c r="T139" s="105"/>
      <c r="U139" s="133"/>
      <c r="V139" s="133"/>
      <c r="W139" s="133"/>
      <c r="X139" s="133"/>
      <c r="Y139" s="133"/>
      <c r="Z139" s="134"/>
      <c r="AA139" s="6"/>
    </row>
    <row r="140" spans="7:27" x14ac:dyDescent="0.3">
      <c r="G140" s="53"/>
      <c r="H140" s="64"/>
      <c r="I140" s="64"/>
      <c r="J140" s="64"/>
      <c r="K140" s="56">
        <f>SGA_prem_2s_1</f>
        <v>0.92518066666666665</v>
      </c>
      <c r="L140" s="64"/>
      <c r="M140" s="64"/>
      <c r="N140" s="64"/>
      <c r="O140" s="56">
        <f>SGA_prem_2normoglycaemia_1</f>
        <v>0.78449999999999998</v>
      </c>
      <c r="P140" s="64"/>
      <c r="Q140" s="54" t="s">
        <v>226</v>
      </c>
      <c r="R140" s="54"/>
      <c r="S140" s="129"/>
      <c r="T140" s="105"/>
      <c r="U140" s="133">
        <f>$K$140*$I$129*$G$150*$E$78*$C$148*$A$103*$M$135*$O$140*Q141</f>
        <v>0</v>
      </c>
      <c r="V140" s="133">
        <v>0</v>
      </c>
      <c r="W140" s="134">
        <f>$K$141+$I$130+$G$151+$E$79+$C$149+$M$136+$O$141+Q142+$A$104</f>
        <v>52515.391856313741</v>
      </c>
      <c r="X140" s="133">
        <f>u_CongnitiveImpairement</f>
        <v>17.270393127285455</v>
      </c>
      <c r="Y140" s="133"/>
      <c r="Z140" s="134">
        <f>U140*W140</f>
        <v>0</v>
      </c>
      <c r="AA140" s="6">
        <f>U140*X140</f>
        <v>0</v>
      </c>
    </row>
    <row r="141" spans="7:27" x14ac:dyDescent="0.3">
      <c r="G141" s="53"/>
      <c r="H141" s="64"/>
      <c r="I141" s="64"/>
      <c r="J141" s="64"/>
      <c r="K141" s="57"/>
      <c r="L141" s="64"/>
      <c r="M141" s="64"/>
      <c r="N141" s="64"/>
      <c r="O141" s="57"/>
      <c r="P141" s="64"/>
      <c r="Q141" s="56">
        <f>noHypo2CI_1-(RDS2CLD_1*noHypo2CI_1)</f>
        <v>2.1141683406990762E-2</v>
      </c>
      <c r="R141" s="56"/>
      <c r="S141" s="129"/>
      <c r="T141" s="105"/>
      <c r="U141" s="133"/>
      <c r="V141" s="133"/>
      <c r="W141" s="133"/>
      <c r="X141" s="133"/>
      <c r="Y141" s="133"/>
      <c r="Z141" s="134"/>
      <c r="AA141" s="6"/>
    </row>
    <row r="142" spans="7:27" x14ac:dyDescent="0.3">
      <c r="G142" s="64"/>
      <c r="H142" s="64"/>
      <c r="I142" s="64"/>
      <c r="J142" s="64"/>
      <c r="K142" s="64"/>
      <c r="L142" s="64"/>
      <c r="M142" s="64"/>
      <c r="N142" s="64"/>
      <c r="O142" s="53"/>
      <c r="P142" s="64"/>
      <c r="Q142" s="57">
        <f>c_cog+c_hosp_fu+c_CSG</f>
        <v>15766</v>
      </c>
      <c r="R142" s="57"/>
      <c r="S142" s="129"/>
      <c r="T142" s="105"/>
      <c r="U142" s="133"/>
      <c r="V142" s="133"/>
      <c r="W142" s="133"/>
      <c r="X142" s="133"/>
      <c r="Y142" s="133"/>
      <c r="Z142" s="134"/>
      <c r="AA142" s="6"/>
    </row>
    <row r="143" spans="7:27" x14ac:dyDescent="0.3">
      <c r="G143" s="64"/>
      <c r="H143" s="64"/>
      <c r="I143" s="64"/>
      <c r="J143" s="64"/>
      <c r="K143" s="64"/>
      <c r="L143" s="64"/>
      <c r="M143" s="64"/>
      <c r="N143" s="64"/>
      <c r="O143" s="53"/>
      <c r="P143" s="64"/>
      <c r="Q143" s="54" t="s">
        <v>369</v>
      </c>
      <c r="R143" s="54"/>
      <c r="S143" s="129"/>
      <c r="T143" s="105"/>
      <c r="U143" s="133">
        <f>$K$140*$I$129*$G$150*$E$78*$C$148*$A$103*$M$135*$O$140*Q144</f>
        <v>0</v>
      </c>
      <c r="V143" s="133">
        <v>0</v>
      </c>
      <c r="W143" s="134">
        <f>$K$141+$I$130+$G$151+$E$79+$C$149+$M$136+$O$141+Q145+$A$104</f>
        <v>95097.902758713739</v>
      </c>
      <c r="X143" s="133">
        <f>u_ChronicResp+u_CongnitiveImpairement</f>
        <v>17.805052694763283</v>
      </c>
      <c r="Y143" s="133"/>
      <c r="Z143" s="134">
        <f>U143*W143</f>
        <v>0</v>
      </c>
      <c r="AA143" s="6">
        <f>U143*X143</f>
        <v>0</v>
      </c>
    </row>
    <row r="144" spans="7:27" x14ac:dyDescent="0.3">
      <c r="G144" s="64"/>
      <c r="H144" s="64"/>
      <c r="I144" s="64"/>
      <c r="J144" s="64"/>
      <c r="K144" s="64"/>
      <c r="L144" s="64"/>
      <c r="M144" s="64"/>
      <c r="N144" s="64"/>
      <c r="O144" s="53"/>
      <c r="P144" s="64"/>
      <c r="Q144" s="56">
        <f>RDS2CLD_1*noHypo2CI_1</f>
        <v>1.1943893129770991E-2</v>
      </c>
      <c r="R144" s="56"/>
      <c r="S144" s="129"/>
      <c r="T144" s="105"/>
      <c r="U144" s="133"/>
      <c r="V144" s="133"/>
      <c r="W144" s="133"/>
      <c r="X144" s="133"/>
      <c r="Y144" s="133"/>
      <c r="Z144" s="134"/>
      <c r="AA144" s="6"/>
    </row>
    <row r="145" spans="3:27" x14ac:dyDescent="0.3">
      <c r="G145" s="64"/>
      <c r="H145" s="64"/>
      <c r="I145" s="64"/>
      <c r="J145" s="64"/>
      <c r="K145" s="64"/>
      <c r="L145" s="64"/>
      <c r="M145" s="64"/>
      <c r="N145" s="64"/>
      <c r="O145" s="53"/>
      <c r="P145" s="64"/>
      <c r="Q145" s="57">
        <f>c_cog+c_lung+c_hosp_fu+c_CSG</f>
        <v>58348.510902399998</v>
      </c>
      <c r="R145" s="57"/>
      <c r="S145" s="129"/>
      <c r="T145" s="105"/>
      <c r="U145" s="133"/>
      <c r="V145" s="133"/>
      <c r="W145" s="133"/>
      <c r="X145" s="133"/>
      <c r="Y145" s="133"/>
      <c r="Z145" s="134"/>
      <c r="AA145" s="6"/>
    </row>
    <row r="146" spans="3:27" x14ac:dyDescent="0.3">
      <c r="G146" s="64"/>
      <c r="H146" s="64"/>
      <c r="I146" s="64"/>
      <c r="J146" s="64"/>
      <c r="K146" s="64"/>
      <c r="L146" s="64"/>
      <c r="M146" s="64"/>
      <c r="N146" s="64"/>
      <c r="O146" s="53"/>
      <c r="P146" s="64"/>
      <c r="Q146" s="54" t="s">
        <v>370</v>
      </c>
      <c r="R146" s="54"/>
      <c r="S146" s="129"/>
      <c r="T146" s="105"/>
      <c r="U146" s="133">
        <f>$K$140*$I$129*$G$150*$E$78*$C$148*$A$103*$M$135*$O$140*Q147</f>
        <v>0</v>
      </c>
      <c r="V146" s="133">
        <v>0</v>
      </c>
      <c r="W146" s="134">
        <f>$K$141+$I$130+$G$151+$E$79+$C$149+$M$136+$O$141+Q148+$A$104</f>
        <v>51152.391856313741</v>
      </c>
      <c r="X146" s="133">
        <f>u_Healthy</f>
        <v>0</v>
      </c>
      <c r="Y146" s="133"/>
      <c r="Z146" s="134">
        <f>U146*W146</f>
        <v>0</v>
      </c>
      <c r="AA146" s="6">
        <f>U146*X146</f>
        <v>0</v>
      </c>
    </row>
    <row r="147" spans="3:27" x14ac:dyDescent="0.3">
      <c r="C147" s="54" t="s">
        <v>373</v>
      </c>
      <c r="E147" s="41"/>
      <c r="F147" s="41"/>
      <c r="G147" s="64"/>
      <c r="H147" s="64"/>
      <c r="I147" s="64"/>
      <c r="J147" s="64"/>
      <c r="K147" s="64"/>
      <c r="L147" s="64"/>
      <c r="M147" s="64"/>
      <c r="N147" s="64"/>
      <c r="O147" s="53"/>
      <c r="P147" s="64"/>
      <c r="Q147" s="56">
        <f>1-Q144-Q141-Q138</f>
        <v>0.61785831659300938</v>
      </c>
      <c r="R147" s="56"/>
      <c r="T147" s="105"/>
      <c r="U147" s="133"/>
      <c r="V147" s="133"/>
      <c r="W147" s="133"/>
      <c r="X147" s="133"/>
      <c r="Y147" s="133"/>
      <c r="Z147" s="134"/>
      <c r="AA147" s="6"/>
    </row>
    <row r="148" spans="3:27" x14ac:dyDescent="0.3">
      <c r="C148" s="56">
        <f>ANC2LB_1</f>
        <v>0.9835771985977747</v>
      </c>
      <c r="D148" s="64">
        <f>ANC2LB_3</f>
        <v>0.9835771985977747</v>
      </c>
      <c r="E148" s="64" t="b">
        <f>D148=C148</f>
        <v>1</v>
      </c>
      <c r="F148" s="41"/>
      <c r="G148" s="64"/>
      <c r="H148" s="64"/>
      <c r="I148" s="64"/>
      <c r="J148" s="64"/>
      <c r="K148" s="64"/>
      <c r="L148" s="64"/>
      <c r="M148" s="64"/>
      <c r="N148" s="64"/>
      <c r="O148" s="64"/>
      <c r="P148" s="64"/>
      <c r="Q148" s="57">
        <f>c_clinic_fu+c_CSG</f>
        <v>14403</v>
      </c>
      <c r="R148" s="57"/>
      <c r="S148" s="129"/>
      <c r="T148" s="105"/>
      <c r="U148" s="133"/>
      <c r="V148" s="133"/>
      <c r="W148" s="133"/>
      <c r="X148" s="133"/>
      <c r="Y148" s="133"/>
      <c r="Z148" s="134"/>
      <c r="AA148" s="6"/>
    </row>
    <row r="149" spans="3:27" x14ac:dyDescent="0.3">
      <c r="C149" s="57"/>
      <c r="E149" s="41"/>
      <c r="F149" s="41"/>
      <c r="G149" s="54" t="s">
        <v>372</v>
      </c>
      <c r="H149" s="64"/>
      <c r="I149" s="64"/>
      <c r="J149" s="64"/>
      <c r="K149" s="64"/>
      <c r="L149" s="64"/>
      <c r="M149" s="64"/>
      <c r="N149" s="64"/>
      <c r="O149" s="64"/>
      <c r="P149" s="64"/>
      <c r="Q149" s="65"/>
      <c r="R149" s="65"/>
      <c r="S149" s="129"/>
      <c r="T149" s="105"/>
      <c r="U149" s="133"/>
      <c r="V149" s="133"/>
      <c r="W149" s="133"/>
      <c r="X149" s="133"/>
      <c r="Y149" s="133"/>
      <c r="Z149" s="134"/>
      <c r="AA149" s="6"/>
    </row>
    <row r="150" spans="3:27" x14ac:dyDescent="0.3">
      <c r="E150" s="41"/>
      <c r="F150" s="41"/>
      <c r="G150" s="56">
        <f>Prem2NBW_1</f>
        <v>0.51623728813559322</v>
      </c>
      <c r="H150" s="64"/>
      <c r="I150" s="64"/>
      <c r="J150" s="64"/>
      <c r="K150" s="64"/>
      <c r="L150" s="64"/>
      <c r="M150" s="64"/>
      <c r="N150" s="64"/>
      <c r="O150" s="64"/>
      <c r="P150" s="64"/>
      <c r="Q150" s="54" t="s">
        <v>368</v>
      </c>
      <c r="R150" s="54"/>
      <c r="S150" s="129"/>
      <c r="T150" s="105"/>
      <c r="U150" s="133">
        <f>$K$140*$I$129*$G$150*$E$78*$C$148*$A$103*$M$155*$O$153*Q151</f>
        <v>0</v>
      </c>
      <c r="V150" s="133">
        <v>0</v>
      </c>
      <c r="W150" s="134">
        <f>$K$141+$I$130+$G$151+$E$79+$C$149+$M$156+$O$154+Q152+$A$104</f>
        <v>63619.553010508105</v>
      </c>
      <c r="X150" s="133">
        <f>u_ChronicResp</f>
        <v>0.53465956747782661</v>
      </c>
      <c r="Y150" s="133"/>
      <c r="Z150" s="134">
        <f>U150*W150</f>
        <v>0</v>
      </c>
      <c r="AA150" s="6">
        <f>U150*X150</f>
        <v>0</v>
      </c>
    </row>
    <row r="151" spans="3:27" x14ac:dyDescent="0.3">
      <c r="E151" s="41"/>
      <c r="F151" s="41"/>
      <c r="G151" s="57">
        <f>c_NICU_NBW</f>
        <v>3098.88</v>
      </c>
      <c r="H151" s="64"/>
      <c r="I151" s="64"/>
      <c r="J151" s="64"/>
      <c r="K151" s="64"/>
      <c r="L151" s="64"/>
      <c r="M151" s="64"/>
      <c r="N151" s="64"/>
      <c r="O151" s="64"/>
      <c r="P151" s="64"/>
      <c r="Q151" s="56">
        <f>noRDS2CLD_1-(Hypo2CI_1*noRDS2CLD_1)</f>
        <v>0</v>
      </c>
      <c r="R151" s="56"/>
      <c r="S151" s="129"/>
      <c r="T151" s="105"/>
      <c r="U151" s="133"/>
      <c r="V151" s="133"/>
      <c r="W151" s="133"/>
      <c r="X151" s="133"/>
      <c r="Y151" s="133"/>
      <c r="Z151" s="134"/>
      <c r="AA151" s="6"/>
    </row>
    <row r="152" spans="3:27" x14ac:dyDescent="0.3">
      <c r="E152" s="41"/>
      <c r="F152" s="41"/>
      <c r="G152" s="64"/>
      <c r="H152" s="64"/>
      <c r="I152" s="64"/>
      <c r="J152" s="64"/>
      <c r="K152" s="64"/>
      <c r="L152" s="64"/>
      <c r="M152" s="64"/>
      <c r="N152" s="64"/>
      <c r="O152" s="54" t="s">
        <v>161</v>
      </c>
      <c r="P152" s="64"/>
      <c r="Q152" s="57">
        <f>c_lung+c_hosp_fu+c_CSG</f>
        <v>54529.510902399998</v>
      </c>
      <c r="R152" s="57"/>
      <c r="S152" s="129"/>
      <c r="T152" s="105"/>
      <c r="U152" s="133"/>
      <c r="V152" s="133"/>
      <c r="W152" s="133"/>
      <c r="X152" s="133"/>
      <c r="Y152" s="133"/>
      <c r="Z152" s="134"/>
      <c r="AA152" s="6"/>
    </row>
    <row r="153" spans="3:27" x14ac:dyDescent="0.3">
      <c r="E153" s="41"/>
      <c r="F153" s="41"/>
      <c r="G153" s="64"/>
      <c r="H153" s="64"/>
      <c r="I153" s="64"/>
      <c r="J153" s="64"/>
      <c r="K153" s="64"/>
      <c r="L153" s="64"/>
      <c r="M153" s="64"/>
      <c r="N153" s="64"/>
      <c r="O153" s="56">
        <f>SGA_prem_2hypoglycaemia_1</f>
        <v>0.2155</v>
      </c>
      <c r="P153" s="64"/>
      <c r="Q153" s="54" t="s">
        <v>226</v>
      </c>
      <c r="R153" s="54"/>
      <c r="S153" s="129"/>
      <c r="T153" s="105"/>
      <c r="U153" s="133">
        <f>$K$140*$I$129*$G$150*$E$78*$C$148*$A$103*$M$155*$O$153*Q154</f>
        <v>0</v>
      </c>
      <c r="V153" s="133">
        <v>0</v>
      </c>
      <c r="W153" s="134">
        <f>$K$141+$I$130+$G$151+$E$79+$C$149+$M$156+$O$154+Q155+$A$104</f>
        <v>24856.042108108108</v>
      </c>
      <c r="X153" s="133">
        <f>u_CongnitiveImpairement</f>
        <v>17.270393127285455</v>
      </c>
      <c r="Y153" s="133"/>
      <c r="Z153" s="134">
        <f>U153*W153</f>
        <v>0</v>
      </c>
      <c r="AA153" s="6">
        <f>U153*X153</f>
        <v>0</v>
      </c>
    </row>
    <row r="154" spans="3:27" x14ac:dyDescent="0.3">
      <c r="E154" s="41"/>
      <c r="F154" s="41"/>
      <c r="G154" s="64"/>
      <c r="H154" s="64"/>
      <c r="I154" s="64"/>
      <c r="J154" s="64"/>
      <c r="K154" s="64"/>
      <c r="L154" s="64"/>
      <c r="M154" s="54" t="s">
        <v>203</v>
      </c>
      <c r="N154" s="64"/>
      <c r="O154" s="57">
        <f>c_hypo</f>
        <v>2936.2604000000001</v>
      </c>
      <c r="P154" s="64"/>
      <c r="Q154" s="56">
        <f>Hypo2CI_1-(Hypo2CI_1*noRDS2CLD_1)</f>
        <v>5.1333333333333335E-2</v>
      </c>
      <c r="R154" s="56"/>
      <c r="S154" s="129"/>
      <c r="T154" s="105"/>
      <c r="U154" s="133"/>
      <c r="V154" s="133"/>
      <c r="W154" s="133"/>
      <c r="X154" s="133"/>
      <c r="Y154" s="133"/>
      <c r="Z154" s="134"/>
      <c r="AA154" s="6"/>
    </row>
    <row r="155" spans="3:27" x14ac:dyDescent="0.3">
      <c r="E155" s="41"/>
      <c r="F155" s="41"/>
      <c r="G155" s="64"/>
      <c r="H155" s="64"/>
      <c r="I155" s="64"/>
      <c r="J155" s="64"/>
      <c r="K155" s="64"/>
      <c r="L155" s="64"/>
      <c r="M155" s="56">
        <f>S_prem_2noRDS_1</f>
        <v>0.55000000000000004</v>
      </c>
      <c r="N155" s="64"/>
      <c r="O155" s="53"/>
      <c r="P155" s="64"/>
      <c r="Q155" s="57">
        <f>c_cog+c_hosp_fu+c_CSG</f>
        <v>15766</v>
      </c>
      <c r="R155" s="57"/>
      <c r="S155" s="129"/>
      <c r="T155" s="105"/>
      <c r="U155" s="133"/>
      <c r="V155" s="133"/>
      <c r="W155" s="133"/>
      <c r="X155" s="133"/>
      <c r="Y155" s="133"/>
      <c r="Z155" s="134"/>
      <c r="AA155" s="6"/>
    </row>
    <row r="156" spans="3:27" x14ac:dyDescent="0.3">
      <c r="E156" s="41"/>
      <c r="F156" s="41"/>
      <c r="G156" s="65"/>
      <c r="H156" s="64"/>
      <c r="I156" s="64"/>
      <c r="J156" s="64"/>
      <c r="K156" s="64"/>
      <c r="L156" s="64"/>
      <c r="M156" s="57"/>
      <c r="N156" s="64"/>
      <c r="O156" s="65"/>
      <c r="P156" s="64"/>
      <c r="Q156" s="54" t="s">
        <v>369</v>
      </c>
      <c r="R156" s="54"/>
      <c r="S156" s="129"/>
      <c r="T156" s="105"/>
      <c r="U156" s="133">
        <f>$K$140*$I$129*$G$150*$E$78*$C$148*$A$103*$M$155*$O$153*Q157</f>
        <v>0</v>
      </c>
      <c r="V156" s="133">
        <v>0</v>
      </c>
      <c r="W156" s="134">
        <f>$K$141+$I$130+$G$151+$E$79+$C$149+$M$156+$O$154+Q158+$A$104</f>
        <v>67438.553010508098</v>
      </c>
      <c r="X156" s="133">
        <f>u_ChronicResp+u_CongnitiveImpairement</f>
        <v>17.805052694763283</v>
      </c>
      <c r="Y156" s="133"/>
      <c r="Z156" s="134">
        <f>U156*W156</f>
        <v>0</v>
      </c>
      <c r="AA156" s="6">
        <f>U156*X156</f>
        <v>0</v>
      </c>
    </row>
    <row r="157" spans="3:27" x14ac:dyDescent="0.3">
      <c r="E157" s="41"/>
      <c r="F157" s="41"/>
      <c r="G157" s="64"/>
      <c r="H157" s="64"/>
      <c r="I157" s="64"/>
      <c r="J157" s="64"/>
      <c r="K157" s="64"/>
      <c r="L157" s="64"/>
      <c r="M157" s="65"/>
      <c r="N157" s="64"/>
      <c r="O157" s="41"/>
      <c r="P157" s="64"/>
      <c r="Q157" s="56">
        <f>noRDS2CLD_1*Hypo2CI_1</f>
        <v>0</v>
      </c>
      <c r="R157" s="56"/>
      <c r="S157" s="129"/>
      <c r="T157" s="105"/>
      <c r="U157" s="133"/>
      <c r="V157" s="133"/>
      <c r="W157" s="134"/>
      <c r="X157" s="133"/>
      <c r="Y157" s="133"/>
      <c r="Z157" s="134"/>
      <c r="AA157" s="6"/>
    </row>
    <row r="158" spans="3:27" x14ac:dyDescent="0.3">
      <c r="E158" s="41"/>
      <c r="F158" s="41"/>
      <c r="G158" s="64"/>
      <c r="H158" s="64"/>
      <c r="I158" s="64"/>
      <c r="J158" s="64"/>
      <c r="K158" s="64"/>
      <c r="L158" s="64"/>
      <c r="M158" s="65"/>
      <c r="N158" s="64"/>
      <c r="O158" s="41"/>
      <c r="P158" s="64"/>
      <c r="Q158" s="57">
        <f>c_lung+c_cog+c_hosp_fu+c_CSG</f>
        <v>58348.510902399998</v>
      </c>
      <c r="R158" s="57"/>
      <c r="S158" s="129"/>
      <c r="T158" s="105"/>
      <c r="U158" s="133"/>
      <c r="V158" s="133"/>
      <c r="W158" s="133"/>
      <c r="X158" s="133"/>
      <c r="Y158" s="133"/>
      <c r="Z158" s="134"/>
      <c r="AA158" s="6"/>
    </row>
    <row r="159" spans="3:27" x14ac:dyDescent="0.3">
      <c r="E159" s="41"/>
      <c r="F159" s="41"/>
      <c r="G159" s="64"/>
      <c r="H159" s="64"/>
      <c r="I159" s="64"/>
      <c r="J159" s="64"/>
      <c r="K159" s="64"/>
      <c r="L159" s="64"/>
      <c r="M159" s="65"/>
      <c r="N159" s="64"/>
      <c r="O159" s="41"/>
      <c r="P159" s="64"/>
      <c r="Q159" s="54" t="s">
        <v>370</v>
      </c>
      <c r="R159" s="54"/>
      <c r="S159" s="129"/>
      <c r="T159" s="105"/>
      <c r="U159" s="133">
        <f>$K$140*$I$129*$G$150*$E$78*$C$148*$A$103*$M$155*$O$153*Q160</f>
        <v>0</v>
      </c>
      <c r="V159" s="133">
        <v>0</v>
      </c>
      <c r="W159" s="134">
        <f>$K$141+$I$130+$G$151+$E$79+$C$149+$M$156+$O$154+Q161+$A$104</f>
        <v>23493.042108108108</v>
      </c>
      <c r="X159" s="133">
        <f>u_Healthy</f>
        <v>0</v>
      </c>
      <c r="Y159" s="133"/>
      <c r="Z159" s="134">
        <f>U159*W159</f>
        <v>0</v>
      </c>
      <c r="AA159" s="6">
        <f>U159*X159</f>
        <v>0</v>
      </c>
    </row>
    <row r="160" spans="3:27" x14ac:dyDescent="0.3">
      <c r="E160" s="41"/>
      <c r="F160" s="41"/>
      <c r="G160" s="64"/>
      <c r="H160" s="64"/>
      <c r="I160" s="64"/>
      <c r="J160" s="64"/>
      <c r="K160" s="64"/>
      <c r="L160" s="64"/>
      <c r="M160" s="65"/>
      <c r="N160" s="64"/>
      <c r="O160" s="65"/>
      <c r="P160" s="64"/>
      <c r="Q160" s="56">
        <f>1-Q157-Q154-Q151</f>
        <v>0.94866666666666666</v>
      </c>
      <c r="R160" s="56"/>
      <c r="T160" s="105"/>
      <c r="U160" s="133"/>
      <c r="V160" s="133"/>
      <c r="W160" s="133"/>
      <c r="X160" s="133"/>
      <c r="Y160" s="133"/>
      <c r="Z160" s="134"/>
      <c r="AA160" s="6"/>
    </row>
    <row r="161" spans="5:27" x14ac:dyDescent="0.3">
      <c r="E161" s="41"/>
      <c r="F161" s="41"/>
      <c r="G161" s="64"/>
      <c r="H161" s="64"/>
      <c r="I161" s="64"/>
      <c r="J161" s="64"/>
      <c r="K161" s="64"/>
      <c r="L161" s="64"/>
      <c r="M161" s="65"/>
      <c r="N161" s="64"/>
      <c r="O161" s="64"/>
      <c r="P161" s="64"/>
      <c r="Q161" s="57">
        <f>c_clinic_fu+c_CSG</f>
        <v>14403</v>
      </c>
      <c r="R161" s="57"/>
      <c r="S161" s="129"/>
      <c r="T161" s="105"/>
      <c r="U161" s="133"/>
      <c r="V161" s="133"/>
      <c r="W161" s="133"/>
      <c r="X161" s="133"/>
      <c r="Y161" s="133"/>
      <c r="Z161" s="134"/>
      <c r="AA161" s="6"/>
    </row>
    <row r="162" spans="5:27" x14ac:dyDescent="0.3">
      <c r="E162" s="41"/>
      <c r="F162" s="41"/>
      <c r="G162" s="64"/>
      <c r="H162" s="64"/>
      <c r="I162" s="64"/>
      <c r="J162" s="64"/>
      <c r="K162" s="64"/>
      <c r="L162" s="64"/>
      <c r="M162" s="65"/>
      <c r="N162" s="64"/>
      <c r="O162" s="64"/>
      <c r="P162" s="64"/>
      <c r="Q162" s="65"/>
      <c r="R162" s="65"/>
      <c r="S162" s="130"/>
      <c r="T162" s="105"/>
      <c r="U162" s="133"/>
      <c r="V162" s="133"/>
      <c r="W162" s="133"/>
      <c r="X162" s="133"/>
      <c r="Y162" s="133"/>
      <c r="Z162" s="134"/>
      <c r="AA162" s="6"/>
    </row>
    <row r="163" spans="5:27" x14ac:dyDescent="0.3">
      <c r="E163" s="41"/>
      <c r="F163" s="41"/>
      <c r="G163" s="64"/>
      <c r="H163" s="64"/>
      <c r="I163" s="64"/>
      <c r="J163" s="64"/>
      <c r="K163" s="64"/>
      <c r="L163" s="64"/>
      <c r="M163" s="65"/>
      <c r="N163" s="64"/>
      <c r="O163" s="64"/>
      <c r="P163" s="64"/>
      <c r="Q163" s="54" t="s">
        <v>368</v>
      </c>
      <c r="R163" s="54"/>
      <c r="S163" s="129"/>
      <c r="T163" s="105"/>
      <c r="U163" s="133">
        <f>$K$140*$I$129*$G$150*$E$78*$C$148*$A$103*$M$155*$O$167*Q164</f>
        <v>0</v>
      </c>
      <c r="V163" s="133">
        <v>0</v>
      </c>
      <c r="W163" s="134">
        <f>$K$141+$I$130+$G$151+$E$79+$C$149+$M$156+$O$168+Q165+$A$104</f>
        <v>62712.553010508105</v>
      </c>
      <c r="X163" s="133">
        <f>u_ChronicResp</f>
        <v>0.53465956747782661</v>
      </c>
      <c r="Y163" s="133"/>
      <c r="Z163" s="134">
        <f>U163*W163</f>
        <v>0</v>
      </c>
      <c r="AA163" s="6">
        <f>U163*X163</f>
        <v>0</v>
      </c>
    </row>
    <row r="164" spans="5:27" x14ac:dyDescent="0.3">
      <c r="E164" s="41"/>
      <c r="F164" s="41"/>
      <c r="G164" s="64"/>
      <c r="H164" s="64"/>
      <c r="I164" s="64"/>
      <c r="J164" s="64"/>
      <c r="K164" s="64"/>
      <c r="L164" s="64"/>
      <c r="M164" s="65"/>
      <c r="N164" s="64"/>
      <c r="O164" s="64"/>
      <c r="P164" s="64"/>
      <c r="Q164" s="56">
        <f>noRDS2CLD_1-(noRDS2CLD_1*noHypo2CI_1)</f>
        <v>0</v>
      </c>
      <c r="R164" s="56"/>
      <c r="S164" s="129"/>
      <c r="T164" s="105"/>
      <c r="U164" s="133"/>
      <c r="V164" s="133"/>
      <c r="W164" s="133"/>
      <c r="X164" s="133"/>
      <c r="Y164" s="133"/>
      <c r="Z164" s="134"/>
      <c r="AA164" s="6"/>
    </row>
    <row r="165" spans="5:27" x14ac:dyDescent="0.3">
      <c r="E165" s="41"/>
      <c r="F165" s="41"/>
      <c r="G165" s="64"/>
      <c r="H165" s="64"/>
      <c r="I165" s="64"/>
      <c r="J165" s="64"/>
      <c r="K165" s="64"/>
      <c r="L165" s="64"/>
      <c r="M165" s="65"/>
      <c r="N165" s="64"/>
      <c r="O165" s="64"/>
      <c r="P165" s="64"/>
      <c r="Q165" s="57">
        <f>c_lung+c_hypo+c_CSG</f>
        <v>56558.771302399997</v>
      </c>
      <c r="R165" s="57"/>
      <c r="S165" s="129"/>
      <c r="T165" s="105"/>
      <c r="U165" s="133"/>
      <c r="V165" s="133"/>
      <c r="W165" s="133"/>
      <c r="X165" s="133"/>
      <c r="Y165" s="133"/>
      <c r="Z165" s="134"/>
      <c r="AA165" s="6"/>
    </row>
    <row r="166" spans="5:27" x14ac:dyDescent="0.3">
      <c r="E166" s="41"/>
      <c r="F166" s="41"/>
      <c r="G166" s="64"/>
      <c r="H166" s="64"/>
      <c r="I166" s="64"/>
      <c r="J166" s="64"/>
      <c r="K166" s="64"/>
      <c r="L166" s="64"/>
      <c r="M166" s="65"/>
      <c r="N166" s="64"/>
      <c r="O166" s="54" t="s">
        <v>371</v>
      </c>
      <c r="P166" s="64"/>
      <c r="Q166" s="54" t="s">
        <v>226</v>
      </c>
      <c r="R166" s="54"/>
      <c r="S166" s="129"/>
      <c r="T166" s="105"/>
      <c r="U166" s="133">
        <f>$K$140*$I$129*$G$150*$E$78*$C$148*$A$103*$M$155*$O$167*Q167</f>
        <v>0</v>
      </c>
      <c r="V166" s="133">
        <v>0</v>
      </c>
      <c r="W166" s="134">
        <f>$K$141+$I$130+$G$151+$E$79+$C$149+$M$156+$O$168+Q168+$A$104</f>
        <v>21919.781708108108</v>
      </c>
      <c r="X166" s="133">
        <f>u_CongnitiveImpairement</f>
        <v>17.270393127285455</v>
      </c>
      <c r="Y166" s="133"/>
      <c r="Z166" s="134">
        <f>U166*W166</f>
        <v>0</v>
      </c>
      <c r="AA166" s="6">
        <f>U166*X166</f>
        <v>0</v>
      </c>
    </row>
    <row r="167" spans="5:27" x14ac:dyDescent="0.3">
      <c r="E167" s="41"/>
      <c r="F167" s="41"/>
      <c r="G167" s="64"/>
      <c r="H167" s="64"/>
      <c r="I167" s="64"/>
      <c r="J167" s="64"/>
      <c r="K167" s="64"/>
      <c r="L167" s="64"/>
      <c r="M167" s="65"/>
      <c r="N167" s="64"/>
      <c r="O167" s="56">
        <f>SGA_prem_2normoglycaemia_1</f>
        <v>0.78449999999999998</v>
      </c>
      <c r="P167" s="64"/>
      <c r="Q167" s="56">
        <f>noHypo2CI_1</f>
        <v>3.3085576536761752E-2</v>
      </c>
      <c r="R167" s="56"/>
      <c r="S167" s="129"/>
      <c r="T167" s="105"/>
      <c r="U167" s="133"/>
      <c r="V167" s="133"/>
      <c r="W167" s="133"/>
      <c r="X167" s="133"/>
      <c r="Y167" s="133"/>
      <c r="Z167" s="134"/>
      <c r="AA167" s="6"/>
    </row>
    <row r="168" spans="5:27" x14ac:dyDescent="0.3">
      <c r="E168" s="41"/>
      <c r="F168" s="41"/>
      <c r="G168" s="64"/>
      <c r="H168" s="64"/>
      <c r="I168" s="64"/>
      <c r="J168" s="64"/>
      <c r="K168" s="64"/>
      <c r="L168" s="64"/>
      <c r="M168" s="65"/>
      <c r="N168" s="64"/>
      <c r="O168" s="57"/>
      <c r="P168" s="64"/>
      <c r="Q168" s="57">
        <f>c_cog+c_hosp_fu+c_CSG</f>
        <v>15766</v>
      </c>
      <c r="R168" s="57"/>
      <c r="S168" s="129"/>
      <c r="T168" s="105"/>
      <c r="U168" s="133"/>
      <c r="V168" s="133"/>
      <c r="W168" s="133"/>
      <c r="X168" s="133"/>
      <c r="Y168" s="133"/>
      <c r="Z168" s="134"/>
      <c r="AA168" s="6"/>
    </row>
    <row r="169" spans="5:27" x14ac:dyDescent="0.3">
      <c r="E169" s="41"/>
      <c r="F169" s="41"/>
      <c r="G169" s="64"/>
      <c r="H169" s="64"/>
      <c r="I169" s="64"/>
      <c r="J169" s="64"/>
      <c r="K169" s="64"/>
      <c r="L169" s="64"/>
      <c r="M169" s="65"/>
      <c r="N169" s="64"/>
      <c r="O169" s="64"/>
      <c r="P169" s="64"/>
      <c r="Q169" s="54" t="s">
        <v>369</v>
      </c>
      <c r="R169" s="54"/>
      <c r="S169" s="129"/>
      <c r="T169" s="105"/>
      <c r="U169" s="133">
        <f>$K$140*$I$129*$G$150*$E$78*$C$148*$A$103*$M$155*$O$167*Q170</f>
        <v>0</v>
      </c>
      <c r="V169" s="133">
        <v>0</v>
      </c>
      <c r="W169" s="134">
        <f>$K$141+$I$130+$G$151+$E$79+$C$149+$M$156+$O$168+Q171+$A$104</f>
        <v>64502.292610508106</v>
      </c>
      <c r="X169" s="133">
        <f>u_ChronicResp+u_CongnitiveImpairement</f>
        <v>17.805052694763283</v>
      </c>
      <c r="Y169" s="133"/>
      <c r="Z169" s="134">
        <f>U169*W169</f>
        <v>0</v>
      </c>
      <c r="AA169" s="6">
        <f>U169*X169</f>
        <v>0</v>
      </c>
    </row>
    <row r="170" spans="5:27" x14ac:dyDescent="0.3">
      <c r="E170" s="41"/>
      <c r="F170" s="41"/>
      <c r="G170" s="64"/>
      <c r="H170" s="64"/>
      <c r="I170" s="64"/>
      <c r="J170" s="64"/>
      <c r="K170" s="64"/>
      <c r="L170" s="64"/>
      <c r="M170" s="65"/>
      <c r="N170" s="64"/>
      <c r="O170" s="64"/>
      <c r="P170" s="64"/>
      <c r="Q170" s="56">
        <f>noRDS2CLD_1*noHypo2CI_1</f>
        <v>0</v>
      </c>
      <c r="R170" s="56"/>
      <c r="S170" s="129"/>
      <c r="T170" s="105"/>
      <c r="U170" s="133"/>
      <c r="V170" s="133"/>
      <c r="W170" s="133"/>
      <c r="X170" s="133"/>
      <c r="Y170" s="133"/>
      <c r="Z170" s="134"/>
      <c r="AA170" s="6"/>
    </row>
    <row r="171" spans="5:27" x14ac:dyDescent="0.3">
      <c r="E171" s="41"/>
      <c r="F171" s="41"/>
      <c r="G171" s="64"/>
      <c r="H171" s="64"/>
      <c r="I171" s="64"/>
      <c r="J171" s="64"/>
      <c r="K171" s="64"/>
      <c r="L171" s="64"/>
      <c r="M171" s="65"/>
      <c r="N171" s="64"/>
      <c r="O171" s="64"/>
      <c r="P171" s="64"/>
      <c r="Q171" s="57">
        <f>c_cog+c_lung+c_hosp_fu+c_CSG</f>
        <v>58348.510902399998</v>
      </c>
      <c r="R171" s="57"/>
      <c r="S171" s="129"/>
      <c r="T171" s="105"/>
      <c r="U171" s="133"/>
      <c r="V171" s="133"/>
      <c r="W171" s="133"/>
      <c r="X171" s="133"/>
      <c r="Y171" s="133"/>
      <c r="Z171" s="134"/>
      <c r="AA171" s="6"/>
    </row>
    <row r="172" spans="5:27" x14ac:dyDescent="0.3">
      <c r="E172" s="41"/>
      <c r="F172" s="41"/>
      <c r="G172" s="64"/>
      <c r="H172" s="64"/>
      <c r="I172" s="64"/>
      <c r="J172" s="64"/>
      <c r="K172" s="64"/>
      <c r="L172" s="64"/>
      <c r="M172" s="65"/>
      <c r="N172" s="64"/>
      <c r="O172" s="64"/>
      <c r="P172" s="64"/>
      <c r="Q172" s="54" t="s">
        <v>370</v>
      </c>
      <c r="R172" s="54"/>
      <c r="S172" s="129"/>
      <c r="T172" s="105"/>
      <c r="U172" s="133">
        <f>$K$140*$I$129*$G$150*$E$78*$C$148*$A$103*$M$155*$O$167*Q173</f>
        <v>0</v>
      </c>
      <c r="V172" s="133">
        <v>0</v>
      </c>
      <c r="W172" s="134">
        <f>$K$141+$I$130+$G$151+$E$79+$C$149+$M$156+$O$168+Q174+$A$104</f>
        <v>20556.781708108108</v>
      </c>
      <c r="X172" s="133">
        <f>u_Healthy</f>
        <v>0</v>
      </c>
      <c r="Y172" s="133"/>
      <c r="Z172" s="134">
        <f>U172*W172</f>
        <v>0</v>
      </c>
      <c r="AA172" s="6">
        <f>U172*X172</f>
        <v>0</v>
      </c>
    </row>
    <row r="173" spans="5:27" x14ac:dyDescent="0.3">
      <c r="E173" s="41"/>
      <c r="F173" s="41"/>
      <c r="G173" s="64"/>
      <c r="H173" s="64"/>
      <c r="I173" s="64"/>
      <c r="J173" s="64"/>
      <c r="K173" s="64"/>
      <c r="L173" s="64"/>
      <c r="M173" s="65"/>
      <c r="N173" s="64"/>
      <c r="O173" s="64"/>
      <c r="P173" s="64"/>
      <c r="Q173" s="56">
        <f>1-Q170-Q167-Q164</f>
        <v>0.9669144234632383</v>
      </c>
      <c r="R173" s="56"/>
      <c r="T173" s="105"/>
      <c r="U173" s="133"/>
      <c r="V173" s="133"/>
      <c r="W173" s="133"/>
      <c r="X173" s="133"/>
      <c r="Y173" s="133"/>
      <c r="Z173" s="134"/>
      <c r="AA173" s="6"/>
    </row>
    <row r="174" spans="5:27" x14ac:dyDescent="0.3">
      <c r="E174" s="41"/>
      <c r="F174" s="41"/>
      <c r="G174" s="64"/>
      <c r="H174" s="64"/>
      <c r="I174" s="64"/>
      <c r="J174" s="64"/>
      <c r="K174" s="64"/>
      <c r="L174" s="64"/>
      <c r="M174" s="65"/>
      <c r="N174" s="64"/>
      <c r="O174" s="64"/>
      <c r="P174" s="64"/>
      <c r="Q174" s="57">
        <f>c_clinic_fu+c_CSG</f>
        <v>14403</v>
      </c>
      <c r="R174" s="57"/>
      <c r="S174" s="129"/>
      <c r="T174" s="105"/>
      <c r="U174" s="133"/>
      <c r="V174" s="133"/>
      <c r="W174" s="133"/>
      <c r="X174" s="133"/>
      <c r="Y174" s="133"/>
      <c r="Z174" s="134"/>
      <c r="AA174" s="6"/>
    </row>
    <row r="175" spans="5:27" x14ac:dyDescent="0.3">
      <c r="E175" s="41"/>
      <c r="F175" s="41"/>
      <c r="G175" s="64"/>
      <c r="H175" s="64"/>
      <c r="I175" s="64"/>
      <c r="J175" s="64"/>
      <c r="K175" s="64"/>
      <c r="L175" s="64"/>
      <c r="M175" s="65"/>
      <c r="N175" s="64"/>
      <c r="O175" s="64"/>
      <c r="P175" s="64"/>
      <c r="Q175" s="65"/>
      <c r="R175" s="65"/>
      <c r="S175" s="129"/>
      <c r="T175" s="105"/>
      <c r="U175" s="133"/>
      <c r="V175" s="133"/>
      <c r="W175" s="133"/>
      <c r="X175" s="133"/>
      <c r="Y175" s="133"/>
      <c r="Z175" s="134"/>
      <c r="AA175" s="6"/>
    </row>
    <row r="176" spans="5:27" x14ac:dyDescent="0.3">
      <c r="E176" s="41"/>
      <c r="F176" s="41"/>
      <c r="G176" s="64"/>
      <c r="H176" s="64"/>
      <c r="I176" s="64"/>
      <c r="J176" s="64"/>
      <c r="K176" s="54" t="s">
        <v>165</v>
      </c>
      <c r="L176" s="54"/>
      <c r="M176" s="54"/>
      <c r="N176" s="54"/>
      <c r="O176" s="54"/>
      <c r="P176" s="54"/>
      <c r="Q176" s="54"/>
      <c r="R176" s="54"/>
      <c r="S176" s="129"/>
      <c r="T176" s="105"/>
      <c r="U176" s="133">
        <f>$K$177*$I$185*$G$150*$E$78*$C$148*$A$103</f>
        <v>1.9322769455137781E-3</v>
      </c>
      <c r="V176" s="133">
        <v>1.601529420806818E-3</v>
      </c>
      <c r="W176" s="134">
        <f>$K$178+$I$186+$G$151+$E$79+$C$149+$A$104</f>
        <v>7945.7817081081084</v>
      </c>
      <c r="X176" s="133">
        <f>u_Death</f>
        <v>19.181538114427529</v>
      </c>
      <c r="Y176" s="133"/>
      <c r="Z176" s="134">
        <f>U176*W176</f>
        <v>15.353450808662386</v>
      </c>
      <c r="AA176" s="6">
        <f>U176*X176</f>
        <v>3.7064043878002141E-2</v>
      </c>
    </row>
    <row r="177" spans="5:27" x14ac:dyDescent="0.3">
      <c r="E177" s="41"/>
      <c r="F177" s="41"/>
      <c r="G177" s="64"/>
      <c r="H177" s="64"/>
      <c r="I177" s="64"/>
      <c r="J177" s="64"/>
      <c r="K177" s="56">
        <f>AGA_prem_2d_1</f>
        <v>3.130575E-2</v>
      </c>
      <c r="L177" s="64"/>
      <c r="M177" s="64"/>
      <c r="N177" s="64"/>
      <c r="O177" s="64"/>
      <c r="P177" s="64"/>
      <c r="Q177" s="64"/>
      <c r="R177" s="64"/>
      <c r="S177" s="129"/>
      <c r="T177" s="105"/>
      <c r="U177" s="133"/>
      <c r="V177" s="133"/>
      <c r="W177" s="133"/>
      <c r="X177" s="133"/>
      <c r="Y177" s="133"/>
      <c r="Z177" s="134"/>
      <c r="AA177" s="6"/>
    </row>
    <row r="178" spans="5:27" x14ac:dyDescent="0.3">
      <c r="E178" s="41"/>
      <c r="F178" s="41"/>
      <c r="G178" s="64"/>
      <c r="H178" s="64"/>
      <c r="I178" s="64"/>
      <c r="J178" s="64"/>
      <c r="K178" s="57">
        <f>c_SB</f>
        <v>1792</v>
      </c>
      <c r="L178" s="64"/>
      <c r="M178" s="64"/>
      <c r="N178" s="64"/>
      <c r="O178" s="64"/>
      <c r="P178" s="64"/>
      <c r="Q178" s="64"/>
      <c r="R178" s="64"/>
      <c r="S178" s="129"/>
      <c r="T178" s="105"/>
      <c r="U178" s="133"/>
      <c r="V178" s="133"/>
      <c r="W178" s="133"/>
      <c r="X178" s="133"/>
      <c r="Y178" s="133"/>
      <c r="Z178" s="134"/>
      <c r="AA178" s="6"/>
    </row>
    <row r="179" spans="5:27" x14ac:dyDescent="0.3">
      <c r="E179" s="41"/>
      <c r="F179" s="41"/>
      <c r="G179" s="64"/>
      <c r="H179" s="64"/>
      <c r="I179" s="64"/>
      <c r="J179" s="64"/>
      <c r="K179" s="53"/>
      <c r="L179" s="53"/>
      <c r="M179" s="53"/>
      <c r="N179" s="53"/>
      <c r="O179" s="53"/>
      <c r="P179" s="53"/>
      <c r="Q179" s="53"/>
      <c r="R179" s="53"/>
      <c r="S179" s="129"/>
      <c r="T179" s="105"/>
      <c r="U179" s="133"/>
      <c r="V179" s="133"/>
      <c r="W179" s="133"/>
      <c r="X179" s="133"/>
      <c r="Y179" s="133"/>
      <c r="Z179" s="134"/>
      <c r="AA179" s="6"/>
    </row>
    <row r="180" spans="5:27" x14ac:dyDescent="0.3">
      <c r="E180" s="41"/>
      <c r="F180" s="41"/>
      <c r="G180" s="64"/>
      <c r="H180" s="64"/>
      <c r="I180" s="64"/>
      <c r="J180" s="64"/>
      <c r="K180" s="53"/>
      <c r="L180" s="53"/>
      <c r="M180" s="53"/>
      <c r="N180" s="53"/>
      <c r="O180" s="53"/>
      <c r="P180" s="53"/>
      <c r="Q180" s="54" t="s">
        <v>368</v>
      </c>
      <c r="R180" s="54"/>
      <c r="S180" s="129"/>
      <c r="T180" s="105"/>
      <c r="U180" s="133">
        <f>$K$196*$I$185*$G$150*$E$78*$C$148*$A$103*$M$191*$O$186*Q181</f>
        <v>1.3821545160127874E-3</v>
      </c>
      <c r="V180" s="133">
        <v>1.015486090417266E-3</v>
      </c>
      <c r="W180" s="134">
        <f>$K$197+$I$186+$G$151+$E$79+$C$149+$M$192+$O$187+Q182+$A$104</f>
        <v>94215.163158713738</v>
      </c>
      <c r="X180" s="133">
        <f>u_ChronicResp</f>
        <v>0.53465956747782661</v>
      </c>
      <c r="Y180" s="133"/>
      <c r="Z180" s="134">
        <f>U180*W180</f>
        <v>130.21991323669778</v>
      </c>
      <c r="AA180" s="6">
        <f>U180*X180</f>
        <v>7.3898213571892168E-4</v>
      </c>
    </row>
    <row r="181" spans="5:27" x14ac:dyDescent="0.3">
      <c r="E181" s="41"/>
      <c r="F181" s="41"/>
      <c r="G181" s="64"/>
      <c r="H181" s="64"/>
      <c r="I181" s="64"/>
      <c r="J181" s="64"/>
      <c r="K181" s="53"/>
      <c r="L181" s="53"/>
      <c r="M181" s="53"/>
      <c r="N181" s="53"/>
      <c r="O181" s="64"/>
      <c r="P181" s="64"/>
      <c r="Q181" s="56">
        <f>RDS2CLD_1-(Hypo2CI_1*RDS2CLD_1)</f>
        <v>0.34246866666666664</v>
      </c>
      <c r="R181" s="56"/>
      <c r="S181" s="129"/>
      <c r="T181" s="105"/>
      <c r="U181" s="133"/>
      <c r="V181" s="133"/>
      <c r="W181" s="133"/>
      <c r="X181" s="133"/>
      <c r="Y181" s="133"/>
      <c r="Z181" s="134"/>
      <c r="AA181" s="6"/>
    </row>
    <row r="182" spans="5:27" x14ac:dyDescent="0.3">
      <c r="E182" s="41"/>
      <c r="F182" s="41"/>
      <c r="G182" s="64"/>
      <c r="H182" s="64"/>
      <c r="I182" s="64"/>
      <c r="J182" s="64"/>
      <c r="K182" s="53"/>
      <c r="L182" s="53"/>
      <c r="M182" s="53"/>
      <c r="N182" s="53"/>
      <c r="O182" s="64"/>
      <c r="P182" s="64"/>
      <c r="Q182" s="57">
        <f>c_lung+c_hosp_fu+c_CSG</f>
        <v>54529.510902399998</v>
      </c>
      <c r="R182" s="57"/>
      <c r="S182" s="129"/>
      <c r="T182" s="105"/>
      <c r="U182" s="133"/>
      <c r="V182" s="133"/>
      <c r="W182" s="133"/>
      <c r="X182" s="133"/>
      <c r="Y182" s="133"/>
      <c r="Z182" s="134"/>
      <c r="AA182" s="6"/>
    </row>
    <row r="183" spans="5:27" x14ac:dyDescent="0.3">
      <c r="E183" s="41"/>
      <c r="F183" s="41"/>
      <c r="G183" s="64"/>
      <c r="H183" s="64"/>
      <c r="I183" s="64"/>
      <c r="J183" s="64"/>
      <c r="K183" s="53"/>
      <c r="L183" s="53"/>
      <c r="M183" s="53"/>
      <c r="N183" s="53"/>
      <c r="O183" s="64"/>
      <c r="P183" s="64"/>
      <c r="Q183" s="54" t="s">
        <v>226</v>
      </c>
      <c r="R183" s="54"/>
      <c r="S183" s="129"/>
      <c r="T183" s="105"/>
      <c r="U183" s="133">
        <f>$K$196*$I$185*$G$150*$E$78*$C$148*$A$103*$M$191*$O$186*Q184</f>
        <v>1.323841765599523E-4</v>
      </c>
      <c r="V183" s="133">
        <v>9.7264298839603314E-5</v>
      </c>
      <c r="W183" s="134">
        <f>$K$197+$I$186+$G$151+$E$79+$C$149+$M$192+$O$187+Q185+$A$104</f>
        <v>55451.652256313741</v>
      </c>
      <c r="X183" s="133">
        <f>u_CongnitiveImpairement</f>
        <v>17.270393127285455</v>
      </c>
      <c r="Y183" s="133"/>
      <c r="Z183" s="134">
        <f>U183*W183</f>
        <v>7.3409213228409156</v>
      </c>
      <c r="AA183" s="6">
        <f>U183*X183</f>
        <v>2.2863267730223445E-3</v>
      </c>
    </row>
    <row r="184" spans="5:27" x14ac:dyDescent="0.3">
      <c r="E184" s="41"/>
      <c r="F184" s="41"/>
      <c r="G184" s="64"/>
      <c r="H184" s="64"/>
      <c r="I184" s="54" t="s">
        <v>425</v>
      </c>
      <c r="J184" s="64"/>
      <c r="K184" s="64"/>
      <c r="L184" s="64"/>
      <c r="M184" s="64"/>
      <c r="N184" s="64"/>
      <c r="O184" s="64"/>
      <c r="P184" s="64"/>
      <c r="Q184" s="56">
        <f>Hypo2CI_1-(Hypo2CI_1*RDS2CLD_1)</f>
        <v>3.2801999999999998E-2</v>
      </c>
      <c r="R184" s="56"/>
      <c r="S184" s="129"/>
      <c r="T184" s="105"/>
      <c r="U184" s="133"/>
      <c r="V184" s="133"/>
      <c r="W184" s="133"/>
      <c r="X184" s="133"/>
      <c r="Y184" s="133"/>
      <c r="Z184" s="134"/>
      <c r="AA184" s="6"/>
    </row>
    <row r="185" spans="5:27" x14ac:dyDescent="0.3">
      <c r="E185" s="41"/>
      <c r="F185" s="41"/>
      <c r="G185" s="64"/>
      <c r="H185" s="64"/>
      <c r="I185" s="56">
        <f>NBW_prem_2AGA_1</f>
        <v>1</v>
      </c>
      <c r="J185" s="64"/>
      <c r="K185" s="64"/>
      <c r="L185" s="64"/>
      <c r="M185" s="64"/>
      <c r="N185" s="64"/>
      <c r="O185" s="54" t="s">
        <v>161</v>
      </c>
      <c r="P185" s="64"/>
      <c r="Q185" s="57">
        <f>c_cog+c_hosp_fu+c_CSG</f>
        <v>15766</v>
      </c>
      <c r="R185" s="57"/>
      <c r="S185" s="129"/>
      <c r="T185" s="105"/>
      <c r="U185" s="133"/>
      <c r="V185" s="133"/>
      <c r="W185" s="133"/>
      <c r="X185" s="133"/>
      <c r="Y185" s="133"/>
      <c r="Z185" s="134"/>
      <c r="AA185" s="6"/>
    </row>
    <row r="186" spans="5:27" x14ac:dyDescent="0.3">
      <c r="E186" s="41"/>
      <c r="F186" s="41"/>
      <c r="G186" s="64"/>
      <c r="H186" s="64"/>
      <c r="I186" s="57"/>
      <c r="J186" s="64"/>
      <c r="K186" s="64"/>
      <c r="L186" s="64"/>
      <c r="M186" s="64"/>
      <c r="N186" s="64"/>
      <c r="O186" s="56">
        <f>AGA_prem_2hypoglycaemia_1</f>
        <v>0.15</v>
      </c>
      <c r="P186" s="64"/>
      <c r="Q186" s="54" t="s">
        <v>369</v>
      </c>
      <c r="R186" s="54"/>
      <c r="S186" s="129"/>
      <c r="T186" s="105"/>
      <c r="U186" s="133">
        <f>$K$196*$I$185*$G$150*$E$78*$C$148*$A$103*$M$191*$O$186*Q187</f>
        <v>7.4789808666890116E-5</v>
      </c>
      <c r="V186" s="133">
        <v>5.494900137886823E-5</v>
      </c>
      <c r="W186" s="134">
        <f>$K$197+$I$186+$G$151+$E$79+$C$149+$M$192+$O$187+Q188+$A$104</f>
        <v>98034.163158713738</v>
      </c>
      <c r="X186" s="133">
        <f>u_ChronicResp+u_CongnitiveImpairement</f>
        <v>17.805052694763283</v>
      </c>
      <c r="Y186" s="133"/>
      <c r="Z186" s="134">
        <f>U186*W186</f>
        <v>7.3319563054588883</v>
      </c>
      <c r="AA186" s="6">
        <f>U186*X186</f>
        <v>1.3316364843452423E-3</v>
      </c>
    </row>
    <row r="187" spans="5:27" x14ac:dyDescent="0.3">
      <c r="E187" s="41"/>
      <c r="F187" s="41"/>
      <c r="G187" s="64"/>
      <c r="H187" s="64"/>
      <c r="I187" s="64"/>
      <c r="J187" s="64"/>
      <c r="K187" s="64"/>
      <c r="L187" s="64"/>
      <c r="M187" s="64"/>
      <c r="N187" s="64"/>
      <c r="O187" s="57">
        <f>c_hypo</f>
        <v>2936.2604000000001</v>
      </c>
      <c r="P187" s="64"/>
      <c r="Q187" s="56">
        <f>RDS2CLD_1*Hypo2CI_1</f>
        <v>1.8531333333333334E-2</v>
      </c>
      <c r="R187" s="56"/>
      <c r="S187" s="129"/>
      <c r="T187" s="105"/>
      <c r="U187" s="133"/>
      <c r="V187" s="133"/>
      <c r="W187" s="133"/>
      <c r="X187" s="133"/>
      <c r="Y187" s="133"/>
      <c r="Z187" s="134"/>
      <c r="AA187" s="6"/>
    </row>
    <row r="188" spans="5:27" x14ac:dyDescent="0.3">
      <c r="E188" s="41"/>
      <c r="F188" s="41"/>
      <c r="G188" s="64"/>
      <c r="H188" s="64"/>
      <c r="I188" s="64"/>
      <c r="J188" s="64"/>
      <c r="K188" s="64"/>
      <c r="L188" s="64"/>
      <c r="M188" s="65"/>
      <c r="N188" s="64"/>
      <c r="O188" s="53"/>
      <c r="P188" s="64"/>
      <c r="Q188" s="57">
        <f>c_lung+c_cog+c_hosp_fu+c_CSG</f>
        <v>58348.510902399998</v>
      </c>
      <c r="R188" s="57"/>
      <c r="S188" s="129"/>
      <c r="T188" s="105"/>
      <c r="U188" s="133"/>
      <c r="V188" s="133"/>
      <c r="W188" s="133"/>
      <c r="X188" s="133"/>
      <c r="Y188" s="133"/>
      <c r="Z188" s="134"/>
      <c r="AA188" s="6"/>
    </row>
    <row r="189" spans="5:27" x14ac:dyDescent="0.3">
      <c r="E189" s="41"/>
      <c r="F189" s="41"/>
      <c r="G189" s="64"/>
      <c r="H189" s="64"/>
      <c r="I189" s="64"/>
      <c r="J189" s="64"/>
      <c r="K189" s="64"/>
      <c r="L189" s="64"/>
      <c r="M189" s="64"/>
      <c r="N189" s="64"/>
      <c r="O189" s="64"/>
      <c r="P189" s="64"/>
      <c r="Q189" s="54" t="s">
        <v>370</v>
      </c>
      <c r="R189" s="54"/>
      <c r="S189" s="129"/>
      <c r="T189" s="105"/>
      <c r="U189" s="133">
        <f>$K$196*$I$185*$G$150*$E$78*$C$148*$A$103*$M$191*$O$186*Q190</f>
        <v>2.4465283538287292E-3</v>
      </c>
      <c r="V189" s="133">
        <v>1.7974947694643574E-3</v>
      </c>
      <c r="W189" s="134">
        <f>$K$197+$I$186+$G$151+$E$79+$C$149+$M$192+$O$187+Q191+$A$104</f>
        <v>54088.652256313741</v>
      </c>
      <c r="X189" s="133">
        <f>u_Healthy</f>
        <v>0</v>
      </c>
      <c r="Y189" s="133"/>
      <c r="Z189" s="134">
        <f>U189*W189</f>
        <v>132.32942136545384</v>
      </c>
      <c r="AA189" s="6">
        <f>U189*X189</f>
        <v>0</v>
      </c>
    </row>
    <row r="190" spans="5:27" x14ac:dyDescent="0.3">
      <c r="E190" s="41"/>
      <c r="F190" s="41"/>
      <c r="G190" s="64"/>
      <c r="H190" s="64"/>
      <c r="I190" s="64"/>
      <c r="J190" s="64"/>
      <c r="K190" s="64"/>
      <c r="L190" s="64"/>
      <c r="M190" s="54" t="s">
        <v>9</v>
      </c>
      <c r="N190" s="64"/>
      <c r="O190" s="64"/>
      <c r="P190" s="64"/>
      <c r="Q190" s="56">
        <f>1-Q181-Q184-Q187</f>
        <v>0.60619800000000001</v>
      </c>
      <c r="R190" s="56"/>
      <c r="S190" s="129"/>
      <c r="T190" s="105"/>
      <c r="U190" s="133"/>
      <c r="V190" s="133"/>
      <c r="W190" s="133"/>
      <c r="X190" s="133"/>
      <c r="Y190" s="133"/>
      <c r="Z190" s="134"/>
      <c r="AA190" s="6"/>
    </row>
    <row r="191" spans="5:27" x14ac:dyDescent="0.3">
      <c r="E191" s="41"/>
      <c r="F191" s="41"/>
      <c r="G191" s="64"/>
      <c r="H191" s="64"/>
      <c r="I191" s="64"/>
      <c r="J191" s="64"/>
      <c r="K191" s="65"/>
      <c r="L191" s="64"/>
      <c r="M191" s="56">
        <f>S_prem_2RDS_1</f>
        <v>0.45</v>
      </c>
      <c r="N191" s="64"/>
      <c r="O191" s="64"/>
      <c r="P191" s="64"/>
      <c r="Q191" s="57">
        <f>c_clinic_fu+c_CSG</f>
        <v>14403</v>
      </c>
      <c r="R191" s="57"/>
      <c r="S191" s="129"/>
      <c r="T191" s="105"/>
      <c r="U191" s="133"/>
      <c r="V191" s="133"/>
      <c r="W191" s="133"/>
      <c r="X191" s="133"/>
      <c r="Y191" s="133"/>
      <c r="Z191" s="134"/>
      <c r="AA191" s="6"/>
    </row>
    <row r="192" spans="5:27" x14ac:dyDescent="0.3">
      <c r="E192" s="41"/>
      <c r="F192" s="41"/>
      <c r="G192" s="64"/>
      <c r="H192" s="64"/>
      <c r="I192" s="64"/>
      <c r="J192" s="64"/>
      <c r="K192" s="65"/>
      <c r="L192" s="64"/>
      <c r="M192" s="57">
        <f>c_RDS</f>
        <v>30595.610148205637</v>
      </c>
      <c r="N192" s="64"/>
      <c r="O192" s="64"/>
      <c r="P192" s="64"/>
      <c r="Q192" s="65"/>
      <c r="R192" s="65"/>
      <c r="S192" s="129"/>
      <c r="T192" s="105"/>
      <c r="U192" s="133"/>
      <c r="V192" s="133"/>
      <c r="W192" s="133"/>
      <c r="X192" s="133"/>
      <c r="Y192" s="133"/>
      <c r="Z192" s="134"/>
      <c r="AA192" s="6"/>
    </row>
    <row r="193" spans="5:27" x14ac:dyDescent="0.3">
      <c r="E193" s="41"/>
      <c r="F193" s="41"/>
      <c r="G193" s="64"/>
      <c r="H193" s="64"/>
      <c r="I193" s="64"/>
      <c r="J193" s="64"/>
      <c r="K193" s="64"/>
      <c r="L193" s="64"/>
      <c r="M193" s="64"/>
      <c r="N193" s="64"/>
      <c r="O193" s="64"/>
      <c r="P193" s="64"/>
      <c r="Q193" s="54" t="s">
        <v>368</v>
      </c>
      <c r="R193" s="54"/>
      <c r="S193" s="129"/>
      <c r="T193" s="105"/>
      <c r="U193" s="133">
        <f>$K$196*$I$185*$G$150*$E$78*$C$148*$A$103*$M$191*$O$196*Q194</f>
        <v>7.9828627297222291E-3</v>
      </c>
      <c r="V193" s="133">
        <v>5.8651084012869732E-3</v>
      </c>
      <c r="W193" s="134">
        <f>$K$197+$I$186+$G$151+$E$79+$C$149+$M$192+$O$197+Q195+$A$104</f>
        <v>91278.902758713739</v>
      </c>
      <c r="X193" s="133">
        <f>u_ChronicResp</f>
        <v>0.53465956747782661</v>
      </c>
      <c r="Y193" s="133"/>
      <c r="Z193" s="134">
        <f>U193*W193</f>
        <v>728.66695084247544</v>
      </c>
      <c r="AA193" s="6">
        <f>U193*X193</f>
        <v>4.2681139343081495E-3</v>
      </c>
    </row>
    <row r="194" spans="5:27" x14ac:dyDescent="0.3">
      <c r="E194" s="41"/>
      <c r="F194" s="41"/>
      <c r="G194" s="64"/>
      <c r="H194" s="64"/>
      <c r="I194" s="64"/>
      <c r="J194" s="64"/>
      <c r="K194" s="64"/>
      <c r="L194" s="64"/>
      <c r="M194" s="64"/>
      <c r="N194" s="64"/>
      <c r="O194" s="64"/>
      <c r="P194" s="64"/>
      <c r="Q194" s="56">
        <f>RDS2CLD_1-(RDS2CLD_1*noHypo2CI_1)</f>
        <v>0.34905610687022898</v>
      </c>
      <c r="R194" s="56"/>
      <c r="S194" s="129"/>
      <c r="T194" s="105"/>
      <c r="U194" s="133"/>
      <c r="V194" s="133"/>
      <c r="W194" s="133"/>
      <c r="X194" s="133"/>
      <c r="Y194" s="133"/>
      <c r="Z194" s="134"/>
      <c r="AA194" s="6"/>
    </row>
    <row r="195" spans="5:27" x14ac:dyDescent="0.3">
      <c r="E195" s="41"/>
      <c r="F195" s="41"/>
      <c r="G195" s="64"/>
      <c r="H195" s="64"/>
      <c r="I195" s="64"/>
      <c r="J195" s="64"/>
      <c r="K195" s="54" t="s">
        <v>37</v>
      </c>
      <c r="L195" s="64"/>
      <c r="M195" s="65"/>
      <c r="N195" s="64"/>
      <c r="O195" s="54" t="s">
        <v>371</v>
      </c>
      <c r="P195" s="64"/>
      <c r="Q195" s="57">
        <f>c_lung+c_hosp_fu+c_CSG</f>
        <v>54529.510902399998</v>
      </c>
      <c r="R195" s="57"/>
      <c r="S195" s="129"/>
      <c r="T195" s="105"/>
      <c r="U195" s="133"/>
      <c r="V195" s="133"/>
      <c r="W195" s="133"/>
      <c r="X195" s="133"/>
      <c r="Y195" s="133"/>
      <c r="Z195" s="134"/>
      <c r="AA195" s="6"/>
    </row>
    <row r="196" spans="5:27" x14ac:dyDescent="0.3">
      <c r="E196" s="41"/>
      <c r="F196" s="41"/>
      <c r="G196" s="64"/>
      <c r="H196" s="64"/>
      <c r="I196" s="64"/>
      <c r="J196" s="64"/>
      <c r="K196" s="56">
        <f>AGA_prem_2s_1</f>
        <v>0.96869424999999998</v>
      </c>
      <c r="L196" s="64"/>
      <c r="M196" s="64"/>
      <c r="N196" s="64"/>
      <c r="O196" s="56">
        <f>AGA_prem_2normoglycaemia_1</f>
        <v>0.85</v>
      </c>
      <c r="P196" s="64"/>
      <c r="Q196" s="54" t="s">
        <v>226</v>
      </c>
      <c r="R196" s="54"/>
      <c r="S196" s="129"/>
      <c r="T196" s="105"/>
      <c r="U196" s="133">
        <f>$K$196*$I$185*$G$150*$E$78*$C$148*$A$103*$M$191*$O$196*Q197</f>
        <v>4.8350724479946904E-4</v>
      </c>
      <c r="V196" s="133">
        <v>3.5523877831419984E-4</v>
      </c>
      <c r="W196" s="134">
        <f>$K$197+$I$186+$G$151+$E$79+$C$149+$M$192+$O$197+Q198+$A$104</f>
        <v>52515.391856313741</v>
      </c>
      <c r="X196" s="133">
        <f>u_CongnitiveImpairement</f>
        <v>17.270393127285455</v>
      </c>
      <c r="Y196" s="133"/>
      <c r="Z196" s="134">
        <f>U196*W196</f>
        <v>25.391572426010732</v>
      </c>
      <c r="AA196" s="6">
        <f>U196*X196</f>
        <v>8.3503601975774763E-3</v>
      </c>
    </row>
    <row r="197" spans="5:27" x14ac:dyDescent="0.3">
      <c r="E197" s="41"/>
      <c r="F197" s="41"/>
      <c r="G197" s="64"/>
      <c r="H197" s="64"/>
      <c r="I197" s="64"/>
      <c r="J197" s="64"/>
      <c r="K197" s="57"/>
      <c r="L197" s="64"/>
      <c r="M197" s="64"/>
      <c r="N197" s="64"/>
      <c r="O197" s="57"/>
      <c r="P197" s="64"/>
      <c r="Q197" s="56">
        <f>noHypo2CI_1-(RDS2CLD_1*noHypo2CI_1)</f>
        <v>2.1141683406990762E-2</v>
      </c>
      <c r="R197" s="56"/>
      <c r="S197" s="129"/>
      <c r="T197" s="105"/>
      <c r="U197" s="133"/>
      <c r="V197" s="133"/>
      <c r="W197" s="133"/>
      <c r="X197" s="133"/>
      <c r="Y197" s="133"/>
      <c r="Z197" s="134"/>
      <c r="AA197" s="6"/>
    </row>
    <row r="198" spans="5:27" x14ac:dyDescent="0.3">
      <c r="E198" s="41"/>
      <c r="F198" s="41"/>
      <c r="G198" s="64"/>
      <c r="H198" s="64"/>
      <c r="I198" s="64"/>
      <c r="J198" s="64"/>
      <c r="K198" s="64"/>
      <c r="L198" s="64"/>
      <c r="M198" s="64"/>
      <c r="N198" s="64"/>
      <c r="O198" s="53"/>
      <c r="P198" s="64"/>
      <c r="Q198" s="57">
        <f>c_cog+c_hosp_fu+c_CSG</f>
        <v>15766</v>
      </c>
      <c r="R198" s="57"/>
      <c r="S198" s="129"/>
      <c r="T198" s="105"/>
      <c r="U198" s="133"/>
      <c r="V198" s="133"/>
      <c r="W198" s="133"/>
      <c r="X198" s="133"/>
      <c r="Y198" s="133"/>
      <c r="Z198" s="134"/>
      <c r="AA198" s="6"/>
    </row>
    <row r="199" spans="5:27" x14ac:dyDescent="0.3">
      <c r="E199" s="41"/>
      <c r="F199" s="41"/>
      <c r="G199" s="64"/>
      <c r="H199" s="64"/>
      <c r="I199" s="64"/>
      <c r="J199" s="64"/>
      <c r="K199" s="64"/>
      <c r="L199" s="64"/>
      <c r="M199" s="64"/>
      <c r="N199" s="64"/>
      <c r="O199" s="53"/>
      <c r="P199" s="64"/>
      <c r="Q199" s="54" t="s">
        <v>369</v>
      </c>
      <c r="R199" s="54"/>
      <c r="S199" s="129"/>
      <c r="T199" s="105"/>
      <c r="U199" s="133">
        <f>$K$196*$I$185*$G$150*$E$78*$C$148*$A$103*$M$191*$O$196*Q200</f>
        <v>2.7315511012927747E-4</v>
      </c>
      <c r="V199" s="133">
        <v>2.0069045222445401E-4</v>
      </c>
      <c r="W199" s="134">
        <f>$K$197+$I$186+$G$151+$E$79+$C$149+$M$192+$O$197+Q201+$A$104</f>
        <v>95097.902758713739</v>
      </c>
      <c r="X199" s="133">
        <f>u_ChronicResp+u_CongnitiveImpairement</f>
        <v>17.805052694763283</v>
      </c>
      <c r="Y199" s="133"/>
      <c r="Z199" s="134">
        <f>U199*W199</f>
        <v>25.976478101119771</v>
      </c>
      <c r="AA199" s="6">
        <f>U199*X199</f>
        <v>4.8635411296956534E-3</v>
      </c>
    </row>
    <row r="200" spans="5:27" x14ac:dyDescent="0.3">
      <c r="E200" s="41"/>
      <c r="F200" s="41"/>
      <c r="G200" s="64"/>
      <c r="H200" s="64"/>
      <c r="I200" s="64"/>
      <c r="J200" s="64"/>
      <c r="K200" s="64"/>
      <c r="L200" s="64"/>
      <c r="M200" s="64"/>
      <c r="N200" s="64"/>
      <c r="O200" s="53"/>
      <c r="P200" s="64"/>
      <c r="Q200" s="56">
        <f>RDS2CLD_1*noHypo2CI_1</f>
        <v>1.1943893129770991E-2</v>
      </c>
      <c r="R200" s="56"/>
      <c r="S200" s="129"/>
      <c r="T200" s="105"/>
      <c r="U200" s="133"/>
      <c r="V200" s="133"/>
      <c r="W200" s="133"/>
      <c r="X200" s="133"/>
      <c r="Y200" s="133"/>
      <c r="Z200" s="134"/>
      <c r="AA200" s="6"/>
    </row>
    <row r="201" spans="5:27" x14ac:dyDescent="0.3">
      <c r="E201" s="41"/>
      <c r="F201" s="41"/>
      <c r="G201" s="64"/>
      <c r="H201" s="64"/>
      <c r="I201" s="64"/>
      <c r="J201" s="64"/>
      <c r="K201" s="64"/>
      <c r="L201" s="64"/>
      <c r="M201" s="64"/>
      <c r="N201" s="64"/>
      <c r="O201" s="53"/>
      <c r="P201" s="64"/>
      <c r="Q201" s="57">
        <f>c_cog+c_lung+c_hosp_fu+c_CSG</f>
        <v>58348.510902399998</v>
      </c>
      <c r="R201" s="57"/>
      <c r="S201" s="129"/>
      <c r="T201" s="105"/>
      <c r="U201" s="133"/>
      <c r="V201" s="133"/>
      <c r="W201" s="133"/>
      <c r="X201" s="133"/>
      <c r="Y201" s="133"/>
      <c r="Z201" s="134"/>
      <c r="AA201" s="6"/>
    </row>
    <row r="202" spans="5:27" x14ac:dyDescent="0.3">
      <c r="E202" s="41"/>
      <c r="F202" s="41"/>
      <c r="G202" s="64"/>
      <c r="H202" s="64"/>
      <c r="I202" s="64"/>
      <c r="J202" s="64"/>
      <c r="K202" s="64"/>
      <c r="L202" s="64"/>
      <c r="M202" s="64"/>
      <c r="N202" s="64"/>
      <c r="O202" s="53"/>
      <c r="P202" s="64"/>
      <c r="Q202" s="54" t="s">
        <v>370</v>
      </c>
      <c r="R202" s="54"/>
      <c r="S202" s="129"/>
      <c r="T202" s="105"/>
      <c r="U202" s="133">
        <f>$K$196*$I$185*$G$150*$E$78*$C$148*$A$103*$M$191*$O$196*Q203</f>
        <v>1.4130330427403063E-2</v>
      </c>
      <c r="V202" s="133">
        <v>1.0381729275408246E-2</v>
      </c>
      <c r="W202" s="134">
        <f>$K$197+$I$186+$G$151+$E$79+$C$149+$M$192+$O$197+Q204+$A$104</f>
        <v>51152.391856313741</v>
      </c>
      <c r="X202" s="133">
        <f>u_Healthy</f>
        <v>0</v>
      </c>
      <c r="Y202" s="133"/>
      <c r="Z202" s="134">
        <f>U202*W202</f>
        <v>722.80019908171471</v>
      </c>
      <c r="AA202" s="6">
        <f>U202*X202</f>
        <v>0</v>
      </c>
    </row>
    <row r="203" spans="5:27" x14ac:dyDescent="0.3">
      <c r="E203" s="41"/>
      <c r="F203" s="41"/>
      <c r="G203" s="64"/>
      <c r="H203" s="64"/>
      <c r="I203" s="64"/>
      <c r="J203" s="64"/>
      <c r="K203" s="64"/>
      <c r="L203" s="64"/>
      <c r="M203" s="64"/>
      <c r="N203" s="64"/>
      <c r="O203" s="53"/>
      <c r="P203" s="64"/>
      <c r="Q203" s="56">
        <f>1-Q200-Q197-Q194</f>
        <v>0.61785831659300938</v>
      </c>
      <c r="R203" s="56"/>
      <c r="T203" s="105"/>
      <c r="U203" s="133"/>
      <c r="V203" s="133"/>
      <c r="W203" s="133"/>
      <c r="X203" s="133"/>
      <c r="Y203" s="133"/>
      <c r="Z203" s="134"/>
      <c r="AA203" s="6"/>
    </row>
    <row r="204" spans="5:27" x14ac:dyDescent="0.3">
      <c r="E204" s="41"/>
      <c r="F204" s="41"/>
      <c r="G204" s="64"/>
      <c r="H204" s="64"/>
      <c r="I204" s="64"/>
      <c r="J204" s="64"/>
      <c r="K204" s="64"/>
      <c r="L204" s="64"/>
      <c r="M204" s="64"/>
      <c r="N204" s="64"/>
      <c r="O204" s="64"/>
      <c r="P204" s="64"/>
      <c r="Q204" s="57">
        <f>c_clinic_fu+c_CSG</f>
        <v>14403</v>
      </c>
      <c r="R204" s="57"/>
      <c r="S204" s="129"/>
      <c r="T204" s="105"/>
      <c r="U204" s="133"/>
      <c r="V204" s="133"/>
      <c r="W204" s="133"/>
      <c r="X204" s="133"/>
      <c r="Y204" s="133"/>
      <c r="Z204" s="134"/>
      <c r="AA204" s="6"/>
    </row>
    <row r="205" spans="5:27" x14ac:dyDescent="0.3">
      <c r="E205" s="41"/>
      <c r="F205" s="41"/>
      <c r="G205" s="64"/>
      <c r="H205" s="64"/>
      <c r="I205" s="64"/>
      <c r="J205" s="64"/>
      <c r="K205" s="64"/>
      <c r="L205" s="64"/>
      <c r="M205" s="64"/>
      <c r="N205" s="64"/>
      <c r="O205" s="64"/>
      <c r="P205" s="64"/>
      <c r="Q205" s="65"/>
      <c r="R205" s="65"/>
      <c r="S205" s="129"/>
      <c r="T205" s="105"/>
      <c r="U205" s="133"/>
      <c r="V205" s="133"/>
      <c r="W205" s="133"/>
      <c r="X205" s="133"/>
      <c r="Y205" s="133"/>
      <c r="Z205" s="134"/>
      <c r="AA205" s="6"/>
    </row>
    <row r="206" spans="5:27" x14ac:dyDescent="0.3">
      <c r="E206" s="41"/>
      <c r="F206" s="41"/>
      <c r="G206" s="53"/>
      <c r="H206" s="64"/>
      <c r="I206" s="64"/>
      <c r="J206" s="64"/>
      <c r="K206" s="64"/>
      <c r="L206" s="64"/>
      <c r="M206" s="64"/>
      <c r="N206" s="64"/>
      <c r="O206" s="64"/>
      <c r="P206" s="64"/>
      <c r="Q206" s="54" t="s">
        <v>368</v>
      </c>
      <c r="R206" s="54"/>
      <c r="S206" s="129"/>
      <c r="T206" s="105"/>
      <c r="U206" s="133">
        <f>$K$196*$I$185*$G$150*$E$78*$C$148*$A$103*$M$211*$O$209*Q207</f>
        <v>0</v>
      </c>
      <c r="V206" s="133">
        <v>0</v>
      </c>
      <c r="W206" s="134">
        <f>$K$197+$I$186+$G$151+$E$79+$C$149+$M$212+$O$210+Q208+$A$104</f>
        <v>63619.553010508105</v>
      </c>
      <c r="X206" s="133">
        <f>u_ChronicResp</f>
        <v>0.53465956747782661</v>
      </c>
      <c r="Y206" s="133"/>
      <c r="Z206" s="134">
        <f>U206*W206</f>
        <v>0</v>
      </c>
      <c r="AA206" s="6">
        <f>U206*X206</f>
        <v>0</v>
      </c>
    </row>
    <row r="207" spans="5:27" x14ac:dyDescent="0.3">
      <c r="E207" s="41"/>
      <c r="F207" s="41"/>
      <c r="G207" s="64"/>
      <c r="H207" s="64"/>
      <c r="I207" s="64"/>
      <c r="J207" s="64"/>
      <c r="K207" s="64"/>
      <c r="L207" s="64"/>
      <c r="M207" s="64"/>
      <c r="N207" s="64"/>
      <c r="O207" s="64"/>
      <c r="P207" s="64"/>
      <c r="Q207" s="56">
        <f>noRDS2CLD_1-(Hypo2CI_1*noRDS2CLD_1)</f>
        <v>0</v>
      </c>
      <c r="R207" s="56"/>
      <c r="S207" s="129"/>
      <c r="T207" s="105"/>
      <c r="U207" s="133"/>
      <c r="V207" s="133"/>
      <c r="W207" s="133"/>
      <c r="X207" s="133"/>
      <c r="Y207" s="133"/>
      <c r="Z207" s="134"/>
      <c r="AA207" s="6"/>
    </row>
    <row r="208" spans="5:27" x14ac:dyDescent="0.3">
      <c r="E208" s="41"/>
      <c r="F208" s="41"/>
      <c r="G208" s="64"/>
      <c r="H208" s="64"/>
      <c r="I208" s="64"/>
      <c r="J208" s="64"/>
      <c r="K208" s="64"/>
      <c r="L208" s="64"/>
      <c r="M208" s="64"/>
      <c r="N208" s="64"/>
      <c r="O208" s="54" t="s">
        <v>161</v>
      </c>
      <c r="P208" s="64"/>
      <c r="Q208" s="57">
        <f>c_lung+c_hosp_fu+c_CSG</f>
        <v>54529.510902399998</v>
      </c>
      <c r="R208" s="57"/>
      <c r="S208" s="129"/>
      <c r="T208" s="105"/>
      <c r="U208" s="133"/>
      <c r="V208" s="133"/>
      <c r="W208" s="133"/>
      <c r="X208" s="133"/>
      <c r="Y208" s="133"/>
      <c r="Z208" s="134"/>
      <c r="AA208" s="6"/>
    </row>
    <row r="209" spans="5:27" x14ac:dyDescent="0.3">
      <c r="E209" s="41"/>
      <c r="F209" s="41"/>
      <c r="G209" s="64"/>
      <c r="H209" s="64"/>
      <c r="I209" s="64"/>
      <c r="J209" s="64"/>
      <c r="K209" s="64"/>
      <c r="L209" s="64"/>
      <c r="M209" s="64"/>
      <c r="N209" s="64"/>
      <c r="O209" s="56">
        <f>AGA_prem_2hypoglycaemia_1</f>
        <v>0.15</v>
      </c>
      <c r="P209" s="64"/>
      <c r="Q209" s="54" t="s">
        <v>226</v>
      </c>
      <c r="R209" s="54"/>
      <c r="S209" s="129"/>
      <c r="T209" s="105"/>
      <c r="U209" s="133">
        <f>$K$196*$I$185*$G$150*$E$78*$C$148*$A$103*$M$211*$O$209*Q210</f>
        <v>2.5321264861058522E-4</v>
      </c>
      <c r="V209" s="133">
        <v>1.8603847804479857E-4</v>
      </c>
      <c r="W209" s="134">
        <f>$K$197+$I$186+$G$151+$E$79+$C$149+$M$212+$O$210+Q211+$A$104</f>
        <v>24856.042108108108</v>
      </c>
      <c r="X209" s="133">
        <f>u_CongnitiveImpairement</f>
        <v>17.270393127285455</v>
      </c>
      <c r="Y209" s="133"/>
      <c r="Z209" s="134">
        <f>U209*W209</f>
        <v>6.2938642561702878</v>
      </c>
      <c r="AA209" s="6">
        <f>U209*X209</f>
        <v>4.3730819863059978E-3</v>
      </c>
    </row>
    <row r="210" spans="5:27" x14ac:dyDescent="0.3">
      <c r="E210" s="41"/>
      <c r="F210" s="41"/>
      <c r="G210" s="64"/>
      <c r="H210" s="64"/>
      <c r="I210" s="64"/>
      <c r="J210" s="64"/>
      <c r="K210" s="64"/>
      <c r="L210" s="64"/>
      <c r="M210" s="54" t="s">
        <v>203</v>
      </c>
      <c r="N210" s="64"/>
      <c r="O210" s="57">
        <f>c_hypo</f>
        <v>2936.2604000000001</v>
      </c>
      <c r="P210" s="64"/>
      <c r="Q210" s="56">
        <f>Hypo2CI_1-(Hypo2CI_1*noRDS2CLD_1)</f>
        <v>5.1333333333333335E-2</v>
      </c>
      <c r="R210" s="56"/>
      <c r="S210" s="129"/>
      <c r="T210" s="105"/>
      <c r="U210" s="133"/>
      <c r="V210" s="133"/>
      <c r="W210" s="133"/>
      <c r="X210" s="133"/>
      <c r="Y210" s="133"/>
      <c r="Z210" s="134"/>
      <c r="AA210" s="6"/>
    </row>
    <row r="211" spans="5:27" x14ac:dyDescent="0.3">
      <c r="E211" s="41"/>
      <c r="F211" s="41"/>
      <c r="G211" s="64"/>
      <c r="H211" s="64"/>
      <c r="I211" s="64"/>
      <c r="J211" s="64"/>
      <c r="K211" s="64"/>
      <c r="L211" s="64"/>
      <c r="M211" s="56">
        <f>S_prem_2noRDS_1</f>
        <v>0.55000000000000004</v>
      </c>
      <c r="N211" s="64"/>
      <c r="O211" s="53"/>
      <c r="P211" s="64"/>
      <c r="Q211" s="57">
        <f>c_cog+c_hosp_fu+c_CSG</f>
        <v>15766</v>
      </c>
      <c r="R211" s="57"/>
      <c r="S211" s="129"/>
      <c r="T211" s="105"/>
      <c r="U211" s="133"/>
      <c r="V211" s="133"/>
      <c r="W211" s="133"/>
      <c r="X211" s="133"/>
      <c r="Y211" s="133"/>
      <c r="Z211" s="134"/>
      <c r="AA211" s="6"/>
    </row>
    <row r="212" spans="5:27" x14ac:dyDescent="0.3">
      <c r="E212" s="41"/>
      <c r="F212" s="41"/>
      <c r="G212" s="64"/>
      <c r="H212" s="64"/>
      <c r="I212" s="64"/>
      <c r="J212" s="64"/>
      <c r="K212" s="64"/>
      <c r="L212" s="64"/>
      <c r="M212" s="57"/>
      <c r="N212" s="64"/>
      <c r="O212" s="65"/>
      <c r="P212" s="64"/>
      <c r="Q212" s="54" t="s">
        <v>369</v>
      </c>
      <c r="R212" s="54"/>
      <c r="S212" s="129"/>
      <c r="T212" s="105"/>
      <c r="U212" s="134">
        <f>$K$196*$I$185*$G$150*$E$78*$C$148*$A$103*$M$211*$O$209*Q213</f>
        <v>0</v>
      </c>
      <c r="V212" s="133">
        <v>0</v>
      </c>
      <c r="W212" s="134">
        <f>$K$197+$I$186+$G$151+$E$79+$C$149+$M$212+$O$210+Q214+$A$104</f>
        <v>67438.553010508098</v>
      </c>
      <c r="X212" s="133">
        <f>u_ChronicResp+u_CongnitiveImpairement</f>
        <v>17.805052694763283</v>
      </c>
      <c r="Y212" s="133"/>
      <c r="Z212" s="134">
        <f>U212*W212</f>
        <v>0</v>
      </c>
      <c r="AA212" s="6">
        <f>U212*X212</f>
        <v>0</v>
      </c>
    </row>
    <row r="213" spans="5:27" x14ac:dyDescent="0.3">
      <c r="E213" s="41"/>
      <c r="F213" s="41"/>
      <c r="G213" s="64"/>
      <c r="H213" s="64"/>
      <c r="I213" s="53"/>
      <c r="J213" s="53"/>
      <c r="K213" s="64"/>
      <c r="L213" s="64"/>
      <c r="M213" s="65"/>
      <c r="N213" s="64"/>
      <c r="O213" s="41"/>
      <c r="P213" s="64"/>
      <c r="Q213" s="56">
        <f>noRDS2CLD_1*Hypo2CI_1</f>
        <v>0</v>
      </c>
      <c r="R213" s="56"/>
      <c r="S213" s="129"/>
      <c r="T213" s="105"/>
      <c r="U213" s="133"/>
      <c r="V213" s="134"/>
      <c r="W213" s="134"/>
      <c r="X213" s="133"/>
      <c r="Y213" s="133"/>
      <c r="Z213" s="134"/>
      <c r="AA213" s="6"/>
    </row>
    <row r="214" spans="5:27" x14ac:dyDescent="0.3">
      <c r="E214" s="41"/>
      <c r="F214" s="41"/>
      <c r="G214" s="64"/>
      <c r="H214" s="64"/>
      <c r="I214" s="53"/>
      <c r="J214" s="53"/>
      <c r="K214" s="64"/>
      <c r="L214" s="64"/>
      <c r="M214" s="65"/>
      <c r="N214" s="64"/>
      <c r="O214" s="41"/>
      <c r="P214" s="64"/>
      <c r="Q214" s="57">
        <f>c_lung+c_cog+c_hosp_fu+c_CSG</f>
        <v>58348.510902399998</v>
      </c>
      <c r="R214" s="57"/>
      <c r="S214" s="129"/>
      <c r="T214" s="105"/>
      <c r="U214" s="133"/>
      <c r="V214" s="133"/>
      <c r="W214" s="133"/>
      <c r="X214" s="133"/>
      <c r="Y214" s="133"/>
      <c r="Z214" s="134"/>
      <c r="AA214" s="6"/>
    </row>
    <row r="215" spans="5:27" x14ac:dyDescent="0.3">
      <c r="F215" s="41"/>
      <c r="G215" s="64"/>
      <c r="H215" s="64"/>
      <c r="I215" s="53"/>
      <c r="J215" s="53"/>
      <c r="K215" s="64"/>
      <c r="L215" s="64"/>
      <c r="M215" s="65"/>
      <c r="N215" s="64"/>
      <c r="O215" s="41"/>
      <c r="P215" s="64"/>
      <c r="Q215" s="54" t="s">
        <v>370</v>
      </c>
      <c r="R215" s="54"/>
      <c r="S215" s="129"/>
      <c r="T215" s="105"/>
      <c r="U215" s="135">
        <f>$K$196*$I$185*$G$150*$E$78*$C$148*$A$103*$M$211*$O$209*Q216</f>
        <v>4.6795012853618539E-3</v>
      </c>
      <c r="V215" s="133">
        <v>3.4380877176330956E-3</v>
      </c>
      <c r="W215" s="134">
        <f>$K$197+$I$186+$G$151+$E$79+$C$149+$M$212+$O$210+Q217+$A$104</f>
        <v>23493.042108108108</v>
      </c>
      <c r="X215" s="133">
        <f>u_Healthy</f>
        <v>0</v>
      </c>
      <c r="Y215" s="133"/>
      <c r="Z215" s="134">
        <f>U215*W215</f>
        <v>109.93572074195205</v>
      </c>
      <c r="AA215" s="6">
        <f>U215*X215</f>
        <v>0</v>
      </c>
    </row>
    <row r="216" spans="5:27" x14ac:dyDescent="0.3">
      <c r="F216" s="41"/>
      <c r="G216" s="64"/>
      <c r="H216" s="64"/>
      <c r="I216" s="53"/>
      <c r="J216" s="53"/>
      <c r="K216" s="64"/>
      <c r="L216" s="64"/>
      <c r="M216" s="65"/>
      <c r="N216" s="64"/>
      <c r="O216" s="65"/>
      <c r="P216" s="64"/>
      <c r="Q216" s="56">
        <f>1-Q213-Q210-Q207</f>
        <v>0.94866666666666666</v>
      </c>
      <c r="R216" s="56"/>
      <c r="T216" s="105"/>
      <c r="U216" s="133"/>
      <c r="V216" s="135"/>
      <c r="W216" s="133"/>
      <c r="X216" s="133"/>
      <c r="Y216" s="133"/>
      <c r="Z216" s="134"/>
      <c r="AA216" s="6"/>
    </row>
    <row r="217" spans="5:27" x14ac:dyDescent="0.3">
      <c r="F217" s="41"/>
      <c r="G217" s="64"/>
      <c r="H217" s="64"/>
      <c r="I217" s="53"/>
      <c r="J217" s="53"/>
      <c r="K217" s="64"/>
      <c r="L217" s="64"/>
      <c r="M217" s="65"/>
      <c r="N217" s="64"/>
      <c r="O217" s="64"/>
      <c r="P217" s="64"/>
      <c r="Q217" s="57">
        <f>c_clinic_fu+c_CSG</f>
        <v>14403</v>
      </c>
      <c r="R217" s="57"/>
      <c r="S217" s="129"/>
      <c r="T217" s="105"/>
      <c r="U217" s="135"/>
      <c r="V217" s="133"/>
      <c r="W217" s="133"/>
      <c r="X217" s="133"/>
      <c r="Y217" s="133"/>
      <c r="Z217" s="134"/>
      <c r="AA217" s="6"/>
    </row>
    <row r="218" spans="5:27" x14ac:dyDescent="0.3">
      <c r="E218" s="41"/>
      <c r="F218" s="41"/>
      <c r="G218" s="64"/>
      <c r="H218" s="64"/>
      <c r="I218" s="41"/>
      <c r="J218" s="64"/>
      <c r="K218" s="64"/>
      <c r="L218" s="64"/>
      <c r="M218" s="65"/>
      <c r="N218" s="64"/>
      <c r="O218" s="64"/>
      <c r="P218" s="64"/>
      <c r="Q218" s="65"/>
      <c r="R218" s="65"/>
      <c r="S218" s="130"/>
      <c r="T218" s="105"/>
      <c r="U218" s="135"/>
      <c r="V218" s="135"/>
      <c r="W218" s="133"/>
      <c r="X218" s="133"/>
      <c r="Y218" s="133"/>
      <c r="Z218" s="134"/>
      <c r="AA218" s="6"/>
    </row>
    <row r="219" spans="5:27" x14ac:dyDescent="0.3">
      <c r="E219" s="41"/>
      <c r="F219" s="41"/>
      <c r="G219" s="64"/>
      <c r="H219" s="64"/>
      <c r="I219" s="41"/>
      <c r="J219" s="64"/>
      <c r="K219" s="64"/>
      <c r="L219" s="64"/>
      <c r="M219" s="65"/>
      <c r="N219" s="64"/>
      <c r="O219" s="64"/>
      <c r="P219" s="64"/>
      <c r="Q219" s="54" t="s">
        <v>368</v>
      </c>
      <c r="R219" s="54"/>
      <c r="S219" s="129"/>
      <c r="T219" s="105"/>
      <c r="U219" s="135">
        <f>$K$196*$I$185*$G$150*$E$78*$C$148*$A$103*$M$211*$O$223*Q220</f>
        <v>0</v>
      </c>
      <c r="V219" s="135">
        <v>0</v>
      </c>
      <c r="W219" s="134">
        <f>$K$197+$I$186+$G$151+$E$79+$C$149+$M$212+$O$224+Q221+$A$104</f>
        <v>62712.553010508105</v>
      </c>
      <c r="X219" s="133">
        <f>u_ChronicResp</f>
        <v>0.53465956747782661</v>
      </c>
      <c r="Y219" s="133"/>
      <c r="Z219" s="134">
        <f>U219*W219</f>
        <v>0</v>
      </c>
      <c r="AA219" s="6">
        <f>U219*X219</f>
        <v>0</v>
      </c>
    </row>
    <row r="220" spans="5:27" x14ac:dyDescent="0.3">
      <c r="E220" s="41"/>
      <c r="F220" s="41"/>
      <c r="G220" s="64"/>
      <c r="H220" s="64"/>
      <c r="I220" s="41"/>
      <c r="J220" s="64"/>
      <c r="K220" s="64"/>
      <c r="L220" s="64"/>
      <c r="M220" s="65"/>
      <c r="N220" s="64"/>
      <c r="O220" s="64"/>
      <c r="P220" s="64"/>
      <c r="Q220" s="56">
        <f>noRDS2CLD_1-(noRDS2CLD_1*noHypo2CI_1)</f>
        <v>0</v>
      </c>
      <c r="R220" s="56"/>
      <c r="S220" s="129"/>
      <c r="T220" s="105"/>
      <c r="U220" s="135"/>
      <c r="V220" s="135"/>
      <c r="W220" s="133"/>
      <c r="X220" s="133"/>
      <c r="Y220" s="133"/>
      <c r="Z220" s="134"/>
      <c r="AA220" s="6"/>
    </row>
    <row r="221" spans="5:27" x14ac:dyDescent="0.3">
      <c r="E221" s="41"/>
      <c r="F221" s="41"/>
      <c r="G221" s="64"/>
      <c r="H221" s="64"/>
      <c r="I221" s="64"/>
      <c r="J221" s="64"/>
      <c r="K221" s="64"/>
      <c r="L221" s="64"/>
      <c r="M221" s="65"/>
      <c r="N221" s="64"/>
      <c r="O221" s="64"/>
      <c r="P221" s="64"/>
      <c r="Q221" s="57">
        <f>c_lung+c_hypo+c_CSG</f>
        <v>56558.771302399997</v>
      </c>
      <c r="R221" s="57"/>
      <c r="S221" s="129"/>
      <c r="T221" s="105"/>
      <c r="U221" s="135"/>
      <c r="V221" s="135"/>
      <c r="W221" s="133"/>
      <c r="X221" s="133"/>
      <c r="Y221" s="133"/>
      <c r="Z221" s="134"/>
      <c r="AA221" s="6"/>
    </row>
    <row r="222" spans="5:27" x14ac:dyDescent="0.3">
      <c r="E222" s="41"/>
      <c r="F222" s="41"/>
      <c r="G222" s="64"/>
      <c r="H222" s="64"/>
      <c r="I222" s="64"/>
      <c r="J222" s="64"/>
      <c r="K222" s="64"/>
      <c r="L222" s="64"/>
      <c r="M222" s="65"/>
      <c r="N222" s="64"/>
      <c r="O222" s="54" t="s">
        <v>371</v>
      </c>
      <c r="P222" s="64"/>
      <c r="Q222" s="54" t="s">
        <v>226</v>
      </c>
      <c r="R222" s="54"/>
      <c r="S222" s="129"/>
      <c r="T222" s="105"/>
      <c r="U222" s="135">
        <f>$K$196*$I$185*$G$150*$E$78*$C$148*$A$103*$M$211*$O$223*Q223</f>
        <v>9.2480954491291239E-4</v>
      </c>
      <c r="V222" s="135">
        <v>6.7946905954724347E-4</v>
      </c>
      <c r="W222" s="134">
        <f>$K$197+$I$186+$G$151+$E$79+$C$149+$M$212+$O$224+Q224+$A$104</f>
        <v>21919.781708108108</v>
      </c>
      <c r="X222" s="133">
        <f>u_CongnitiveImpairement</f>
        <v>17.270393127285455</v>
      </c>
      <c r="Y222" s="133"/>
      <c r="Z222" s="134">
        <f>U222*W222</f>
        <v>20.271623346065841</v>
      </c>
      <c r="AA222" s="6">
        <f>U222*X222</f>
        <v>1.5971824408511952E-2</v>
      </c>
    </row>
    <row r="223" spans="5:27" x14ac:dyDescent="0.3">
      <c r="E223" s="41"/>
      <c r="F223" s="41"/>
      <c r="G223" s="64"/>
      <c r="H223" s="64"/>
      <c r="I223" s="64"/>
      <c r="J223" s="64"/>
      <c r="K223" s="64"/>
      <c r="L223" s="64"/>
      <c r="M223" s="65"/>
      <c r="N223" s="64"/>
      <c r="O223" s="56">
        <f>AGA_prem_2normoglycaemia_1</f>
        <v>0.85</v>
      </c>
      <c r="P223" s="64"/>
      <c r="Q223" s="56">
        <f>noHypo2CI_1</f>
        <v>3.3085576536761752E-2</v>
      </c>
      <c r="R223" s="56"/>
      <c r="S223" s="129"/>
      <c r="T223" s="105"/>
      <c r="U223" s="135"/>
      <c r="V223" s="135"/>
      <c r="W223" s="133"/>
      <c r="X223" s="133"/>
      <c r="Y223" s="133"/>
      <c r="Z223" s="134"/>
      <c r="AA223" s="6"/>
    </row>
    <row r="224" spans="5:27" x14ac:dyDescent="0.3">
      <c r="E224" s="41"/>
      <c r="F224" s="41"/>
      <c r="G224" s="64"/>
      <c r="H224" s="64"/>
      <c r="I224" s="64"/>
      <c r="J224" s="64"/>
      <c r="K224" s="64"/>
      <c r="L224" s="64"/>
      <c r="M224" s="65"/>
      <c r="N224" s="64"/>
      <c r="O224" s="57"/>
      <c r="P224" s="64"/>
      <c r="Q224" s="57">
        <f>c_cog+c_hosp_fu+c_CSG</f>
        <v>15766</v>
      </c>
      <c r="R224" s="57"/>
      <c r="S224" s="129"/>
      <c r="T224" s="105"/>
      <c r="U224" s="135"/>
      <c r="V224" s="135"/>
      <c r="W224" s="133"/>
      <c r="X224" s="133"/>
      <c r="Y224" s="133"/>
      <c r="Z224" s="134"/>
      <c r="AA224" s="6"/>
    </row>
    <row r="225" spans="1:27" x14ac:dyDescent="0.3">
      <c r="E225" s="41"/>
      <c r="F225" s="41"/>
      <c r="G225" s="65"/>
      <c r="H225" s="64"/>
      <c r="I225" s="64"/>
      <c r="J225" s="64"/>
      <c r="K225" s="64"/>
      <c r="L225" s="64"/>
      <c r="M225" s="65"/>
      <c r="N225" s="64"/>
      <c r="O225" s="64"/>
      <c r="P225" s="64"/>
      <c r="Q225" s="54" t="s">
        <v>369</v>
      </c>
      <c r="R225" s="54"/>
      <c r="S225" s="129"/>
      <c r="T225" s="105"/>
      <c r="U225" s="135">
        <f>$K$196*$I$185*$G$150*$E$78*$C$148*$A$103*$M$211*$O$223*Q226</f>
        <v>0</v>
      </c>
      <c r="V225" s="135">
        <v>0</v>
      </c>
      <c r="W225" s="134">
        <f>$K$197+$I$186+$G$151+$E$79+$C$149+$M$212+$O$224+Q227+$A$104</f>
        <v>64502.292610508106</v>
      </c>
      <c r="X225" s="133">
        <f>u_ChronicResp+u_CongnitiveImpairement</f>
        <v>17.805052694763283</v>
      </c>
      <c r="Y225" s="133"/>
      <c r="Z225" s="134">
        <f>U225*W225</f>
        <v>0</v>
      </c>
      <c r="AA225" s="6">
        <f>U225*X225</f>
        <v>0</v>
      </c>
    </row>
    <row r="226" spans="1:27" x14ac:dyDescent="0.3">
      <c r="E226" s="41"/>
      <c r="F226" s="41"/>
      <c r="G226" s="64"/>
      <c r="H226" s="64"/>
      <c r="I226" s="64"/>
      <c r="J226" s="64"/>
      <c r="K226" s="64"/>
      <c r="L226" s="64"/>
      <c r="M226" s="53"/>
      <c r="N226" s="64"/>
      <c r="O226" s="64"/>
      <c r="P226" s="64"/>
      <c r="Q226" s="56">
        <f>noRDS2CLD_1*noHypo2CI_1</f>
        <v>0</v>
      </c>
      <c r="R226" s="56"/>
      <c r="S226" s="129"/>
      <c r="T226" s="105"/>
      <c r="U226" s="135"/>
      <c r="V226" s="135"/>
      <c r="W226" s="133"/>
      <c r="X226" s="133"/>
      <c r="Y226" s="133"/>
      <c r="Z226" s="134"/>
      <c r="AA226" s="6"/>
    </row>
    <row r="227" spans="1:27" x14ac:dyDescent="0.3">
      <c r="E227" s="41"/>
      <c r="F227" s="41"/>
      <c r="G227" s="64"/>
      <c r="H227" s="64"/>
      <c r="I227" s="64"/>
      <c r="J227" s="64"/>
      <c r="K227" s="64"/>
      <c r="L227" s="64"/>
      <c r="M227" s="44"/>
      <c r="N227" s="64"/>
      <c r="O227" s="64"/>
      <c r="P227" s="64"/>
      <c r="Q227" s="57">
        <f>c_cog+c_lung+c_hosp_fu+c_CSG</f>
        <v>58348.510902399998</v>
      </c>
      <c r="R227" s="57"/>
      <c r="S227" s="129"/>
      <c r="T227" s="105"/>
      <c r="U227" s="135"/>
      <c r="V227" s="135"/>
      <c r="W227" s="133"/>
      <c r="X227" s="133"/>
      <c r="Y227" s="133"/>
      <c r="Z227" s="134"/>
      <c r="AA227" s="6"/>
    </row>
    <row r="228" spans="1:27" x14ac:dyDescent="0.3">
      <c r="E228" s="41"/>
      <c r="F228" s="41"/>
      <c r="G228" s="64"/>
      <c r="H228" s="64"/>
      <c r="I228" s="64"/>
      <c r="J228" s="64"/>
      <c r="K228" s="64"/>
      <c r="L228" s="64"/>
      <c r="M228" s="65"/>
      <c r="N228" s="64"/>
      <c r="O228" s="64"/>
      <c r="P228" s="64"/>
      <c r="Q228" s="54" t="s">
        <v>370</v>
      </c>
      <c r="R228" s="54"/>
      <c r="S228" s="129"/>
      <c r="T228" s="105"/>
      <c r="U228" s="135">
        <f>$K$196*$I$185*$G$150*$E$78*$C$148*$A$103*$M$211*$O$223*Q229</f>
        <v>2.7027236080930911E-2</v>
      </c>
      <c r="V228" s="135">
        <v>1.9857246049294158E-2</v>
      </c>
      <c r="W228" s="134">
        <f>$K$197+$I$186+$G$151+$E$79+$C$149+$M$212+$O$224+Q230+$A$104</f>
        <v>20556.781708108108</v>
      </c>
      <c r="X228" s="133">
        <f>u_Healthy</f>
        <v>0</v>
      </c>
      <c r="Y228" s="133"/>
      <c r="Z228" s="134">
        <f>U228*W228</f>
        <v>555.59299228920008</v>
      </c>
      <c r="AA228" s="6">
        <f>U228*X228</f>
        <v>0</v>
      </c>
    </row>
    <row r="229" spans="1:27" x14ac:dyDescent="0.3">
      <c r="E229" s="41"/>
      <c r="F229" s="41"/>
      <c r="G229" s="64"/>
      <c r="H229" s="64"/>
      <c r="I229" s="64"/>
      <c r="J229" s="64"/>
      <c r="K229" s="64"/>
      <c r="L229" s="64"/>
      <c r="M229" s="65"/>
      <c r="N229" s="44"/>
      <c r="O229" s="64"/>
      <c r="P229" s="64"/>
      <c r="Q229" s="56">
        <f>1-Q226-Q223-Q220</f>
        <v>0.9669144234632383</v>
      </c>
      <c r="R229" s="56"/>
      <c r="T229" s="105"/>
      <c r="U229" s="135"/>
      <c r="V229" s="135"/>
      <c r="W229" s="133"/>
      <c r="X229" s="133"/>
      <c r="Y229" s="133"/>
      <c r="Z229" s="134"/>
      <c r="AA229" s="6"/>
    </row>
    <row r="230" spans="1:27" x14ac:dyDescent="0.3">
      <c r="E230" s="41"/>
      <c r="F230" s="41"/>
      <c r="G230" s="64"/>
      <c r="H230" s="64"/>
      <c r="I230" s="64"/>
      <c r="J230" s="64"/>
      <c r="K230" s="64"/>
      <c r="L230" s="64"/>
      <c r="M230" s="65"/>
      <c r="N230" s="64"/>
      <c r="O230" s="64"/>
      <c r="P230" s="64"/>
      <c r="Q230" s="57">
        <f>c_clinic_fu+c_CSG</f>
        <v>14403</v>
      </c>
      <c r="R230" s="57"/>
      <c r="S230" s="129"/>
      <c r="T230" s="105"/>
      <c r="U230" s="135"/>
      <c r="V230" s="135"/>
      <c r="W230" s="133"/>
      <c r="X230" s="133"/>
      <c r="Y230" s="133"/>
      <c r="Z230" s="134"/>
      <c r="AA230" s="6"/>
    </row>
    <row r="231" spans="1:27" x14ac:dyDescent="0.3">
      <c r="E231" s="41"/>
      <c r="F231" s="41"/>
      <c r="G231" s="64"/>
      <c r="H231" s="64"/>
      <c r="I231" s="64"/>
      <c r="J231" s="64"/>
      <c r="K231" s="64"/>
      <c r="L231" s="64"/>
      <c r="M231" s="65"/>
      <c r="N231" s="64"/>
      <c r="O231" s="64"/>
      <c r="P231" s="64"/>
      <c r="Q231" s="65"/>
      <c r="R231" s="65"/>
      <c r="T231" s="105"/>
      <c r="U231" s="135"/>
      <c r="V231" s="135"/>
      <c r="W231" s="133"/>
      <c r="X231" s="133"/>
      <c r="Y231" s="133"/>
      <c r="Z231" s="134"/>
      <c r="AA231" s="6"/>
    </row>
    <row r="232" spans="1:27" x14ac:dyDescent="0.3">
      <c r="E232" s="41"/>
      <c r="F232" s="41"/>
      <c r="G232" s="64"/>
      <c r="H232" s="64"/>
      <c r="I232" s="64"/>
      <c r="J232" s="64"/>
      <c r="K232" s="54" t="s">
        <v>165</v>
      </c>
      <c r="L232" s="54"/>
      <c r="M232" s="54"/>
      <c r="N232" s="54"/>
      <c r="O232" s="54"/>
      <c r="P232" s="54"/>
      <c r="Q232" s="54"/>
      <c r="R232" s="54"/>
      <c r="S232" s="129"/>
      <c r="T232" s="105"/>
      <c r="U232" s="135">
        <f>$K$233*$I$241*$G$265*$E$302*$C$148*$A$103</f>
        <v>2.0367848279903406E-3</v>
      </c>
      <c r="V232" s="135">
        <v>3.0954826391745775E-3</v>
      </c>
      <c r="W232" s="134">
        <f>$K$234+$I$242+$G$266+E$303+$C$149+$A$104</f>
        <v>202920.76559999998</v>
      </c>
      <c r="X232" s="133">
        <f>u_Death</f>
        <v>19.181538114427529</v>
      </c>
      <c r="Y232" s="133"/>
      <c r="Z232" s="134">
        <f>U232*W232</f>
        <v>413.30593665826422</v>
      </c>
      <c r="AA232" s="6">
        <f>U232*X232</f>
        <v>3.9068665808984437E-2</v>
      </c>
    </row>
    <row r="233" spans="1:27" x14ac:dyDescent="0.3">
      <c r="E233" s="41"/>
      <c r="F233" s="41"/>
      <c r="G233" s="64"/>
      <c r="H233" s="64"/>
      <c r="I233" s="64"/>
      <c r="J233" s="64"/>
      <c r="K233" s="56">
        <f>SGA_term_2d_1</f>
        <v>1.1748000000000001E-2</v>
      </c>
      <c r="L233" s="64"/>
      <c r="M233" s="64"/>
      <c r="N233" s="64"/>
      <c r="O233" s="64"/>
      <c r="P233" s="64"/>
      <c r="Q233" s="64"/>
      <c r="R233" s="64"/>
      <c r="S233" s="129"/>
      <c r="T233" s="105"/>
      <c r="U233" s="133"/>
      <c r="V233" s="135"/>
      <c r="W233" s="133"/>
      <c r="X233" s="133"/>
      <c r="Y233" s="133"/>
      <c r="Z233" s="134"/>
      <c r="AA233" s="6"/>
    </row>
    <row r="234" spans="1:27" x14ac:dyDescent="0.3">
      <c r="E234" s="41"/>
      <c r="F234" s="41"/>
      <c r="G234" s="64"/>
      <c r="H234" s="64"/>
      <c r="I234" s="64"/>
      <c r="J234" s="64"/>
      <c r="K234" s="57">
        <f>c_SB</f>
        <v>1792</v>
      </c>
      <c r="L234" s="64"/>
      <c r="M234" s="64"/>
      <c r="N234" s="64"/>
      <c r="O234" s="64"/>
      <c r="P234" s="64"/>
      <c r="Q234" s="64"/>
      <c r="R234" s="64"/>
      <c r="S234" s="129"/>
      <c r="T234" s="105"/>
      <c r="U234" s="133"/>
      <c r="V234" s="133"/>
      <c r="W234" s="133"/>
      <c r="X234" s="133"/>
      <c r="Y234" s="133"/>
      <c r="Z234" s="134"/>
      <c r="AA234" s="6"/>
    </row>
    <row r="235" spans="1:27" x14ac:dyDescent="0.3">
      <c r="E235" s="41"/>
      <c r="F235" s="41"/>
      <c r="G235" s="53"/>
      <c r="H235" s="53"/>
      <c r="I235" s="53"/>
      <c r="J235" s="53"/>
      <c r="K235" s="53"/>
      <c r="L235" s="53"/>
      <c r="M235" s="53"/>
      <c r="N235" s="53"/>
      <c r="O235" s="53"/>
      <c r="P235" s="53"/>
      <c r="Q235" s="53"/>
      <c r="R235" s="53"/>
      <c r="S235" s="129"/>
      <c r="T235" s="105"/>
      <c r="U235" s="133"/>
      <c r="V235" s="133"/>
      <c r="W235" s="133"/>
      <c r="X235" s="133"/>
      <c r="Y235" s="133"/>
      <c r="Z235" s="134"/>
      <c r="AA235" s="6"/>
    </row>
    <row r="236" spans="1:27" x14ac:dyDescent="0.3">
      <c r="E236" s="41"/>
      <c r="F236" s="41"/>
      <c r="G236" s="53"/>
      <c r="H236" s="53"/>
      <c r="I236" s="53"/>
      <c r="J236" s="53"/>
      <c r="K236" s="53"/>
      <c r="L236" s="53"/>
      <c r="M236" s="53"/>
      <c r="N236" s="53"/>
      <c r="O236" s="53"/>
      <c r="P236" s="53"/>
      <c r="Q236" s="54" t="s">
        <v>368</v>
      </c>
      <c r="R236" s="54"/>
      <c r="S236" s="129"/>
      <c r="T236" s="105"/>
      <c r="U236" s="135">
        <f>$K$252*$I$241*$G$265*$E$302*$C$148*$A$103*$M$247*$O$242*Q237</f>
        <v>0</v>
      </c>
      <c r="V236" s="133"/>
      <c r="W236" s="134">
        <f>$K$253+$I$242+$G$266+E$303+$C$149+$M$248+$O$243+Q238+$A$104</f>
        <v>289190.14705060562</v>
      </c>
      <c r="X236" s="133">
        <f>u_ChronicResp</f>
        <v>0.53465956747782661</v>
      </c>
      <c r="Y236" s="133"/>
      <c r="Z236" s="134">
        <f>U236*W236</f>
        <v>0</v>
      </c>
      <c r="AA236" s="6">
        <f>U236*X236</f>
        <v>0</v>
      </c>
    </row>
    <row r="237" spans="1:27" x14ac:dyDescent="0.3">
      <c r="E237" s="41"/>
      <c r="F237" s="41"/>
      <c r="G237" s="53"/>
      <c r="H237" s="53"/>
      <c r="I237" s="53"/>
      <c r="J237" s="53"/>
      <c r="K237" s="53"/>
      <c r="L237" s="53"/>
      <c r="M237" s="53"/>
      <c r="N237" s="53"/>
      <c r="O237" s="64"/>
      <c r="P237" s="64"/>
      <c r="Q237" s="56">
        <f>RDS2CLD_1-(Hypo2CI_1*RDS2CLD_1)</f>
        <v>0.34246866666666664</v>
      </c>
      <c r="R237" s="56"/>
      <c r="S237" s="129"/>
      <c r="T237" s="105"/>
      <c r="U237" s="133"/>
      <c r="V237" s="135">
        <v>0</v>
      </c>
      <c r="W237" s="133"/>
      <c r="X237" s="133"/>
      <c r="Y237" s="133"/>
      <c r="Z237" s="134"/>
      <c r="AA237" s="6"/>
    </row>
    <row r="238" spans="1:27" x14ac:dyDescent="0.3">
      <c r="E238" s="41"/>
      <c r="F238" s="41"/>
      <c r="G238" s="53"/>
      <c r="H238" s="53"/>
      <c r="I238" s="53"/>
      <c r="J238" s="53"/>
      <c r="K238" s="53"/>
      <c r="L238" s="53"/>
      <c r="M238" s="53"/>
      <c r="N238" s="53"/>
      <c r="O238" s="64"/>
      <c r="P238" s="64"/>
      <c r="Q238" s="57">
        <f>c_lung+c_hosp_fu+c_CSG</f>
        <v>54529.510902399998</v>
      </c>
      <c r="R238" s="57"/>
      <c r="S238" s="129"/>
      <c r="T238" s="105"/>
      <c r="U238" s="133"/>
      <c r="V238" s="133"/>
      <c r="W238" s="133"/>
      <c r="X238" s="133"/>
      <c r="Y238" s="133"/>
      <c r="Z238" s="134"/>
      <c r="AA238" s="6"/>
    </row>
    <row r="239" spans="1:27" x14ac:dyDescent="0.3">
      <c r="A239" s="10"/>
      <c r="B239" s="10"/>
      <c r="C239" s="10"/>
      <c r="D239" s="10"/>
      <c r="E239" s="10"/>
      <c r="F239" s="41"/>
      <c r="G239" s="53"/>
      <c r="H239" s="53"/>
      <c r="I239" s="53"/>
      <c r="J239" s="53"/>
      <c r="K239" s="53"/>
      <c r="L239" s="53"/>
      <c r="M239" s="53"/>
      <c r="N239" s="53"/>
      <c r="O239" s="64"/>
      <c r="P239" s="64"/>
      <c r="Q239" s="54" t="s">
        <v>226</v>
      </c>
      <c r="R239" s="54"/>
      <c r="S239" s="129"/>
      <c r="T239" s="105"/>
      <c r="U239" s="135">
        <f>$K$252*$I$241*$G$265*$E$302*$C$148*$A$103*$M$247*$O$242*Q240</f>
        <v>0</v>
      </c>
      <c r="V239" s="133"/>
      <c r="W239" s="134">
        <f>$K$253+$I$242+$G$266+E$303+$C$149+$M$248+$O$243+Q241+$A$104</f>
        <v>250426.63614820561</v>
      </c>
      <c r="X239" s="133">
        <f>u_CongnitiveImpairement</f>
        <v>17.270393127285455</v>
      </c>
      <c r="Y239" s="133"/>
      <c r="Z239" s="134">
        <f>U239*W239</f>
        <v>0</v>
      </c>
      <c r="AA239" s="6">
        <f>U239*X239</f>
        <v>0</v>
      </c>
    </row>
    <row r="240" spans="1:27" x14ac:dyDescent="0.3">
      <c r="A240" s="10"/>
      <c r="B240" s="10"/>
      <c r="C240" s="10"/>
      <c r="D240" s="10"/>
      <c r="E240" s="10"/>
      <c r="F240" s="41"/>
      <c r="G240" s="64"/>
      <c r="H240" s="64"/>
      <c r="I240" s="54" t="s">
        <v>164</v>
      </c>
      <c r="J240" s="64"/>
      <c r="K240" s="64"/>
      <c r="L240" s="64"/>
      <c r="M240" s="64"/>
      <c r="N240" s="64"/>
      <c r="O240" s="64"/>
      <c r="P240" s="64"/>
      <c r="Q240" s="56">
        <f>Hypo2CI_1-(Hypo2CI_1*RDS2CLD_1)</f>
        <v>3.2801999999999998E-2</v>
      </c>
      <c r="R240" s="56"/>
      <c r="S240" s="129"/>
      <c r="T240" s="105"/>
      <c r="U240" s="133"/>
      <c r="V240" s="135">
        <v>0</v>
      </c>
      <c r="W240" s="133"/>
      <c r="X240" s="133"/>
      <c r="Y240" s="133"/>
      <c r="Z240" s="134"/>
      <c r="AA240" s="6"/>
    </row>
    <row r="241" spans="1:27" x14ac:dyDescent="0.3">
      <c r="A241" s="10"/>
      <c r="B241" s="10"/>
      <c r="C241" s="10"/>
      <c r="D241" s="10"/>
      <c r="E241" s="10"/>
      <c r="F241" s="41"/>
      <c r="G241" s="64"/>
      <c r="H241" s="64"/>
      <c r="I241" s="56">
        <f>LBW_term_2SGA_1</f>
        <v>0.9</v>
      </c>
      <c r="J241" s="64"/>
      <c r="K241" s="64"/>
      <c r="L241" s="64"/>
      <c r="M241" s="64"/>
      <c r="N241" s="64"/>
      <c r="O241" s="54" t="s">
        <v>161</v>
      </c>
      <c r="P241" s="64"/>
      <c r="Q241" s="57">
        <f>c_cog+c_hosp_fu+c_CSG</f>
        <v>15766</v>
      </c>
      <c r="R241" s="57"/>
      <c r="S241" s="129"/>
      <c r="T241" s="105"/>
      <c r="U241" s="133"/>
      <c r="V241" s="133"/>
      <c r="W241" s="133"/>
      <c r="X241" s="133"/>
      <c r="Y241" s="133"/>
      <c r="Z241" s="134"/>
      <c r="AA241" s="6"/>
    </row>
    <row r="242" spans="1:27" x14ac:dyDescent="0.3">
      <c r="A242" s="10"/>
      <c r="B242" s="10"/>
      <c r="C242" s="10"/>
      <c r="D242" s="10"/>
      <c r="E242" s="10"/>
      <c r="F242" s="41"/>
      <c r="G242" s="64"/>
      <c r="H242" s="64"/>
      <c r="I242" s="57"/>
      <c r="J242" s="64"/>
      <c r="K242" s="64"/>
      <c r="L242" s="64"/>
      <c r="M242" s="64"/>
      <c r="N242" s="64"/>
      <c r="O242" s="56">
        <f>SGA_term_2hypoglycaemia_1</f>
        <v>0.26</v>
      </c>
      <c r="P242" s="64"/>
      <c r="Q242" s="54" t="s">
        <v>369</v>
      </c>
      <c r="R242" s="54"/>
      <c r="S242" s="129"/>
      <c r="T242" s="105"/>
      <c r="U242" s="135">
        <f>$K$252*$I$241*$G$265*$E$302*$C$148*$A$103*$M$247*$O$242*Q243</f>
        <v>0</v>
      </c>
      <c r="V242" s="133"/>
      <c r="W242" s="134">
        <f>$K$253+$I$242+$G$266+E$303+$C$149+$M$248+$O$243+Q244+$A$104</f>
        <v>293009.14705060562</v>
      </c>
      <c r="X242" s="133">
        <f>u_ChronicResp+u_CongnitiveImpairement</f>
        <v>17.805052694763283</v>
      </c>
      <c r="Y242" s="133"/>
      <c r="Z242" s="134">
        <f>U242*W242</f>
        <v>0</v>
      </c>
      <c r="AA242" s="6">
        <f>U242*X242</f>
        <v>0</v>
      </c>
    </row>
    <row r="243" spans="1:27" x14ac:dyDescent="0.3">
      <c r="A243" s="10"/>
      <c r="B243" s="10"/>
      <c r="C243" s="10"/>
      <c r="D243" s="10"/>
      <c r="E243" s="10"/>
      <c r="F243" s="41"/>
      <c r="G243" s="64"/>
      <c r="H243" s="64"/>
      <c r="I243" s="64"/>
      <c r="J243" s="64"/>
      <c r="K243" s="64"/>
      <c r="L243" s="64"/>
      <c r="M243" s="64"/>
      <c r="N243" s="64"/>
      <c r="O243" s="57">
        <f>c_hypo</f>
        <v>2936.2604000000001</v>
      </c>
      <c r="P243" s="64"/>
      <c r="Q243" s="56">
        <f>Hypo2CI_1*RDS2CLD_1</f>
        <v>1.8531333333333334E-2</v>
      </c>
      <c r="R243" s="56"/>
      <c r="S243" s="129"/>
      <c r="T243" s="105"/>
      <c r="U243" s="133"/>
      <c r="V243" s="135">
        <v>0</v>
      </c>
      <c r="W243" s="133"/>
      <c r="X243" s="133"/>
      <c r="Y243" s="133"/>
      <c r="Z243" s="134"/>
      <c r="AA243" s="6"/>
    </row>
    <row r="244" spans="1:27" x14ac:dyDescent="0.3">
      <c r="A244" s="10"/>
      <c r="B244" s="10"/>
      <c r="C244" s="10"/>
      <c r="D244" s="10"/>
      <c r="E244" s="10"/>
      <c r="F244" s="41"/>
      <c r="G244" s="64"/>
      <c r="H244" s="64"/>
      <c r="I244" s="64"/>
      <c r="J244" s="64"/>
      <c r="K244" s="64"/>
      <c r="L244" s="64"/>
      <c r="M244" s="65"/>
      <c r="N244" s="64"/>
      <c r="O244" s="53"/>
      <c r="P244" s="64"/>
      <c r="Q244" s="57">
        <f>c_lung+c_cog+c_hosp_fu+c_CSG</f>
        <v>58348.510902399998</v>
      </c>
      <c r="R244" s="57"/>
      <c r="S244" s="129"/>
      <c r="T244" s="105"/>
      <c r="U244" s="133"/>
      <c r="V244" s="133"/>
      <c r="W244" s="133"/>
      <c r="X244" s="133"/>
      <c r="Y244" s="133"/>
      <c r="Z244" s="134"/>
      <c r="AA244" s="6"/>
    </row>
    <row r="245" spans="1:27" x14ac:dyDescent="0.3">
      <c r="A245" s="10"/>
      <c r="B245" s="10"/>
      <c r="C245" s="10"/>
      <c r="D245" s="10"/>
      <c r="E245" s="10"/>
      <c r="F245" s="41"/>
      <c r="G245" s="64"/>
      <c r="H245" s="64"/>
      <c r="I245" s="64"/>
      <c r="J245" s="64"/>
      <c r="K245" s="64"/>
      <c r="L245" s="64"/>
      <c r="M245" s="64"/>
      <c r="N245" s="64"/>
      <c r="O245" s="64"/>
      <c r="P245" s="64"/>
      <c r="Q245" s="54" t="s">
        <v>370</v>
      </c>
      <c r="R245" s="54"/>
      <c r="S245" s="129"/>
      <c r="T245" s="105"/>
      <c r="U245" s="135">
        <f>$K$252*$I$241*$G$265*$E$302*$C$148*$A$103*$M$247*$O$242*Q246</f>
        <v>0</v>
      </c>
      <c r="V245" s="133"/>
      <c r="W245" s="134">
        <f>$K$253+$I$242+$G$266+E$303+$C$149+$M$248+$O$243+Q247+$A$104</f>
        <v>249063.63614820561</v>
      </c>
      <c r="X245" s="133">
        <f>u_Healthy</f>
        <v>0</v>
      </c>
      <c r="Y245" s="133"/>
      <c r="Z245" s="134">
        <f>U245*W245</f>
        <v>0</v>
      </c>
      <c r="AA245" s="6">
        <f>U245*X245</f>
        <v>0</v>
      </c>
    </row>
    <row r="246" spans="1:27" x14ac:dyDescent="0.3">
      <c r="A246" s="10"/>
      <c r="B246" s="10"/>
      <c r="C246" s="10"/>
      <c r="D246" s="10"/>
      <c r="E246" s="10"/>
      <c r="F246" s="41"/>
      <c r="G246" s="64"/>
      <c r="H246" s="64"/>
      <c r="I246" s="64"/>
      <c r="J246" s="64"/>
      <c r="K246" s="64"/>
      <c r="L246" s="64"/>
      <c r="M246" s="54" t="s">
        <v>9</v>
      </c>
      <c r="N246" s="64"/>
      <c r="O246" s="64"/>
      <c r="P246" s="64"/>
      <c r="Q246" s="56">
        <f>1-Q237-Q240-Q243</f>
        <v>0.60619800000000001</v>
      </c>
      <c r="R246" s="56"/>
      <c r="S246" s="129"/>
      <c r="T246" s="105"/>
      <c r="U246" s="133"/>
      <c r="V246" s="135">
        <v>0</v>
      </c>
      <c r="W246" s="133"/>
      <c r="X246" s="133"/>
      <c r="Y246" s="133"/>
      <c r="Z246" s="134"/>
      <c r="AA246" s="6"/>
    </row>
    <row r="247" spans="1:27" x14ac:dyDescent="0.3">
      <c r="A247" s="10"/>
      <c r="B247" s="10"/>
      <c r="C247" s="10"/>
      <c r="D247" s="10"/>
      <c r="E247" s="10"/>
      <c r="F247" s="41"/>
      <c r="G247" s="64"/>
      <c r="H247" s="64"/>
      <c r="I247" s="64"/>
      <c r="J247" s="64"/>
      <c r="K247" s="65"/>
      <c r="L247" s="64"/>
      <c r="M247" s="56">
        <f>S_term_2RDS_1</f>
        <v>0</v>
      </c>
      <c r="N247" s="64"/>
      <c r="O247" s="64"/>
      <c r="P247" s="64"/>
      <c r="Q247" s="57">
        <f>c_clinic_fu+c_CSG</f>
        <v>14403</v>
      </c>
      <c r="R247" s="57"/>
      <c r="S247" s="129"/>
      <c r="T247" s="105"/>
      <c r="U247" s="133"/>
      <c r="V247" s="133"/>
      <c r="W247" s="133"/>
      <c r="X247" s="133"/>
      <c r="Y247" s="133"/>
      <c r="Z247" s="134"/>
      <c r="AA247" s="6"/>
    </row>
    <row r="248" spans="1:27" x14ac:dyDescent="0.3">
      <c r="A248" s="10"/>
      <c r="B248" s="10"/>
      <c r="C248" s="10"/>
      <c r="D248" s="10"/>
      <c r="E248" s="10"/>
      <c r="F248" s="41"/>
      <c r="G248" s="64"/>
      <c r="H248" s="64"/>
      <c r="I248" s="64"/>
      <c r="J248" s="64"/>
      <c r="K248" s="65"/>
      <c r="L248" s="64"/>
      <c r="M248" s="57">
        <f>c_RDS</f>
        <v>30595.610148205637</v>
      </c>
      <c r="N248" s="64"/>
      <c r="O248" s="64"/>
      <c r="P248" s="64"/>
      <c r="Q248" s="65"/>
      <c r="R248" s="65"/>
      <c r="S248" s="129"/>
      <c r="T248" s="105"/>
      <c r="U248" s="133"/>
      <c r="V248" s="133"/>
      <c r="W248" s="133"/>
      <c r="X248" s="133"/>
      <c r="Y248" s="133"/>
      <c r="Z248" s="134"/>
      <c r="AA248" s="6"/>
    </row>
    <row r="249" spans="1:27" x14ac:dyDescent="0.3">
      <c r="A249" s="10"/>
      <c r="B249" s="10"/>
      <c r="C249" s="10"/>
      <c r="D249" s="10"/>
      <c r="E249" s="10"/>
      <c r="F249" s="41"/>
      <c r="G249" s="64"/>
      <c r="H249" s="64"/>
      <c r="I249" s="64"/>
      <c r="J249" s="64"/>
      <c r="K249" s="64"/>
      <c r="L249" s="64"/>
      <c r="M249" s="64"/>
      <c r="N249" s="64"/>
      <c r="O249" s="64"/>
      <c r="P249" s="64"/>
      <c r="Q249" s="54" t="s">
        <v>368</v>
      </c>
      <c r="R249" s="54"/>
      <c r="S249" s="129"/>
      <c r="T249" s="105"/>
      <c r="U249" s="135">
        <f>$K$252*$I$241*$G$265*$E$302*$C$148*$A$103*$M$247*$O$252*Q250</f>
        <v>0</v>
      </c>
      <c r="V249" s="133"/>
      <c r="W249" s="134">
        <f>$K$253+$I$242+$G$266+E$303+$C$149+$M$248+$O$253+Q251+$A$104</f>
        <v>286253.88665060559</v>
      </c>
      <c r="X249" s="133">
        <f>u_ChronicResp</f>
        <v>0.53465956747782661</v>
      </c>
      <c r="Y249" s="133"/>
      <c r="Z249" s="134">
        <f>U249*W249</f>
        <v>0</v>
      </c>
      <c r="AA249" s="6">
        <f>U249*X249</f>
        <v>0</v>
      </c>
    </row>
    <row r="250" spans="1:27" x14ac:dyDescent="0.3">
      <c r="A250" s="10"/>
      <c r="B250" s="10"/>
      <c r="C250" s="10"/>
      <c r="D250" s="10"/>
      <c r="E250" s="10"/>
      <c r="F250" s="41"/>
      <c r="G250" s="64"/>
      <c r="H250" s="64"/>
      <c r="I250" s="64"/>
      <c r="J250" s="64"/>
      <c r="K250" s="64"/>
      <c r="L250" s="64"/>
      <c r="M250" s="64"/>
      <c r="N250" s="64"/>
      <c r="O250" s="64"/>
      <c r="P250" s="64"/>
      <c r="Q250" s="56">
        <f>RDS2CLD_1-(RDS2CLD_1*noHypo2CI_1)</f>
        <v>0.34905610687022898</v>
      </c>
      <c r="R250" s="56"/>
      <c r="S250" s="129"/>
      <c r="T250" s="105"/>
      <c r="U250" s="133"/>
      <c r="V250" s="135">
        <v>0</v>
      </c>
      <c r="W250" s="133"/>
      <c r="X250" s="133"/>
      <c r="Y250" s="133"/>
      <c r="Z250" s="134"/>
      <c r="AA250" s="6"/>
    </row>
    <row r="251" spans="1:27" x14ac:dyDescent="0.3">
      <c r="A251" s="10"/>
      <c r="B251" s="10"/>
      <c r="C251" s="10"/>
      <c r="D251" s="10"/>
      <c r="E251" s="10"/>
      <c r="F251" s="41"/>
      <c r="G251" s="64"/>
      <c r="H251" s="64"/>
      <c r="I251" s="64"/>
      <c r="J251" s="64"/>
      <c r="K251" s="54" t="s">
        <v>37</v>
      </c>
      <c r="L251" s="64"/>
      <c r="M251" s="65"/>
      <c r="N251" s="64"/>
      <c r="O251" s="54" t="s">
        <v>371</v>
      </c>
      <c r="P251" s="64"/>
      <c r="Q251" s="57">
        <f>c_lung+c_hosp_fu+c_CSG</f>
        <v>54529.510902399998</v>
      </c>
      <c r="R251" s="57"/>
      <c r="S251" s="129"/>
      <c r="T251" s="105"/>
      <c r="U251" s="133"/>
      <c r="V251" s="133"/>
      <c r="W251" s="133"/>
      <c r="X251" s="133"/>
      <c r="Y251" s="133"/>
      <c r="Z251" s="134"/>
      <c r="AA251" s="6"/>
    </row>
    <row r="252" spans="1:27" x14ac:dyDescent="0.3">
      <c r="A252" s="10"/>
      <c r="B252" s="10"/>
      <c r="C252" s="10"/>
      <c r="D252" s="10"/>
      <c r="E252" s="10"/>
      <c r="F252" s="41"/>
      <c r="G252" s="64"/>
      <c r="H252" s="64"/>
      <c r="I252" s="64"/>
      <c r="J252" s="64"/>
      <c r="K252" s="56">
        <f>SGA_term_2s_1</f>
        <v>0.98825200000000002</v>
      </c>
      <c r="L252" s="64"/>
      <c r="M252" s="64"/>
      <c r="N252" s="64"/>
      <c r="O252" s="56">
        <f>SGA_term_2normoglycaemia_1</f>
        <v>0.74</v>
      </c>
      <c r="P252" s="64"/>
      <c r="Q252" s="54" t="s">
        <v>226</v>
      </c>
      <c r="R252" s="54"/>
      <c r="S252" s="129"/>
      <c r="T252" s="105"/>
      <c r="U252" s="135">
        <f>$K$252*$I$241*$G$265*$E$302*$C$148*$A$103*$M$247*$O$252*Q253</f>
        <v>0</v>
      </c>
      <c r="V252" s="133"/>
      <c r="W252" s="134">
        <f>$K$253+$I$242+$G$266+E$303+$C$149+$M$248+$O$253+Q254+$A$104</f>
        <v>247490.37574820561</v>
      </c>
      <c r="X252" s="133">
        <f>u_CongnitiveImpairement</f>
        <v>17.270393127285455</v>
      </c>
      <c r="Y252" s="133"/>
      <c r="Z252" s="134">
        <f>U252*W252</f>
        <v>0</v>
      </c>
      <c r="AA252" s="6">
        <f>U252*X252</f>
        <v>0</v>
      </c>
    </row>
    <row r="253" spans="1:27" x14ac:dyDescent="0.3">
      <c r="A253" s="10"/>
      <c r="B253" s="10"/>
      <c r="C253" s="10"/>
      <c r="D253" s="10"/>
      <c r="E253" s="10"/>
      <c r="F253" s="41"/>
      <c r="G253" s="41"/>
      <c r="H253" s="64"/>
      <c r="I253" s="64"/>
      <c r="J253" s="64"/>
      <c r="K253" s="57"/>
      <c r="L253" s="64"/>
      <c r="M253" s="64"/>
      <c r="N253" s="64"/>
      <c r="O253" s="57"/>
      <c r="P253" s="64"/>
      <c r="Q253" s="56">
        <f>noHypo2CI_1-(RDS2CLD_1*noHypo2CI_1)</f>
        <v>2.1141683406990762E-2</v>
      </c>
      <c r="R253" s="56"/>
      <c r="S253" s="129"/>
      <c r="T253" s="105"/>
      <c r="U253" s="133"/>
      <c r="V253" s="135">
        <v>0</v>
      </c>
      <c r="W253" s="133"/>
      <c r="X253" s="133"/>
      <c r="Y253" s="133"/>
      <c r="Z253" s="134"/>
      <c r="AA253" s="6"/>
    </row>
    <row r="254" spans="1:27" x14ac:dyDescent="0.3">
      <c r="A254" s="10"/>
      <c r="B254" s="10"/>
      <c r="C254" s="10"/>
      <c r="D254" s="10"/>
      <c r="E254" s="10"/>
      <c r="F254" s="41"/>
      <c r="G254" s="41"/>
      <c r="H254" s="64"/>
      <c r="I254" s="64"/>
      <c r="J254" s="64"/>
      <c r="K254" s="64"/>
      <c r="L254" s="64"/>
      <c r="M254" s="64"/>
      <c r="N254" s="64"/>
      <c r="O254" s="53"/>
      <c r="P254" s="64"/>
      <c r="Q254" s="57">
        <f>c_cog+c_hosp_fu+c_CSG</f>
        <v>15766</v>
      </c>
      <c r="R254" s="57"/>
      <c r="S254" s="129"/>
      <c r="T254" s="105"/>
      <c r="U254" s="133"/>
      <c r="V254" s="133"/>
      <c r="W254" s="133"/>
      <c r="X254" s="133"/>
      <c r="Y254" s="133"/>
      <c r="Z254" s="134"/>
      <c r="AA254" s="6"/>
    </row>
    <row r="255" spans="1:27" x14ac:dyDescent="0.3">
      <c r="A255" s="10"/>
      <c r="B255" s="10"/>
      <c r="C255" s="10"/>
      <c r="D255" s="10"/>
      <c r="E255" s="10"/>
      <c r="F255" s="41"/>
      <c r="G255" s="41"/>
      <c r="H255" s="64"/>
      <c r="I255" s="64"/>
      <c r="J255" s="64"/>
      <c r="K255" s="64"/>
      <c r="L255" s="64"/>
      <c r="M255" s="64"/>
      <c r="N255" s="64"/>
      <c r="O255" s="53"/>
      <c r="P255" s="64"/>
      <c r="Q255" s="54" t="s">
        <v>369</v>
      </c>
      <c r="R255" s="54"/>
      <c r="S255" s="129"/>
      <c r="T255" s="105"/>
      <c r="U255" s="135">
        <f>$K$252*$I$241*$G$265*$E$302*$C$148*$A$103*$M$247*$O$252*Q256</f>
        <v>0</v>
      </c>
      <c r="V255" s="133"/>
      <c r="W255" s="134">
        <f>$K$253+$I$242+$G$266+E$303+$C$149+$M$248+$O$253+Q257+$A$104</f>
        <v>290072.88665060559</v>
      </c>
      <c r="X255" s="133">
        <f>u_ChronicResp+u_CongnitiveImpairement</f>
        <v>17.805052694763283</v>
      </c>
      <c r="Y255" s="133"/>
      <c r="Z255" s="134">
        <f>U255*W255</f>
        <v>0</v>
      </c>
      <c r="AA255" s="6">
        <f>U255*X255</f>
        <v>0</v>
      </c>
    </row>
    <row r="256" spans="1:27" x14ac:dyDescent="0.3">
      <c r="A256" s="10"/>
      <c r="B256" s="10"/>
      <c r="C256" s="10"/>
      <c r="D256" s="10"/>
      <c r="E256" s="10"/>
      <c r="F256" s="41"/>
      <c r="G256" s="65"/>
      <c r="H256" s="64"/>
      <c r="I256" s="64"/>
      <c r="J256" s="64"/>
      <c r="K256" s="64"/>
      <c r="L256" s="64"/>
      <c r="M256" s="64"/>
      <c r="N256" s="64"/>
      <c r="O256" s="53"/>
      <c r="P256" s="64"/>
      <c r="Q256" s="56">
        <f>RDS2CLD_1*noHypo2CI_1</f>
        <v>1.1943893129770991E-2</v>
      </c>
      <c r="R256" s="56"/>
      <c r="S256" s="129"/>
      <c r="T256" s="105"/>
      <c r="U256" s="135"/>
      <c r="V256" s="135">
        <v>0</v>
      </c>
      <c r="W256" s="133"/>
      <c r="X256" s="133"/>
      <c r="Y256" s="133"/>
      <c r="Z256" s="134"/>
      <c r="AA256" s="6"/>
    </row>
    <row r="257" spans="1:27" x14ac:dyDescent="0.3">
      <c r="A257" s="10"/>
      <c r="B257" s="10"/>
      <c r="C257" s="10"/>
      <c r="D257" s="10"/>
      <c r="E257" s="10"/>
      <c r="F257" s="41"/>
      <c r="G257" s="65"/>
      <c r="H257" s="64"/>
      <c r="I257" s="64"/>
      <c r="J257" s="64"/>
      <c r="K257" s="64"/>
      <c r="L257" s="64"/>
      <c r="M257" s="64"/>
      <c r="N257" s="64"/>
      <c r="O257" s="53"/>
      <c r="P257" s="64"/>
      <c r="Q257" s="57">
        <f>c_cog+c_lung+c_hosp_fu+c_CSG</f>
        <v>58348.510902399998</v>
      </c>
      <c r="R257" s="57"/>
      <c r="S257" s="129"/>
      <c r="T257" s="105"/>
      <c r="U257" s="133"/>
      <c r="V257" s="135"/>
      <c r="W257" s="133"/>
      <c r="X257" s="133"/>
      <c r="Y257" s="133"/>
      <c r="Z257" s="134"/>
      <c r="AA257" s="6"/>
    </row>
    <row r="258" spans="1:27" x14ac:dyDescent="0.3">
      <c r="A258" s="10"/>
      <c r="B258" s="10"/>
      <c r="C258" s="10"/>
      <c r="D258" s="10"/>
      <c r="E258" s="10"/>
      <c r="F258" s="41"/>
      <c r="G258" s="64"/>
      <c r="H258" s="64"/>
      <c r="I258" s="64"/>
      <c r="J258" s="64"/>
      <c r="K258" s="64"/>
      <c r="L258" s="64"/>
      <c r="M258" s="64"/>
      <c r="N258" s="64"/>
      <c r="O258" s="53"/>
      <c r="P258" s="64"/>
      <c r="Q258" s="54" t="s">
        <v>370</v>
      </c>
      <c r="R258" s="54"/>
      <c r="S258" s="129"/>
      <c r="T258" s="105"/>
      <c r="U258" s="135">
        <f>$K$252*$I$241*$G$265*$E$302*$C$148*$A$103*$M$247*$O$252*Q259</f>
        <v>0</v>
      </c>
      <c r="V258" s="133"/>
      <c r="W258" s="134">
        <f>$K$253+$I$242+$G$266+E$303+$C$149+$M$248+$O$253+Q260+$A$104</f>
        <v>246127.37574820561</v>
      </c>
      <c r="X258" s="133">
        <f>u_Healthy</f>
        <v>0</v>
      </c>
      <c r="Y258" s="133"/>
      <c r="Z258" s="134">
        <f>U258*W258</f>
        <v>0</v>
      </c>
      <c r="AA258" s="6">
        <f>U258*X258</f>
        <v>0</v>
      </c>
    </row>
    <row r="259" spans="1:27" x14ac:dyDescent="0.3">
      <c r="A259" s="10"/>
      <c r="B259" s="10"/>
      <c r="C259" s="10"/>
      <c r="D259" s="10"/>
      <c r="E259" s="10"/>
      <c r="F259" s="41"/>
      <c r="G259" s="64"/>
      <c r="H259" s="64"/>
      <c r="I259" s="64"/>
      <c r="J259" s="64"/>
      <c r="K259" s="64"/>
      <c r="L259" s="64"/>
      <c r="M259" s="64"/>
      <c r="N259" s="64"/>
      <c r="O259" s="53"/>
      <c r="P259" s="64"/>
      <c r="Q259" s="56">
        <f>1-Q256-Q253-Q250</f>
        <v>0.61785831659300938</v>
      </c>
      <c r="R259" s="56"/>
      <c r="T259" s="105"/>
      <c r="U259" s="133"/>
      <c r="V259" s="135">
        <v>0</v>
      </c>
      <c r="W259" s="133"/>
      <c r="X259" s="133"/>
      <c r="Y259" s="133"/>
      <c r="Z259" s="134"/>
      <c r="AA259" s="6"/>
    </row>
    <row r="260" spans="1:27" x14ac:dyDescent="0.3">
      <c r="A260" s="10"/>
      <c r="B260" s="10"/>
      <c r="C260" s="10"/>
      <c r="D260" s="10"/>
      <c r="E260" s="10"/>
      <c r="F260" s="41"/>
      <c r="G260" s="64"/>
      <c r="H260" s="64"/>
      <c r="I260" s="64"/>
      <c r="J260" s="64"/>
      <c r="K260" s="64"/>
      <c r="L260" s="64"/>
      <c r="M260" s="64"/>
      <c r="N260" s="64"/>
      <c r="O260" s="64"/>
      <c r="P260" s="64"/>
      <c r="Q260" s="57">
        <f>c_clinic_fu+c_CSG</f>
        <v>14403</v>
      </c>
      <c r="R260" s="57"/>
      <c r="S260" s="129"/>
      <c r="T260" s="105"/>
      <c r="U260" s="133"/>
      <c r="V260" s="133"/>
      <c r="W260" s="133"/>
      <c r="X260" s="133"/>
      <c r="Y260" s="133"/>
      <c r="Z260" s="134"/>
      <c r="AA260" s="6"/>
    </row>
    <row r="261" spans="1:27" x14ac:dyDescent="0.3">
      <c r="A261" s="10"/>
      <c r="B261" s="10"/>
      <c r="C261" s="10"/>
      <c r="D261" s="10"/>
      <c r="E261" s="10"/>
      <c r="F261" s="41"/>
      <c r="G261" s="64"/>
      <c r="H261" s="64"/>
      <c r="I261" s="64"/>
      <c r="J261" s="64"/>
      <c r="K261" s="64"/>
      <c r="L261" s="64"/>
      <c r="M261" s="64"/>
      <c r="N261" s="64"/>
      <c r="O261" s="64"/>
      <c r="P261" s="64"/>
      <c r="Q261" s="65"/>
      <c r="R261" s="65"/>
      <c r="S261" s="129"/>
      <c r="T261" s="105"/>
      <c r="U261" s="133"/>
      <c r="V261" s="133"/>
      <c r="W261" s="133"/>
      <c r="X261" s="133"/>
      <c r="Y261" s="133"/>
      <c r="Z261" s="134"/>
      <c r="AA261" s="6"/>
    </row>
    <row r="262" spans="1:27" x14ac:dyDescent="0.3">
      <c r="A262" s="10"/>
      <c r="B262" s="10"/>
      <c r="C262" s="10"/>
      <c r="D262" s="10"/>
      <c r="E262" s="10"/>
      <c r="F262" s="41"/>
      <c r="G262" s="64"/>
      <c r="H262" s="64"/>
      <c r="I262" s="64"/>
      <c r="J262" s="64"/>
      <c r="K262" s="64"/>
      <c r="L262" s="64"/>
      <c r="M262" s="64"/>
      <c r="N262" s="64"/>
      <c r="O262" s="64"/>
      <c r="P262" s="64"/>
      <c r="Q262" s="54" t="s">
        <v>368</v>
      </c>
      <c r="R262" s="54"/>
      <c r="S262" s="129"/>
      <c r="T262" s="105"/>
      <c r="U262" s="135">
        <f>$K$252*$I$241*$G$265*$E$302*$C$148*$A$103*$M$267*$O$265*Q263</f>
        <v>0</v>
      </c>
      <c r="V262" s="133"/>
      <c r="W262" s="134">
        <f>$K$253+$I$242+$G$266+E$303+$C$149+$M$268+$O$266+Q264+$A$104</f>
        <v>258594.53690239997</v>
      </c>
      <c r="X262" s="133">
        <f>u_ChronicResp</f>
        <v>0.53465956747782661</v>
      </c>
      <c r="Y262" s="133"/>
      <c r="Z262" s="134">
        <f>U262*W262</f>
        <v>0</v>
      </c>
      <c r="AA262" s="6">
        <f>U262*X262</f>
        <v>0</v>
      </c>
    </row>
    <row r="263" spans="1:27" x14ac:dyDescent="0.3">
      <c r="A263" s="10"/>
      <c r="B263" s="10"/>
      <c r="C263" s="10"/>
      <c r="D263" s="10"/>
      <c r="E263" s="10"/>
      <c r="F263" s="41"/>
      <c r="G263" s="64"/>
      <c r="H263" s="64"/>
      <c r="I263" s="64"/>
      <c r="J263" s="64"/>
      <c r="K263" s="64"/>
      <c r="L263" s="64"/>
      <c r="M263" s="64"/>
      <c r="N263" s="64"/>
      <c r="O263" s="64"/>
      <c r="P263" s="64"/>
      <c r="Q263" s="56">
        <f>noRDS2CLD_1-(Hypo2CI_1*noRDS2CLD_1)</f>
        <v>0</v>
      </c>
      <c r="R263" s="56"/>
      <c r="S263" s="129"/>
      <c r="T263" s="105"/>
      <c r="U263" s="133"/>
      <c r="V263" s="135">
        <v>0</v>
      </c>
      <c r="W263" s="133"/>
      <c r="X263" s="133"/>
      <c r="Y263" s="133"/>
      <c r="Z263" s="134"/>
      <c r="AA263" s="6"/>
    </row>
    <row r="264" spans="1:27" x14ac:dyDescent="0.3">
      <c r="A264" s="10"/>
      <c r="B264" s="10"/>
      <c r="C264" s="10"/>
      <c r="D264" s="10"/>
      <c r="E264" s="10"/>
      <c r="F264" s="41"/>
      <c r="G264" s="54" t="s">
        <v>8</v>
      </c>
      <c r="H264" s="64"/>
      <c r="I264" s="64"/>
      <c r="J264" s="64"/>
      <c r="K264" s="64"/>
      <c r="L264" s="64"/>
      <c r="M264" s="64"/>
      <c r="N264" s="64"/>
      <c r="O264" s="54" t="s">
        <v>161</v>
      </c>
      <c r="P264" s="64"/>
      <c r="Q264" s="57">
        <f>c_lung+c_hosp_fu+c_CSG</f>
        <v>54529.510902399998</v>
      </c>
      <c r="R264" s="57"/>
      <c r="S264" s="129"/>
      <c r="T264" s="105"/>
      <c r="U264" s="133"/>
      <c r="V264" s="133"/>
      <c r="W264" s="133"/>
      <c r="X264" s="133"/>
      <c r="Y264" s="133"/>
      <c r="Z264" s="134"/>
      <c r="AA264" s="6"/>
    </row>
    <row r="265" spans="1:27" x14ac:dyDescent="0.3">
      <c r="A265" s="10"/>
      <c r="B265" s="10"/>
      <c r="C265" s="10"/>
      <c r="D265" s="10"/>
      <c r="E265" s="10"/>
      <c r="F265" s="41"/>
      <c r="G265" s="56">
        <f>Term2LBW_1</f>
        <v>0.24686153846153844</v>
      </c>
      <c r="H265" s="64"/>
      <c r="I265" s="64"/>
      <c r="J265" s="64"/>
      <c r="K265" s="64"/>
      <c r="L265" s="64"/>
      <c r="M265" s="64"/>
      <c r="N265" s="64"/>
      <c r="O265" s="56">
        <f>SGA_term_2hypoglycaemia_1</f>
        <v>0.26</v>
      </c>
      <c r="P265" s="64"/>
      <c r="Q265" s="54" t="s">
        <v>226</v>
      </c>
      <c r="R265" s="54"/>
      <c r="S265" s="129"/>
      <c r="T265" s="105"/>
      <c r="U265" s="135">
        <f>$K$252*$I$241*$G$265*$E$302*$C$148*$A$103*$M$267*$O$265*Q266</f>
        <v>2.2867660157881524E-3</v>
      </c>
      <c r="V265" s="133">
        <v>3.0885625157634445E-3</v>
      </c>
      <c r="W265" s="134">
        <f>$K$253+$I$242+$G$266+E$303+$C$149+$M$268+$O$266+Q267+$A$104</f>
        <v>219831.02599999998</v>
      </c>
      <c r="X265" s="133">
        <f>u_CongnitiveImpairement</f>
        <v>17.270393127285455</v>
      </c>
      <c r="Y265" s="133"/>
      <c r="Z265" s="134">
        <f>U265*W265</f>
        <v>502.7021194726417</v>
      </c>
      <c r="AA265" s="6">
        <f>U265*X265</f>
        <v>3.949334808277765E-2</v>
      </c>
    </row>
    <row r="266" spans="1:27" x14ac:dyDescent="0.3">
      <c r="A266" s="10"/>
      <c r="B266" s="10"/>
      <c r="C266" s="10"/>
      <c r="D266" s="10"/>
      <c r="E266" s="10"/>
      <c r="F266" s="41"/>
      <c r="G266" s="57">
        <f>c_LBW</f>
        <v>198651.76559999998</v>
      </c>
      <c r="H266" s="64"/>
      <c r="I266" s="64"/>
      <c r="J266" s="64"/>
      <c r="K266" s="64"/>
      <c r="L266" s="64"/>
      <c r="M266" s="54" t="s">
        <v>203</v>
      </c>
      <c r="N266" s="64"/>
      <c r="O266" s="57">
        <f>c_hypo</f>
        <v>2936.2604000000001</v>
      </c>
      <c r="P266" s="64"/>
      <c r="Q266" s="56">
        <f>Hypo2CI_1-(Hypo2CI_1*noRDS2CLD_1)</f>
        <v>5.1333333333333335E-2</v>
      </c>
      <c r="R266" s="56"/>
      <c r="S266" s="129"/>
      <c r="T266" s="105"/>
      <c r="U266" s="133"/>
      <c r="V266" s="135"/>
      <c r="W266" s="133"/>
      <c r="X266" s="133"/>
      <c r="Y266" s="133"/>
      <c r="Z266" s="134"/>
      <c r="AA266" s="6"/>
    </row>
    <row r="267" spans="1:27" x14ac:dyDescent="0.3">
      <c r="A267" s="10"/>
      <c r="B267" s="10"/>
      <c r="C267" s="10"/>
      <c r="D267" s="10"/>
      <c r="E267" s="10"/>
      <c r="F267" s="41"/>
      <c r="G267" s="64"/>
      <c r="H267" s="64"/>
      <c r="I267" s="64"/>
      <c r="J267" s="64"/>
      <c r="K267" s="64"/>
      <c r="L267" s="64"/>
      <c r="M267" s="56">
        <f>S_term_2noRDS_1</f>
        <v>1</v>
      </c>
      <c r="N267" s="64"/>
      <c r="O267" s="53"/>
      <c r="P267" s="64"/>
      <c r="Q267" s="57">
        <f>c_cog+c_hosp_fu+c_CSG</f>
        <v>15766</v>
      </c>
      <c r="R267" s="57"/>
      <c r="S267" s="129"/>
      <c r="T267" s="105"/>
      <c r="U267" s="133"/>
      <c r="V267" s="133"/>
      <c r="W267" s="133"/>
      <c r="X267" s="133"/>
      <c r="Y267" s="133"/>
      <c r="Z267" s="134"/>
      <c r="AA267" s="6"/>
    </row>
    <row r="268" spans="1:27" x14ac:dyDescent="0.3">
      <c r="A268" s="10"/>
      <c r="B268" s="10"/>
      <c r="C268" s="10"/>
      <c r="D268" s="10"/>
      <c r="E268" s="10"/>
      <c r="F268" s="41"/>
      <c r="G268" s="64"/>
      <c r="H268" s="64"/>
      <c r="I268" s="64"/>
      <c r="J268" s="64"/>
      <c r="K268" s="64"/>
      <c r="L268" s="64"/>
      <c r="M268" s="57"/>
      <c r="N268" s="64"/>
      <c r="O268" s="65"/>
      <c r="P268" s="64"/>
      <c r="Q268" s="54" t="s">
        <v>369</v>
      </c>
      <c r="R268" s="54"/>
      <c r="S268" s="129"/>
      <c r="T268" s="105"/>
      <c r="U268" s="135">
        <f>$K$252*$I$241*$G$265*$E$302*$C$148*$A$103*$M$267*$O$265*Q269</f>
        <v>0</v>
      </c>
      <c r="V268" s="133">
        <v>0</v>
      </c>
      <c r="W268" s="134">
        <f>$K$253+$I$242+$G$266+E$303+$C$149+$M$268+$O$266+Q270+$A$104</f>
        <v>262413.53690239997</v>
      </c>
      <c r="X268" s="133">
        <f>u_ChronicResp+u_CongnitiveImpairement</f>
        <v>17.805052694763283</v>
      </c>
      <c r="Y268" s="133"/>
      <c r="Z268" s="134">
        <f>U268*W268</f>
        <v>0</v>
      </c>
      <c r="AA268" s="6">
        <f>U268*X268</f>
        <v>0</v>
      </c>
    </row>
    <row r="269" spans="1:27" x14ac:dyDescent="0.3">
      <c r="A269" s="10"/>
      <c r="B269" s="10"/>
      <c r="C269" s="10"/>
      <c r="D269" s="10"/>
      <c r="E269" s="10"/>
      <c r="F269" s="41"/>
      <c r="G269" s="64"/>
      <c r="H269" s="64"/>
      <c r="I269" s="64"/>
      <c r="J269" s="64"/>
      <c r="K269" s="64"/>
      <c r="L269" s="64"/>
      <c r="M269" s="65"/>
      <c r="N269" s="64"/>
      <c r="O269" s="41"/>
      <c r="P269" s="64"/>
      <c r="Q269" s="56">
        <f>noRDS2CLD_1*Hypo2CI_1</f>
        <v>0</v>
      </c>
      <c r="R269" s="56"/>
      <c r="S269" s="129"/>
      <c r="T269" s="105"/>
      <c r="U269" s="133"/>
      <c r="V269" s="135"/>
      <c r="W269" s="133"/>
      <c r="X269" s="133"/>
      <c r="Y269" s="133"/>
      <c r="Z269" s="134"/>
      <c r="AA269" s="6"/>
    </row>
    <row r="270" spans="1:27" x14ac:dyDescent="0.3">
      <c r="A270" s="10"/>
      <c r="B270" s="10"/>
      <c r="C270" s="10"/>
      <c r="D270" s="10"/>
      <c r="E270" s="10"/>
      <c r="F270" s="41"/>
      <c r="G270" s="64"/>
      <c r="H270" s="64"/>
      <c r="I270" s="64"/>
      <c r="J270" s="64"/>
      <c r="K270" s="64"/>
      <c r="L270" s="64"/>
      <c r="M270" s="65"/>
      <c r="N270" s="64"/>
      <c r="O270" s="41"/>
      <c r="P270" s="64"/>
      <c r="Q270" s="57">
        <f>c_lung+c_cog+c_hosp_fu+c_CSG</f>
        <v>58348.510902399998</v>
      </c>
      <c r="R270" s="57"/>
      <c r="S270" s="129"/>
      <c r="T270" s="105"/>
      <c r="U270" s="133"/>
      <c r="V270" s="133"/>
      <c r="W270" s="133"/>
      <c r="X270" s="133"/>
      <c r="Y270" s="133"/>
      <c r="Z270" s="134"/>
      <c r="AA270" s="6"/>
    </row>
    <row r="271" spans="1:27" x14ac:dyDescent="0.3">
      <c r="A271" s="10"/>
      <c r="B271" s="10"/>
      <c r="C271" s="10"/>
      <c r="D271" s="10"/>
      <c r="E271" s="10"/>
      <c r="F271" s="41"/>
      <c r="G271" s="64"/>
      <c r="H271" s="64"/>
      <c r="I271" s="64"/>
      <c r="J271" s="64"/>
      <c r="K271" s="64"/>
      <c r="L271" s="64"/>
      <c r="M271" s="65"/>
      <c r="N271" s="64"/>
      <c r="O271" s="41"/>
      <c r="P271" s="64"/>
      <c r="Q271" s="54" t="s">
        <v>370</v>
      </c>
      <c r="R271" s="54"/>
      <c r="S271" s="129"/>
      <c r="T271" s="105"/>
      <c r="U271" s="135">
        <f>$K$252*$I$241*$G$265*$E$302*$C$148*$A$103*$M$267*$O$265*Q272</f>
        <v>4.2260623902162869E-2</v>
      </c>
      <c r="V271" s="133">
        <v>5.707823973936859E-2</v>
      </c>
      <c r="W271" s="134">
        <f>$K$253+$I$242+$G$266+E$303+$C$149+$M$268+$O$266+Q273+$A$104</f>
        <v>218468.02599999998</v>
      </c>
      <c r="X271" s="133">
        <f>u_Healthy</f>
        <v>0</v>
      </c>
      <c r="Y271" s="133"/>
      <c r="Z271" s="134">
        <f>U271*W271</f>
        <v>9232.5950814339376</v>
      </c>
      <c r="AA271" s="6">
        <f>U271*X271</f>
        <v>0</v>
      </c>
    </row>
    <row r="272" spans="1:27" x14ac:dyDescent="0.3">
      <c r="A272" s="10"/>
      <c r="B272" s="10"/>
      <c r="C272" s="10"/>
      <c r="D272" s="10"/>
      <c r="E272" s="10"/>
      <c r="F272" s="41"/>
      <c r="G272" s="64"/>
      <c r="H272" s="64"/>
      <c r="I272" s="64"/>
      <c r="J272" s="64"/>
      <c r="K272" s="64"/>
      <c r="L272" s="64"/>
      <c r="M272" s="65"/>
      <c r="N272" s="64"/>
      <c r="O272" s="65"/>
      <c r="P272" s="64"/>
      <c r="Q272" s="56">
        <f>1-Q269-Q266-Q263</f>
        <v>0.94866666666666666</v>
      </c>
      <c r="R272" s="56"/>
      <c r="T272" s="105"/>
      <c r="U272" s="133"/>
      <c r="V272" s="135"/>
      <c r="W272" s="133"/>
      <c r="X272" s="133"/>
      <c r="Y272" s="133"/>
      <c r="Z272" s="134"/>
      <c r="AA272" s="6"/>
    </row>
    <row r="273" spans="1:27" x14ac:dyDescent="0.3">
      <c r="A273" s="10"/>
      <c r="B273" s="10"/>
      <c r="C273" s="10"/>
      <c r="D273" s="10"/>
      <c r="E273" s="10"/>
      <c r="F273" s="41"/>
      <c r="G273" s="64"/>
      <c r="H273" s="64"/>
      <c r="I273" s="64"/>
      <c r="J273" s="64"/>
      <c r="K273" s="64"/>
      <c r="L273" s="64"/>
      <c r="M273" s="65"/>
      <c r="N273" s="64"/>
      <c r="O273" s="64"/>
      <c r="P273" s="64"/>
      <c r="Q273" s="57">
        <f>c_clinic_fu+c_CSG</f>
        <v>14403</v>
      </c>
      <c r="R273" s="57"/>
      <c r="S273" s="129"/>
      <c r="T273" s="105"/>
      <c r="U273" s="133"/>
      <c r="V273" s="133"/>
      <c r="W273" s="133"/>
      <c r="X273" s="133"/>
      <c r="Y273" s="133"/>
      <c r="Z273" s="134"/>
      <c r="AA273" s="6"/>
    </row>
    <row r="274" spans="1:27" x14ac:dyDescent="0.3">
      <c r="A274" s="10"/>
      <c r="B274" s="10"/>
      <c r="C274" s="10"/>
      <c r="D274" s="10"/>
      <c r="E274" s="10"/>
      <c r="F274" s="41"/>
      <c r="G274" s="64"/>
      <c r="H274" s="64"/>
      <c r="I274" s="64"/>
      <c r="J274" s="64"/>
      <c r="K274" s="64"/>
      <c r="L274" s="64"/>
      <c r="M274" s="65"/>
      <c r="N274" s="64"/>
      <c r="O274" s="64"/>
      <c r="P274" s="64"/>
      <c r="Q274" s="65"/>
      <c r="R274" s="65"/>
      <c r="S274" s="130"/>
      <c r="T274" s="105"/>
      <c r="U274" s="133"/>
      <c r="V274" s="133"/>
      <c r="W274" s="133"/>
      <c r="X274" s="133"/>
      <c r="Y274" s="133"/>
      <c r="Z274" s="134"/>
      <c r="AA274" s="6"/>
    </row>
    <row r="275" spans="1:27" x14ac:dyDescent="0.3">
      <c r="A275" s="10"/>
      <c r="B275" s="10"/>
      <c r="C275" s="10"/>
      <c r="D275" s="10"/>
      <c r="E275" s="10"/>
      <c r="F275" s="41"/>
      <c r="G275" s="64"/>
      <c r="H275" s="64"/>
      <c r="I275" s="64"/>
      <c r="J275" s="64"/>
      <c r="K275" s="64"/>
      <c r="L275" s="64"/>
      <c r="M275" s="65"/>
      <c r="N275" s="64"/>
      <c r="O275" s="64"/>
      <c r="P275" s="64"/>
      <c r="Q275" s="54" t="s">
        <v>368</v>
      </c>
      <c r="R275" s="54"/>
      <c r="S275" s="129"/>
      <c r="T275" s="105"/>
      <c r="U275" s="135">
        <f>$K$252*$I$241*$G$265*$E$302*$C$148*$A$103*$M$267*$O$279*Q276</f>
        <v>0</v>
      </c>
      <c r="V275" s="133">
        <v>0</v>
      </c>
      <c r="W275" s="134">
        <f>$K$253+$I$242+$G$266+E$303+$C$149+$M$268+$O$280+Q277+$A$104</f>
        <v>257687.53690239997</v>
      </c>
      <c r="X275" s="133">
        <f>u_ChronicResp</f>
        <v>0.53465956747782661</v>
      </c>
      <c r="Y275" s="133"/>
      <c r="Z275" s="134">
        <f>U275*W275</f>
        <v>0</v>
      </c>
      <c r="AA275" s="6">
        <f>U275*X275</f>
        <v>0</v>
      </c>
    </row>
    <row r="276" spans="1:27" x14ac:dyDescent="0.3">
      <c r="A276" s="10"/>
      <c r="B276" s="10"/>
      <c r="C276" s="10"/>
      <c r="D276" s="10"/>
      <c r="E276" s="10"/>
      <c r="F276" s="41"/>
      <c r="G276" s="64"/>
      <c r="H276" s="64"/>
      <c r="I276" s="64"/>
      <c r="J276" s="64"/>
      <c r="K276" s="64"/>
      <c r="L276" s="64"/>
      <c r="M276" s="65"/>
      <c r="N276" s="64"/>
      <c r="O276" s="64"/>
      <c r="P276" s="64"/>
      <c r="Q276" s="56">
        <f>noRDS2CLD_1-(noRDS2CLD_1*noHypo2CI_1)</f>
        <v>0</v>
      </c>
      <c r="R276" s="56"/>
      <c r="S276" s="129"/>
      <c r="T276" s="105"/>
      <c r="U276" s="133"/>
      <c r="V276" s="135"/>
      <c r="W276" s="133"/>
      <c r="X276" s="133"/>
      <c r="Y276" s="133"/>
      <c r="Z276" s="134"/>
      <c r="AA276" s="6"/>
    </row>
    <row r="277" spans="1:27" x14ac:dyDescent="0.3">
      <c r="A277" s="10"/>
      <c r="B277" s="10"/>
      <c r="C277" s="10"/>
      <c r="D277" s="10"/>
      <c r="E277" s="10"/>
      <c r="F277" s="41"/>
      <c r="G277" s="64"/>
      <c r="H277" s="64"/>
      <c r="I277" s="64"/>
      <c r="J277" s="64"/>
      <c r="K277" s="64"/>
      <c r="L277" s="64"/>
      <c r="M277" s="65"/>
      <c r="N277" s="64"/>
      <c r="O277" s="64"/>
      <c r="P277" s="64"/>
      <c r="Q277" s="57">
        <f>c_lung+c_hypo+c_CSG</f>
        <v>56558.771302399997</v>
      </c>
      <c r="R277" s="57"/>
      <c r="S277" s="129"/>
      <c r="T277" s="105"/>
      <c r="U277" s="133"/>
      <c r="V277" s="133"/>
      <c r="W277" s="133"/>
      <c r="X277" s="133"/>
      <c r="Y277" s="133"/>
      <c r="Z277" s="134"/>
      <c r="AA277" s="6"/>
    </row>
    <row r="278" spans="1:27" x14ac:dyDescent="0.3">
      <c r="A278" s="10"/>
      <c r="B278" s="10"/>
      <c r="C278" s="10"/>
      <c r="D278" s="10"/>
      <c r="E278" s="10"/>
      <c r="F278" s="41"/>
      <c r="G278" s="64"/>
      <c r="H278" s="64"/>
      <c r="I278" s="64"/>
      <c r="J278" s="64"/>
      <c r="K278" s="64"/>
      <c r="L278" s="64"/>
      <c r="M278" s="65"/>
      <c r="N278" s="64"/>
      <c r="O278" s="54" t="s">
        <v>371</v>
      </c>
      <c r="P278" s="64"/>
      <c r="Q278" s="54" t="s">
        <v>226</v>
      </c>
      <c r="R278" s="54"/>
      <c r="S278" s="129"/>
      <c r="T278" s="105"/>
      <c r="U278" s="135">
        <f>$K$252*$I$241*$G$265*$E$302*$C$148*$A$103*$M$267*$O$279*Q279</f>
        <v>4.1948780699848833E-3</v>
      </c>
      <c r="V278" s="133">
        <v>5.6657056628016973E-3</v>
      </c>
      <c r="W278" s="134">
        <f>$K$253+$I$242+$G$266+E$303+$C$149+$M$268+$O$280+Q280+$A$104</f>
        <v>216894.76559999998</v>
      </c>
      <c r="X278" s="133">
        <f>u_CongnitiveImpairement</f>
        <v>17.270393127285455</v>
      </c>
      <c r="Y278" s="133"/>
      <c r="Z278" s="134">
        <f>U278*W278</f>
        <v>909.84709570995165</v>
      </c>
      <c r="AA278" s="6">
        <f>U278*X278</f>
        <v>7.2447193389667403E-2</v>
      </c>
    </row>
    <row r="279" spans="1:27" x14ac:dyDescent="0.3">
      <c r="A279" s="10"/>
      <c r="B279" s="10"/>
      <c r="C279" s="10"/>
      <c r="D279" s="10"/>
      <c r="E279" s="10"/>
      <c r="F279" s="41"/>
      <c r="G279" s="64"/>
      <c r="H279" s="64"/>
      <c r="I279" s="64"/>
      <c r="J279" s="64"/>
      <c r="K279" s="64"/>
      <c r="L279" s="64"/>
      <c r="M279" s="65"/>
      <c r="N279" s="64"/>
      <c r="O279" s="56">
        <f>SGA_term_2normoglycaemia_1</f>
        <v>0.74</v>
      </c>
      <c r="P279" s="64"/>
      <c r="Q279" s="56">
        <f>noHypo2CI_1</f>
        <v>3.3085576536761752E-2</v>
      </c>
      <c r="R279" s="56"/>
      <c r="S279" s="129"/>
      <c r="T279" s="105"/>
      <c r="U279" s="133"/>
      <c r="V279" s="135"/>
      <c r="W279" s="133"/>
      <c r="X279" s="133"/>
      <c r="Y279" s="133"/>
      <c r="Z279" s="134"/>
      <c r="AA279" s="6"/>
    </row>
    <row r="280" spans="1:27" x14ac:dyDescent="0.3">
      <c r="A280" s="10"/>
      <c r="B280" s="10"/>
      <c r="C280" s="10"/>
      <c r="D280" s="10"/>
      <c r="E280" s="10"/>
      <c r="F280" s="41"/>
      <c r="G280" s="64"/>
      <c r="H280" s="64"/>
      <c r="I280" s="64"/>
      <c r="J280" s="64"/>
      <c r="K280" s="64"/>
      <c r="L280" s="64"/>
      <c r="M280" s="65"/>
      <c r="N280" s="64"/>
      <c r="O280" s="57"/>
      <c r="P280" s="64"/>
      <c r="Q280" s="57">
        <f>c_cog+c_hosp_fu+c_CSG</f>
        <v>15766</v>
      </c>
      <c r="R280" s="57"/>
      <c r="S280" s="129"/>
      <c r="T280" s="105"/>
      <c r="U280" s="133"/>
      <c r="V280" s="133"/>
      <c r="W280" s="133"/>
      <c r="X280" s="133"/>
      <c r="Y280" s="133"/>
      <c r="Z280" s="134"/>
      <c r="AA280" s="6"/>
    </row>
    <row r="281" spans="1:27" x14ac:dyDescent="0.3">
      <c r="A281" s="10"/>
      <c r="B281" s="10"/>
      <c r="C281" s="10"/>
      <c r="D281" s="10"/>
      <c r="E281" s="10"/>
      <c r="F281" s="41"/>
      <c r="G281" s="64"/>
      <c r="H281" s="64"/>
      <c r="I281" s="64"/>
      <c r="J281" s="64"/>
      <c r="K281" s="64"/>
      <c r="L281" s="64"/>
      <c r="M281" s="65"/>
      <c r="N281" s="64"/>
      <c r="O281" s="64"/>
      <c r="P281" s="64"/>
      <c r="Q281" s="54" t="s">
        <v>369</v>
      </c>
      <c r="R281" s="54"/>
      <c r="S281" s="129"/>
      <c r="T281" s="105"/>
      <c r="U281" s="135">
        <f>$K$252*$I$241*$G$265*$E$302*$C$148*$A$103*$M$267*$O$279*Q282</f>
        <v>0</v>
      </c>
      <c r="V281" s="133"/>
      <c r="W281" s="134">
        <f>$K$253+$I$242+$G$266+E$303+$C$149+$M$268+$O$280+Q283+$A$104</f>
        <v>259477.2765024</v>
      </c>
      <c r="X281" s="133">
        <f>u_ChronicResp+u_CongnitiveImpairement</f>
        <v>17.805052694763283</v>
      </c>
      <c r="Y281" s="133"/>
      <c r="Z281" s="134">
        <f>U281*W281</f>
        <v>0</v>
      </c>
      <c r="AA281" s="6">
        <f>U281*X281</f>
        <v>0</v>
      </c>
    </row>
    <row r="282" spans="1:27" x14ac:dyDescent="0.3">
      <c r="A282" s="10"/>
      <c r="B282" s="10"/>
      <c r="C282" s="10"/>
      <c r="D282" s="10"/>
      <c r="E282" s="10"/>
      <c r="F282" s="41"/>
      <c r="G282" s="64"/>
      <c r="H282" s="64"/>
      <c r="I282" s="64"/>
      <c r="J282" s="64"/>
      <c r="K282" s="64"/>
      <c r="L282" s="64"/>
      <c r="M282" s="65"/>
      <c r="N282" s="64"/>
      <c r="O282" s="64"/>
      <c r="P282" s="64"/>
      <c r="Q282" s="56">
        <f>noRDS2CLD_1*noHypo2CI_1</f>
        <v>0</v>
      </c>
      <c r="R282" s="56"/>
      <c r="S282" s="129"/>
      <c r="T282" s="105"/>
      <c r="U282" s="135"/>
      <c r="V282" s="135">
        <v>0</v>
      </c>
      <c r="W282" s="133"/>
      <c r="X282" s="133"/>
      <c r="Y282" s="133"/>
      <c r="Z282" s="134"/>
      <c r="AA282" s="6"/>
    </row>
    <row r="283" spans="1:27" x14ac:dyDescent="0.3">
      <c r="A283" s="10"/>
      <c r="B283" s="10"/>
      <c r="C283" s="10"/>
      <c r="D283" s="10"/>
      <c r="E283" s="10"/>
      <c r="F283" s="41"/>
      <c r="G283" s="64"/>
      <c r="H283" s="64"/>
      <c r="I283" s="64"/>
      <c r="J283" s="64"/>
      <c r="K283" s="64"/>
      <c r="L283" s="64"/>
      <c r="M283" s="65"/>
      <c r="N283" s="64"/>
      <c r="O283" s="64"/>
      <c r="P283" s="64"/>
      <c r="Q283" s="57">
        <f>c_cog+c_lung+c_hosp_fu+c_CSG</f>
        <v>58348.510902399998</v>
      </c>
      <c r="R283" s="57"/>
      <c r="S283" s="129"/>
      <c r="T283" s="105"/>
      <c r="U283" s="133"/>
      <c r="V283" s="135"/>
      <c r="W283" s="133"/>
      <c r="X283" s="133"/>
      <c r="Y283" s="133"/>
      <c r="Z283" s="134"/>
      <c r="AA283" s="6"/>
    </row>
    <row r="284" spans="1:27" x14ac:dyDescent="0.3">
      <c r="A284" s="10"/>
      <c r="B284" s="10"/>
      <c r="C284" s="110"/>
      <c r="D284" s="110"/>
      <c r="E284" s="110"/>
      <c r="F284" s="41"/>
      <c r="G284" s="64"/>
      <c r="H284" s="64"/>
      <c r="I284" s="64"/>
      <c r="J284" s="64"/>
      <c r="K284" s="64"/>
      <c r="L284" s="64"/>
      <c r="M284" s="65"/>
      <c r="N284" s="64"/>
      <c r="O284" s="64"/>
      <c r="P284" s="64"/>
      <c r="Q284" s="54" t="s">
        <v>370</v>
      </c>
      <c r="R284" s="54"/>
      <c r="S284" s="129"/>
      <c r="T284" s="105"/>
      <c r="U284" s="135">
        <f>$K$252*$I$241*$G$265*$E$302*$C$148*$A$103*$M$267*$O$279*Q285</f>
        <v>0.1225938470811065</v>
      </c>
      <c r="V284" s="133">
        <v>0.16557826998642022</v>
      </c>
      <c r="W284" s="134">
        <f>$K$253+$I$242+$G$266+E$303+$C$149+$M$268+$O$280+Q286+$A$104</f>
        <v>215531.76559999998</v>
      </c>
      <c r="X284" s="133">
        <f>u_Healthy</f>
        <v>0</v>
      </c>
      <c r="Y284" s="133"/>
      <c r="Z284" s="134">
        <f>U284*W284</f>
        <v>26422.868313087289</v>
      </c>
      <c r="AA284" s="6">
        <f>U284*X284</f>
        <v>0</v>
      </c>
    </row>
    <row r="285" spans="1:27" x14ac:dyDescent="0.3">
      <c r="A285" s="10"/>
      <c r="B285" s="10"/>
      <c r="C285" s="110"/>
      <c r="D285" s="10"/>
      <c r="E285" s="10"/>
      <c r="F285" s="41"/>
      <c r="G285" s="64"/>
      <c r="H285" s="64"/>
      <c r="I285" s="64"/>
      <c r="J285" s="64"/>
      <c r="K285" s="64"/>
      <c r="L285" s="64"/>
      <c r="M285" s="65"/>
      <c r="N285" s="64"/>
      <c r="O285" s="64"/>
      <c r="P285" s="64"/>
      <c r="Q285" s="56">
        <f>1-Q282-Q279-Q276</f>
        <v>0.9669144234632383</v>
      </c>
      <c r="R285" s="56"/>
      <c r="T285" s="105"/>
      <c r="U285" s="133"/>
      <c r="V285" s="135"/>
      <c r="W285" s="133"/>
      <c r="X285" s="133"/>
      <c r="Y285" s="133"/>
      <c r="Z285" s="134"/>
      <c r="AA285" s="6"/>
    </row>
    <row r="286" spans="1:27" x14ac:dyDescent="0.3">
      <c r="A286" s="10"/>
      <c r="B286" s="10"/>
      <c r="C286" s="116"/>
      <c r="D286" s="10"/>
      <c r="E286" s="10"/>
      <c r="F286" s="41"/>
      <c r="G286" s="64"/>
      <c r="H286" s="64"/>
      <c r="I286" s="64"/>
      <c r="J286" s="64"/>
      <c r="K286" s="64"/>
      <c r="L286" s="64"/>
      <c r="M286" s="65"/>
      <c r="N286" s="64"/>
      <c r="O286" s="64"/>
      <c r="P286" s="64"/>
      <c r="Q286" s="57">
        <f>c_clinic_fu+c_CSG</f>
        <v>14403</v>
      </c>
      <c r="R286" s="57"/>
      <c r="S286" s="129"/>
      <c r="T286" s="105"/>
      <c r="U286" s="133"/>
      <c r="V286" s="133"/>
      <c r="W286" s="133"/>
      <c r="X286" s="133"/>
      <c r="Y286" s="133"/>
      <c r="Z286" s="134"/>
      <c r="AA286" s="6"/>
    </row>
    <row r="287" spans="1:27" x14ac:dyDescent="0.3">
      <c r="A287" s="10"/>
      <c r="B287" s="10"/>
      <c r="C287" s="10"/>
      <c r="D287" s="10"/>
      <c r="E287" s="10"/>
      <c r="F287" s="41"/>
      <c r="G287" s="64"/>
      <c r="H287" s="64"/>
      <c r="I287" s="64"/>
      <c r="J287" s="64"/>
      <c r="K287" s="64"/>
      <c r="L287" s="64"/>
      <c r="M287" s="65"/>
      <c r="N287" s="64"/>
      <c r="O287" s="64"/>
      <c r="P287" s="64"/>
      <c r="Q287" s="65"/>
      <c r="R287" s="65"/>
      <c r="S287" s="129"/>
      <c r="T287" s="105"/>
      <c r="U287" s="133"/>
      <c r="V287" s="133"/>
      <c r="W287" s="133"/>
      <c r="X287" s="133"/>
      <c r="Y287" s="133"/>
      <c r="Z287" s="134"/>
      <c r="AA287" s="6"/>
    </row>
    <row r="288" spans="1:27" x14ac:dyDescent="0.3">
      <c r="A288" s="10"/>
      <c r="B288" s="10"/>
      <c r="C288" s="10"/>
      <c r="D288" s="10"/>
      <c r="E288" s="10"/>
      <c r="F288" s="41"/>
      <c r="G288" s="64"/>
      <c r="H288" s="64"/>
      <c r="I288" s="64"/>
      <c r="J288" s="64"/>
      <c r="K288" s="54" t="s">
        <v>165</v>
      </c>
      <c r="L288" s="54"/>
      <c r="M288" s="54"/>
      <c r="N288" s="54"/>
      <c r="O288" s="54"/>
      <c r="P288" s="54"/>
      <c r="Q288" s="54"/>
      <c r="R288" s="54"/>
      <c r="S288" s="129"/>
      <c r="T288" s="105"/>
      <c r="U288" s="135">
        <f>$K$289*$I$297*$G$265*$E$302*$C$148*$A$103</f>
        <v>1.0686833974023388E-4</v>
      </c>
      <c r="V288" s="133"/>
      <c r="W288" s="134">
        <f>$K$290+$I$298+$G$266+E$303+$C$149+$A$104</f>
        <v>202920.76559999998</v>
      </c>
      <c r="X288" s="133">
        <f>u_Death</f>
        <v>19.181538114427529</v>
      </c>
      <c r="Y288" s="133"/>
      <c r="Z288" s="134">
        <f>U288*W288</f>
        <v>21.685805318489162</v>
      </c>
      <c r="AA288" s="6">
        <f>U288*X288</f>
        <v>2.0498991319528861E-3</v>
      </c>
    </row>
    <row r="289" spans="1:27" x14ac:dyDescent="0.3">
      <c r="A289" s="10"/>
      <c r="B289" s="10"/>
      <c r="C289" s="10"/>
      <c r="D289" s="10"/>
      <c r="E289" s="10"/>
      <c r="F289" s="41"/>
      <c r="G289" s="64"/>
      <c r="H289" s="64"/>
      <c r="I289" s="64"/>
      <c r="J289" s="64"/>
      <c r="K289" s="56">
        <f>AGA_term_2d_1</f>
        <v>5.5476666666666669E-3</v>
      </c>
      <c r="L289" s="64"/>
      <c r="M289" s="64"/>
      <c r="N289" s="64"/>
      <c r="O289" s="64"/>
      <c r="P289" s="64"/>
      <c r="Q289" s="64"/>
      <c r="R289" s="64"/>
      <c r="S289" s="129"/>
      <c r="T289" s="105"/>
      <c r="U289" s="133"/>
      <c r="V289" s="135">
        <v>0</v>
      </c>
      <c r="W289" s="133"/>
      <c r="X289" s="133"/>
      <c r="Y289" s="133"/>
      <c r="Z289" s="134"/>
      <c r="AA289" s="6"/>
    </row>
    <row r="290" spans="1:27" x14ac:dyDescent="0.3">
      <c r="A290" s="10"/>
      <c r="B290" s="10"/>
      <c r="C290" s="10"/>
      <c r="D290" s="10"/>
      <c r="E290" s="10"/>
      <c r="F290" s="41"/>
      <c r="G290" s="64"/>
      <c r="H290" s="64"/>
      <c r="I290" s="64"/>
      <c r="J290" s="64"/>
      <c r="K290" s="57">
        <f>c_SB</f>
        <v>1792</v>
      </c>
      <c r="L290" s="64"/>
      <c r="M290" s="64"/>
      <c r="N290" s="64"/>
      <c r="O290" s="64"/>
      <c r="P290" s="64"/>
      <c r="Q290" s="64"/>
      <c r="R290" s="64"/>
      <c r="S290" s="129"/>
      <c r="T290" s="105"/>
      <c r="U290" s="133"/>
      <c r="V290" s="133"/>
      <c r="W290" s="133"/>
      <c r="X290" s="133"/>
      <c r="Y290" s="133"/>
      <c r="Z290" s="134"/>
      <c r="AA290" s="6"/>
    </row>
    <row r="291" spans="1:27" x14ac:dyDescent="0.3">
      <c r="A291" s="10"/>
      <c r="B291" s="10"/>
      <c r="C291" s="10"/>
      <c r="D291" s="10"/>
      <c r="E291" s="10"/>
      <c r="F291" s="41"/>
      <c r="G291" s="64"/>
      <c r="H291" s="64"/>
      <c r="I291" s="64"/>
      <c r="J291" s="64"/>
      <c r="K291" s="53"/>
      <c r="L291" s="53"/>
      <c r="M291" s="53"/>
      <c r="N291" s="53"/>
      <c r="O291" s="53"/>
      <c r="P291" s="53"/>
      <c r="Q291" s="53"/>
      <c r="R291" s="53"/>
      <c r="S291" s="129"/>
      <c r="T291" s="105"/>
      <c r="U291" s="133"/>
      <c r="V291" s="133"/>
      <c r="W291" s="133"/>
      <c r="X291" s="133"/>
      <c r="Y291" s="133"/>
      <c r="Z291" s="134"/>
      <c r="AA291" s="6"/>
    </row>
    <row r="292" spans="1:27" x14ac:dyDescent="0.3">
      <c r="A292" s="10"/>
      <c r="B292" s="10"/>
      <c r="C292" s="10"/>
      <c r="D292" s="10"/>
      <c r="E292" s="10"/>
      <c r="F292" s="41"/>
      <c r="G292" s="53"/>
      <c r="H292" s="53"/>
      <c r="I292" s="64"/>
      <c r="J292" s="64"/>
      <c r="K292" s="53"/>
      <c r="L292" s="53"/>
      <c r="M292" s="53"/>
      <c r="N292" s="53"/>
      <c r="O292" s="53"/>
      <c r="P292" s="53"/>
      <c r="Q292" s="54" t="s">
        <v>368</v>
      </c>
      <c r="R292" s="54"/>
      <c r="S292" s="129"/>
      <c r="T292" s="105"/>
      <c r="U292" s="135">
        <f>$K$308*$I$297*$G$265*$E$302*$C$148*$A$103*$M$303*$O$298*Q293</f>
        <v>0</v>
      </c>
      <c r="V292" s="133"/>
      <c r="W292" s="134">
        <f>$K$309+$I$298+$G$266+E$303+$C$149+$M$304+$O$299+Q294+$A$104</f>
        <v>289190.14705060562</v>
      </c>
      <c r="X292" s="133">
        <f>u_ChronicResp</f>
        <v>0.53465956747782661</v>
      </c>
      <c r="Y292" s="133"/>
      <c r="Z292" s="134">
        <f>U292*W292</f>
        <v>0</v>
      </c>
      <c r="AA292" s="6">
        <f>U292*X292</f>
        <v>0</v>
      </c>
    </row>
    <row r="293" spans="1:27" x14ac:dyDescent="0.3">
      <c r="A293" s="10"/>
      <c r="B293" s="10"/>
      <c r="C293" s="10"/>
      <c r="D293" s="10"/>
      <c r="E293" s="10"/>
      <c r="F293" s="41"/>
      <c r="G293" s="53"/>
      <c r="H293" s="53"/>
      <c r="I293" s="64"/>
      <c r="J293" s="64"/>
      <c r="K293" s="53"/>
      <c r="L293" s="53"/>
      <c r="M293" s="53"/>
      <c r="N293" s="53"/>
      <c r="O293" s="64"/>
      <c r="P293" s="64"/>
      <c r="Q293" s="56">
        <f>RDS2CLD_1-(Hypo2CI_1*RDS2CLD_1)</f>
        <v>0.34246866666666664</v>
      </c>
      <c r="R293" s="56"/>
      <c r="S293" s="129"/>
      <c r="T293" s="105"/>
      <c r="U293" s="133"/>
      <c r="V293" s="135">
        <v>0</v>
      </c>
      <c r="W293" s="133"/>
      <c r="X293" s="133"/>
      <c r="Y293" s="133"/>
      <c r="Z293" s="134"/>
      <c r="AA293" s="6"/>
    </row>
    <row r="294" spans="1:27" x14ac:dyDescent="0.3">
      <c r="A294" s="10"/>
      <c r="B294" s="10"/>
      <c r="C294" s="10"/>
      <c r="D294" s="10"/>
      <c r="E294" s="10"/>
      <c r="F294" s="41"/>
      <c r="G294" s="53"/>
      <c r="H294" s="53"/>
      <c r="I294" s="64"/>
      <c r="J294" s="64"/>
      <c r="K294" s="53"/>
      <c r="L294" s="53"/>
      <c r="M294" s="53"/>
      <c r="N294" s="53"/>
      <c r="O294" s="64"/>
      <c r="P294" s="64"/>
      <c r="Q294" s="57">
        <f>c_lung+c_hosp_fu+c_CSG</f>
        <v>54529.510902399998</v>
      </c>
      <c r="R294" s="57"/>
      <c r="S294" s="129"/>
      <c r="T294" s="105"/>
      <c r="U294" s="133"/>
      <c r="V294" s="133"/>
      <c r="W294" s="133"/>
      <c r="X294" s="133"/>
      <c r="Y294" s="133"/>
      <c r="Z294" s="134"/>
      <c r="AA294" s="6"/>
    </row>
    <row r="295" spans="1:27" x14ac:dyDescent="0.3">
      <c r="A295" s="10"/>
      <c r="B295" s="10"/>
      <c r="C295" s="10"/>
      <c r="D295" s="10"/>
      <c r="E295" s="10"/>
      <c r="F295" s="41"/>
      <c r="G295" s="53"/>
      <c r="H295" s="53"/>
      <c r="I295" s="64"/>
      <c r="J295" s="64"/>
      <c r="K295" s="53"/>
      <c r="L295" s="53"/>
      <c r="M295" s="53"/>
      <c r="N295" s="53"/>
      <c r="O295" s="64"/>
      <c r="P295" s="64"/>
      <c r="Q295" s="54" t="s">
        <v>226</v>
      </c>
      <c r="R295" s="54"/>
      <c r="S295" s="129"/>
      <c r="T295" s="105"/>
      <c r="U295" s="135">
        <f>$K$308*$I$297*$G$265*$E$302*$C$148*$A$103*$M$303*$O$298*Q296</f>
        <v>0</v>
      </c>
      <c r="V295" s="133"/>
      <c r="W295" s="134">
        <f>$K$309+$I$298+$G$266+E$303+$C$149+$M$304+$O$299+Q297+$A$104</f>
        <v>250426.63614820561</v>
      </c>
      <c r="X295" s="133">
        <f>u_CongnitiveImpairement</f>
        <v>17.270393127285455</v>
      </c>
      <c r="Y295" s="133"/>
      <c r="Z295" s="134">
        <f>U295*W295</f>
        <v>0</v>
      </c>
      <c r="AA295" s="6">
        <f>U295*X295</f>
        <v>0</v>
      </c>
    </row>
    <row r="296" spans="1:27" x14ac:dyDescent="0.3">
      <c r="A296" s="10"/>
      <c r="B296" s="10"/>
      <c r="C296" s="10"/>
      <c r="D296" s="10"/>
      <c r="E296" s="10"/>
      <c r="F296" s="41"/>
      <c r="G296" s="53"/>
      <c r="H296" s="53"/>
      <c r="I296" s="54" t="s">
        <v>425</v>
      </c>
      <c r="J296" s="64"/>
      <c r="K296" s="64"/>
      <c r="L296" s="64"/>
      <c r="M296" s="64"/>
      <c r="N296" s="64"/>
      <c r="O296" s="64"/>
      <c r="P296" s="64"/>
      <c r="Q296" s="56">
        <f>Hypo2CI_1-(Hypo2CI_1*RDS2CLD_1)</f>
        <v>3.2801999999999998E-2</v>
      </c>
      <c r="R296" s="56"/>
      <c r="S296" s="129"/>
      <c r="T296" s="105"/>
      <c r="U296" s="133"/>
      <c r="V296" s="135">
        <v>0</v>
      </c>
      <c r="W296" s="133"/>
      <c r="X296" s="133"/>
      <c r="Y296" s="133"/>
      <c r="Z296" s="134"/>
      <c r="AA296" s="6"/>
    </row>
    <row r="297" spans="1:27" x14ac:dyDescent="0.3">
      <c r="A297" s="10"/>
      <c r="B297" s="10"/>
      <c r="C297" s="10"/>
      <c r="D297" s="10"/>
      <c r="E297" s="10"/>
      <c r="F297" s="41"/>
      <c r="G297" s="64"/>
      <c r="H297" s="64"/>
      <c r="I297" s="56">
        <f>LBW_term_2AGA_1</f>
        <v>9.9999999999999978E-2</v>
      </c>
      <c r="J297" s="64"/>
      <c r="K297" s="64"/>
      <c r="L297" s="64"/>
      <c r="M297" s="64"/>
      <c r="N297" s="64"/>
      <c r="O297" s="54" t="s">
        <v>161</v>
      </c>
      <c r="P297" s="64"/>
      <c r="Q297" s="57">
        <f>c_cog+c_hosp_fu+c_CSG</f>
        <v>15766</v>
      </c>
      <c r="R297" s="57"/>
      <c r="S297" s="129"/>
      <c r="T297" s="105"/>
      <c r="U297" s="133"/>
      <c r="V297" s="133"/>
      <c r="W297" s="133"/>
      <c r="X297" s="133"/>
      <c r="Y297" s="133"/>
      <c r="Z297" s="134"/>
      <c r="AA297" s="6"/>
    </row>
    <row r="298" spans="1:27" x14ac:dyDescent="0.3">
      <c r="A298" s="10"/>
      <c r="B298" s="10"/>
      <c r="C298" s="10"/>
      <c r="D298" s="10"/>
      <c r="E298" s="10"/>
      <c r="F298" s="41"/>
      <c r="G298" s="64"/>
      <c r="H298" s="64"/>
      <c r="I298" s="57"/>
      <c r="J298" s="64"/>
      <c r="K298" s="64"/>
      <c r="L298" s="64"/>
      <c r="M298" s="64"/>
      <c r="N298" s="64"/>
      <c r="O298" s="56">
        <f>AGA_term_2hypoglycaemia_1</f>
        <v>0</v>
      </c>
      <c r="P298" s="64"/>
      <c r="Q298" s="54" t="s">
        <v>369</v>
      </c>
      <c r="R298" s="54"/>
      <c r="S298" s="129"/>
      <c r="T298" s="105"/>
      <c r="U298" s="135">
        <f>$K$308*$I$297*$G$265*$E$302*$C$148*$A$103*$M$303*$O$298*Q299</f>
        <v>0</v>
      </c>
      <c r="V298" s="133"/>
      <c r="W298" s="134">
        <f>$K$309+$I$298+$G$266+E$303+$C$149+$M$304+$O$299+Q300+$A$104</f>
        <v>293009.14705060562</v>
      </c>
      <c r="X298" s="133">
        <f>u_ChronicResp+u_CongnitiveImpairement</f>
        <v>17.805052694763283</v>
      </c>
      <c r="Y298" s="133"/>
      <c r="Z298" s="134">
        <f>U298*W298</f>
        <v>0</v>
      </c>
      <c r="AA298" s="6">
        <f>U298*X298</f>
        <v>0</v>
      </c>
    </row>
    <row r="299" spans="1:27" x14ac:dyDescent="0.3">
      <c r="A299" s="10"/>
      <c r="B299" s="10"/>
      <c r="C299" s="10"/>
      <c r="D299" s="10"/>
      <c r="E299" s="10"/>
      <c r="F299" s="41"/>
      <c r="G299" s="64"/>
      <c r="H299" s="64"/>
      <c r="I299" s="64"/>
      <c r="J299" s="64"/>
      <c r="K299" s="64"/>
      <c r="L299" s="64"/>
      <c r="M299" s="64"/>
      <c r="N299" s="64"/>
      <c r="O299" s="57">
        <f>c_hypo</f>
        <v>2936.2604000000001</v>
      </c>
      <c r="P299" s="64"/>
      <c r="Q299" s="56">
        <f>Hypo2CI_3*RDS2CLD_3</f>
        <v>1.8531333333333334E-2</v>
      </c>
      <c r="R299" s="56"/>
      <c r="S299" s="129"/>
      <c r="T299" s="105"/>
      <c r="U299" s="133"/>
      <c r="V299" s="135">
        <v>0</v>
      </c>
      <c r="W299" s="133"/>
      <c r="X299" s="133"/>
      <c r="Y299" s="133"/>
      <c r="Z299" s="134"/>
      <c r="AA299" s="6"/>
    </row>
    <row r="300" spans="1:27" x14ac:dyDescent="0.3">
      <c r="A300" s="10"/>
      <c r="B300" s="10"/>
      <c r="C300" s="10"/>
      <c r="D300" s="10"/>
      <c r="E300" s="10"/>
      <c r="F300" s="41"/>
      <c r="G300" s="64"/>
      <c r="H300" s="64"/>
      <c r="I300" s="64"/>
      <c r="J300" s="64"/>
      <c r="K300" s="64"/>
      <c r="L300" s="64"/>
      <c r="M300" s="65"/>
      <c r="N300" s="64"/>
      <c r="O300" s="53"/>
      <c r="P300" s="64"/>
      <c r="Q300" s="57">
        <f>c_lung+c_cog+c_hosp_fu+c_CSG</f>
        <v>58348.510902399998</v>
      </c>
      <c r="R300" s="57"/>
      <c r="S300" s="129"/>
      <c r="T300" s="105"/>
      <c r="U300" s="133"/>
      <c r="V300" s="133"/>
      <c r="W300" s="133"/>
      <c r="X300" s="133"/>
      <c r="Y300" s="133"/>
      <c r="Z300" s="134"/>
      <c r="AA300" s="6"/>
    </row>
    <row r="301" spans="1:27" x14ac:dyDescent="0.3">
      <c r="A301" s="10"/>
      <c r="B301" s="10"/>
      <c r="C301" s="10"/>
      <c r="D301" s="10"/>
      <c r="E301" s="54" t="s">
        <v>11</v>
      </c>
      <c r="F301" s="41"/>
      <c r="G301" s="64"/>
      <c r="H301" s="64"/>
      <c r="I301" s="64"/>
      <c r="J301" s="64"/>
      <c r="K301" s="64"/>
      <c r="L301" s="64"/>
      <c r="M301" s="64"/>
      <c r="N301" s="64"/>
      <c r="O301" s="64"/>
      <c r="P301" s="64"/>
      <c r="Q301" s="54" t="s">
        <v>370</v>
      </c>
      <c r="R301" s="54"/>
      <c r="S301" s="129"/>
      <c r="T301" s="105"/>
      <c r="U301" s="135">
        <f>$K$308*$I$297*$G$265*$E$302*$C$148*$A$103*$M$303*$O$298*Q302</f>
        <v>0</v>
      </c>
      <c r="V301" s="133"/>
      <c r="W301" s="134">
        <f>$K$309+$I$298+$G$266+E$303+$C$149+$M$304+$O$299+Q303+$A$104</f>
        <v>249063.63614820561</v>
      </c>
      <c r="X301" s="133">
        <f>u_Healthy</f>
        <v>0</v>
      </c>
      <c r="Y301" s="133"/>
      <c r="Z301" s="134">
        <f>U301*W301</f>
        <v>0</v>
      </c>
      <c r="AA301" s="6">
        <f>U301*X301</f>
        <v>0</v>
      </c>
    </row>
    <row r="302" spans="1:27" x14ac:dyDescent="0.3">
      <c r="A302" s="10"/>
      <c r="B302" s="10"/>
      <c r="C302" s="10"/>
      <c r="D302" s="10"/>
      <c r="E302" s="56">
        <f>LB2term_1</f>
        <v>0.86713851761846905</v>
      </c>
      <c r="F302" s="64">
        <f>LB2term_3</f>
        <v>0.82518226002430128</v>
      </c>
      <c r="G302" s="64" t="b">
        <f>F302=E302</f>
        <v>0</v>
      </c>
      <c r="H302" s="64"/>
      <c r="I302" s="64"/>
      <c r="J302" s="64"/>
      <c r="K302" s="64"/>
      <c r="L302" s="64"/>
      <c r="M302" s="54" t="s">
        <v>9</v>
      </c>
      <c r="N302" s="64"/>
      <c r="O302" s="64"/>
      <c r="P302" s="64"/>
      <c r="Q302" s="56">
        <f>1-Q293-Q296-Q299</f>
        <v>0.60619800000000001</v>
      </c>
      <c r="R302" s="56"/>
      <c r="S302" s="129"/>
      <c r="T302" s="105"/>
      <c r="U302" s="133"/>
      <c r="V302" s="135">
        <v>0</v>
      </c>
      <c r="W302" s="133"/>
      <c r="X302" s="133"/>
      <c r="Y302" s="133"/>
      <c r="Z302" s="134"/>
      <c r="AA302" s="6"/>
    </row>
    <row r="303" spans="1:27" x14ac:dyDescent="0.3">
      <c r="A303" s="10"/>
      <c r="B303" s="10"/>
      <c r="C303" s="10"/>
      <c r="D303" s="10"/>
      <c r="E303" s="57"/>
      <c r="F303" s="41"/>
      <c r="G303" s="64"/>
      <c r="H303" s="64"/>
      <c r="I303" s="64"/>
      <c r="J303" s="64"/>
      <c r="K303" s="65"/>
      <c r="L303" s="64"/>
      <c r="M303" s="56">
        <f>S_term_2RDS_1</f>
        <v>0</v>
      </c>
      <c r="N303" s="64"/>
      <c r="O303" s="64"/>
      <c r="P303" s="64"/>
      <c r="Q303" s="57">
        <f>c_clinic_fu+c_CSG</f>
        <v>14403</v>
      </c>
      <c r="R303" s="57"/>
      <c r="S303" s="129"/>
      <c r="T303" s="105"/>
      <c r="U303" s="133"/>
      <c r="V303" s="133"/>
      <c r="W303" s="133"/>
      <c r="X303" s="133"/>
      <c r="Y303" s="133"/>
      <c r="Z303" s="134"/>
      <c r="AA303" s="6"/>
    </row>
    <row r="304" spans="1:27" x14ac:dyDescent="0.3">
      <c r="A304" s="10"/>
      <c r="B304" s="10"/>
      <c r="C304" s="10"/>
      <c r="D304" s="10"/>
      <c r="E304" s="10"/>
      <c r="F304" s="41"/>
      <c r="G304" s="64"/>
      <c r="H304" s="64"/>
      <c r="I304" s="64"/>
      <c r="J304" s="64"/>
      <c r="K304" s="65"/>
      <c r="L304" s="64"/>
      <c r="M304" s="57">
        <f>c_RDS</f>
        <v>30595.610148205637</v>
      </c>
      <c r="N304" s="64"/>
      <c r="O304" s="64"/>
      <c r="P304" s="64"/>
      <c r="Q304" s="65"/>
      <c r="R304" s="65"/>
      <c r="S304" s="129"/>
      <c r="T304" s="105"/>
      <c r="U304" s="133"/>
      <c r="V304" s="133"/>
      <c r="W304" s="133"/>
      <c r="X304" s="133"/>
      <c r="Y304" s="133"/>
      <c r="Z304" s="134"/>
      <c r="AA304" s="6"/>
    </row>
    <row r="305" spans="1:27" x14ac:dyDescent="0.3">
      <c r="A305" s="10"/>
      <c r="B305" s="10"/>
      <c r="C305" s="10"/>
      <c r="D305" s="10"/>
      <c r="E305" s="10"/>
      <c r="F305" s="41"/>
      <c r="G305" s="64"/>
      <c r="H305" s="64"/>
      <c r="I305" s="64"/>
      <c r="J305" s="64"/>
      <c r="K305" s="64"/>
      <c r="L305" s="64"/>
      <c r="M305" s="64"/>
      <c r="N305" s="64"/>
      <c r="O305" s="64"/>
      <c r="P305" s="64"/>
      <c r="Q305" s="54" t="s">
        <v>368</v>
      </c>
      <c r="R305" s="54"/>
      <c r="S305" s="129"/>
      <c r="T305" s="105"/>
      <c r="U305" s="135">
        <f>$K$308*$I$297*$G$265*$E$302*$C$148*$A$103*$M$303*$O$308*Q306</f>
        <v>0</v>
      </c>
      <c r="V305" s="133"/>
      <c r="W305" s="134">
        <f>$K$309+$I$298+$G$266+E$303+$C$149+$M$304+$O$309+Q307+$A$104</f>
        <v>286253.88665060559</v>
      </c>
      <c r="X305" s="133">
        <f>u_ChronicResp</f>
        <v>0.53465956747782661</v>
      </c>
      <c r="Y305" s="133"/>
      <c r="Z305" s="134">
        <f>U305*W305</f>
        <v>0</v>
      </c>
      <c r="AA305" s="6">
        <f>U305*X305</f>
        <v>0</v>
      </c>
    </row>
    <row r="306" spans="1:27" x14ac:dyDescent="0.3">
      <c r="A306" s="10"/>
      <c r="B306" s="10"/>
      <c r="C306" s="10"/>
      <c r="D306" s="10"/>
      <c r="E306" s="10"/>
      <c r="F306" s="41"/>
      <c r="G306" s="64"/>
      <c r="H306" s="64"/>
      <c r="I306" s="64"/>
      <c r="J306" s="64"/>
      <c r="K306" s="64"/>
      <c r="L306" s="64"/>
      <c r="M306" s="64"/>
      <c r="N306" s="64"/>
      <c r="O306" s="64"/>
      <c r="P306" s="64"/>
      <c r="Q306" s="56">
        <f>RDS2CLD_1-(RDS2CLD_1*noHypo2CI_1)</f>
        <v>0.34905610687022898</v>
      </c>
      <c r="R306" s="56"/>
      <c r="S306" s="129"/>
      <c r="T306" s="105"/>
      <c r="U306" s="133"/>
      <c r="V306" s="135">
        <v>0</v>
      </c>
      <c r="W306" s="133"/>
      <c r="X306" s="133"/>
      <c r="Y306" s="133"/>
      <c r="Z306" s="134"/>
      <c r="AA306" s="6"/>
    </row>
    <row r="307" spans="1:27" x14ac:dyDescent="0.3">
      <c r="A307" s="10"/>
      <c r="B307" s="10"/>
      <c r="C307" s="10"/>
      <c r="D307" s="10"/>
      <c r="E307" s="10"/>
      <c r="F307" s="41"/>
      <c r="G307" s="64"/>
      <c r="H307" s="64"/>
      <c r="I307" s="64"/>
      <c r="J307" s="64"/>
      <c r="K307" s="54" t="s">
        <v>37</v>
      </c>
      <c r="L307" s="64"/>
      <c r="M307" s="65"/>
      <c r="N307" s="64"/>
      <c r="O307" s="54" t="s">
        <v>371</v>
      </c>
      <c r="P307" s="64"/>
      <c r="Q307" s="57">
        <f>c_lung+c_hosp_fu+c_CSG</f>
        <v>54529.510902399998</v>
      </c>
      <c r="R307" s="57"/>
      <c r="S307" s="129"/>
      <c r="T307" s="105"/>
      <c r="U307" s="133"/>
      <c r="V307" s="133"/>
      <c r="W307" s="133"/>
      <c r="X307" s="133"/>
      <c r="Y307" s="133"/>
      <c r="Z307" s="134"/>
      <c r="AA307" s="6"/>
    </row>
    <row r="308" spans="1:27" x14ac:dyDescent="0.3">
      <c r="A308" s="10"/>
      <c r="B308" s="10"/>
      <c r="C308" s="10"/>
      <c r="D308" s="10"/>
      <c r="E308" s="10"/>
      <c r="F308" s="41"/>
      <c r="G308" s="64"/>
      <c r="H308" s="64"/>
      <c r="I308" s="64"/>
      <c r="J308" s="64"/>
      <c r="K308" s="56">
        <f>AGA_term_2s_1</f>
        <v>0.99445233333333338</v>
      </c>
      <c r="L308" s="64"/>
      <c r="M308" s="64"/>
      <c r="N308" s="64"/>
      <c r="O308" s="56">
        <f>AGA_term_2normoglycaemia_1</f>
        <v>1</v>
      </c>
      <c r="P308" s="64"/>
      <c r="Q308" s="54" t="s">
        <v>226</v>
      </c>
      <c r="R308" s="54"/>
      <c r="S308" s="129"/>
      <c r="T308" s="105"/>
      <c r="U308" s="135">
        <f>$K$308*$I$297*$G$265*$E$302*$C$148*$A$103*$M$303*$O$308*Q309</f>
        <v>0</v>
      </c>
      <c r="V308" s="133"/>
      <c r="W308" s="134">
        <f>$K$309+$I$298+$G$266+E$303+$C$149+$M$304+$O$309+Q310+$A$104</f>
        <v>247490.37574820561</v>
      </c>
      <c r="X308" s="133">
        <f>u_CongnitiveImpairement</f>
        <v>17.270393127285455</v>
      </c>
      <c r="Y308" s="133"/>
      <c r="Z308" s="134">
        <f>U308*W308</f>
        <v>0</v>
      </c>
      <c r="AA308" s="6">
        <f>U308*X308</f>
        <v>0</v>
      </c>
    </row>
    <row r="309" spans="1:27" x14ac:dyDescent="0.3">
      <c r="A309" s="10"/>
      <c r="B309" s="10"/>
      <c r="C309" s="10"/>
      <c r="D309" s="10"/>
      <c r="E309" s="10"/>
      <c r="F309" s="41"/>
      <c r="G309" s="64"/>
      <c r="H309" s="64"/>
      <c r="I309" s="64"/>
      <c r="J309" s="64"/>
      <c r="K309" s="57"/>
      <c r="L309" s="64"/>
      <c r="M309" s="64"/>
      <c r="N309" s="64"/>
      <c r="O309" s="57"/>
      <c r="P309" s="64"/>
      <c r="Q309" s="56">
        <f>noHypo2CI_1-(RDS2CLD_1*noHypo2CI_1)</f>
        <v>2.1141683406990762E-2</v>
      </c>
      <c r="R309" s="56"/>
      <c r="S309" s="129"/>
      <c r="T309" s="105"/>
      <c r="U309" s="133"/>
      <c r="V309" s="135">
        <v>0</v>
      </c>
      <c r="W309" s="133"/>
      <c r="X309" s="133"/>
      <c r="Y309" s="133"/>
      <c r="Z309" s="134"/>
      <c r="AA309" s="6"/>
    </row>
    <row r="310" spans="1:27" x14ac:dyDescent="0.3">
      <c r="A310" s="10"/>
      <c r="B310" s="10"/>
      <c r="C310" s="10"/>
      <c r="D310" s="10"/>
      <c r="E310" s="10"/>
      <c r="F310" s="41"/>
      <c r="G310" s="41"/>
      <c r="H310" s="64"/>
      <c r="I310" s="64"/>
      <c r="J310" s="64"/>
      <c r="K310" s="64"/>
      <c r="L310" s="64"/>
      <c r="M310" s="64"/>
      <c r="N310" s="64"/>
      <c r="O310" s="53"/>
      <c r="P310" s="64"/>
      <c r="Q310" s="57">
        <f>c_cog+c_hosp_fu+c_CSG</f>
        <v>15766</v>
      </c>
      <c r="R310" s="57"/>
      <c r="S310" s="129"/>
      <c r="T310" s="105"/>
      <c r="U310" s="133"/>
      <c r="V310" s="133"/>
      <c r="W310" s="133"/>
      <c r="X310" s="133"/>
      <c r="Y310" s="133"/>
      <c r="Z310" s="134"/>
      <c r="AA310" s="6"/>
    </row>
    <row r="311" spans="1:27" x14ac:dyDescent="0.3">
      <c r="A311" s="10"/>
      <c r="B311" s="10"/>
      <c r="C311" s="10"/>
      <c r="D311" s="10"/>
      <c r="E311" s="10"/>
      <c r="F311" s="41"/>
      <c r="G311" s="41"/>
      <c r="H311" s="64"/>
      <c r="I311" s="64"/>
      <c r="J311" s="64"/>
      <c r="K311" s="64"/>
      <c r="L311" s="64"/>
      <c r="M311" s="64"/>
      <c r="N311" s="64"/>
      <c r="O311" s="53"/>
      <c r="P311" s="64"/>
      <c r="Q311" s="54" t="s">
        <v>369</v>
      </c>
      <c r="R311" s="54"/>
      <c r="S311" s="129"/>
      <c r="T311" s="105"/>
      <c r="U311" s="135">
        <f>$K$308*$I$297*$G$265*$E$302*$C$148*$A$103*$M$303*$O$308*Q312</f>
        <v>0</v>
      </c>
      <c r="V311" s="133"/>
      <c r="W311" s="134">
        <f>$K$309+$I$298+$G$266+E$303+$C$149+$M$304+$O$309+Q313+$A$104</f>
        <v>290072.88665060559</v>
      </c>
      <c r="X311" s="133">
        <f>u_ChronicResp+u_CongnitiveImpairement</f>
        <v>17.805052694763283</v>
      </c>
      <c r="Y311" s="133"/>
      <c r="Z311" s="134">
        <f>U311*W311</f>
        <v>0</v>
      </c>
      <c r="AA311" s="6">
        <f>U311*X311</f>
        <v>0</v>
      </c>
    </row>
    <row r="312" spans="1:27" x14ac:dyDescent="0.3">
      <c r="A312" s="10"/>
      <c r="B312" s="10"/>
      <c r="C312" s="10"/>
      <c r="D312" s="10"/>
      <c r="E312" s="10"/>
      <c r="F312" s="41"/>
      <c r="G312" s="41"/>
      <c r="H312" s="64"/>
      <c r="I312" s="64"/>
      <c r="J312" s="64"/>
      <c r="K312" s="64"/>
      <c r="L312" s="64"/>
      <c r="M312" s="64"/>
      <c r="N312" s="64"/>
      <c r="O312" s="53"/>
      <c r="P312" s="64"/>
      <c r="Q312" s="56">
        <f>RDS2CLD_1*noHypo2CI_1</f>
        <v>1.1943893129770991E-2</v>
      </c>
      <c r="R312" s="56"/>
      <c r="S312" s="129"/>
      <c r="T312" s="105"/>
      <c r="U312" s="133"/>
      <c r="V312" s="135">
        <v>0</v>
      </c>
      <c r="W312" s="133"/>
      <c r="X312" s="133"/>
      <c r="Y312" s="133"/>
      <c r="Z312" s="134"/>
      <c r="AA312" s="6"/>
    </row>
    <row r="313" spans="1:27" x14ac:dyDescent="0.3">
      <c r="A313" s="10"/>
      <c r="B313" s="10"/>
      <c r="C313" s="10"/>
      <c r="D313" s="10"/>
      <c r="E313" s="10"/>
      <c r="F313" s="41"/>
      <c r="G313" s="64"/>
      <c r="H313" s="64"/>
      <c r="I313" s="64"/>
      <c r="J313" s="64"/>
      <c r="K313" s="64"/>
      <c r="L313" s="64"/>
      <c r="M313" s="64"/>
      <c r="N313" s="64"/>
      <c r="O313" s="53"/>
      <c r="P313" s="64"/>
      <c r="Q313" s="57">
        <f>c_cog+c_lung+c_hosp_fu+c_CSG</f>
        <v>58348.510902399998</v>
      </c>
      <c r="R313" s="57"/>
      <c r="S313" s="129"/>
      <c r="T313" s="105"/>
      <c r="U313" s="133"/>
      <c r="V313" s="133"/>
      <c r="W313" s="133"/>
      <c r="X313" s="133"/>
      <c r="Y313" s="133"/>
      <c r="Z313" s="134"/>
      <c r="AA313" s="6"/>
    </row>
    <row r="314" spans="1:27" x14ac:dyDescent="0.3">
      <c r="A314" s="10"/>
      <c r="B314" s="10"/>
      <c r="C314" s="10"/>
      <c r="D314" s="10"/>
      <c r="E314" s="10"/>
      <c r="F314" s="41"/>
      <c r="G314" s="64"/>
      <c r="H314" s="64"/>
      <c r="I314" s="64"/>
      <c r="J314" s="64"/>
      <c r="K314" s="64"/>
      <c r="L314" s="64"/>
      <c r="M314" s="64"/>
      <c r="N314" s="64"/>
      <c r="O314" s="53"/>
      <c r="P314" s="64"/>
      <c r="Q314" s="54" t="s">
        <v>370</v>
      </c>
      <c r="R314" s="54"/>
      <c r="S314" s="129"/>
      <c r="T314" s="105"/>
      <c r="U314" s="135">
        <f>$K$308*$I$297*$G$265*$E$302*$C$148*$A$103*$M$303*$O$308*Q315</f>
        <v>0</v>
      </c>
      <c r="V314" s="133"/>
      <c r="W314" s="134">
        <f>$K$309+$I$298+$G$266+E$303+$C$149+$M$304+$O$309+Q316+$A$104</f>
        <v>246127.37574820561</v>
      </c>
      <c r="X314" s="133">
        <f>u_Healthy</f>
        <v>0</v>
      </c>
      <c r="Y314" s="133"/>
      <c r="Z314" s="134">
        <f>U314*W314</f>
        <v>0</v>
      </c>
      <c r="AA314" s="6">
        <f>U314*X314</f>
        <v>0</v>
      </c>
    </row>
    <row r="315" spans="1:27" x14ac:dyDescent="0.3">
      <c r="A315" s="10"/>
      <c r="B315" s="10"/>
      <c r="C315" s="10"/>
      <c r="D315" s="10"/>
      <c r="E315" s="10"/>
      <c r="F315" s="41"/>
      <c r="G315" s="64"/>
      <c r="H315" s="64"/>
      <c r="I315" s="64"/>
      <c r="J315" s="64"/>
      <c r="K315" s="64"/>
      <c r="L315" s="64"/>
      <c r="M315" s="64"/>
      <c r="N315" s="64"/>
      <c r="O315" s="53"/>
      <c r="P315" s="64"/>
      <c r="Q315" s="56">
        <f>1-Q312-Q309-Q306</f>
        <v>0.61785831659300938</v>
      </c>
      <c r="R315" s="56"/>
      <c r="T315" s="105"/>
      <c r="U315" s="133"/>
      <c r="V315" s="135">
        <v>0</v>
      </c>
      <c r="W315" s="133"/>
      <c r="X315" s="133"/>
      <c r="Y315" s="133"/>
      <c r="Z315" s="134"/>
      <c r="AA315" s="6"/>
    </row>
    <row r="316" spans="1:27" x14ac:dyDescent="0.3">
      <c r="A316" s="10"/>
      <c r="B316" s="10"/>
      <c r="C316" s="10"/>
      <c r="D316" s="10"/>
      <c r="E316" s="10"/>
      <c r="F316" s="41"/>
      <c r="G316" s="64"/>
      <c r="H316" s="64"/>
      <c r="I316" s="64"/>
      <c r="J316" s="64"/>
      <c r="K316" s="64"/>
      <c r="L316" s="64"/>
      <c r="M316" s="64"/>
      <c r="N316" s="64"/>
      <c r="O316" s="64"/>
      <c r="P316" s="64"/>
      <c r="Q316" s="57">
        <f>c_clinic_fu+c_CSG</f>
        <v>14403</v>
      </c>
      <c r="R316" s="57"/>
      <c r="S316" s="129"/>
      <c r="T316" s="105"/>
      <c r="U316" s="133"/>
      <c r="V316" s="133"/>
      <c r="W316" s="133"/>
      <c r="X316" s="133"/>
      <c r="Y316" s="133"/>
      <c r="Z316" s="134"/>
      <c r="AA316" s="6"/>
    </row>
    <row r="317" spans="1:27" x14ac:dyDescent="0.3">
      <c r="A317" s="10"/>
      <c r="B317" s="10"/>
      <c r="C317" s="10"/>
      <c r="D317" s="10"/>
      <c r="E317" s="10"/>
      <c r="F317" s="41"/>
      <c r="G317" s="64"/>
      <c r="H317" s="64"/>
      <c r="I317" s="64"/>
      <c r="J317" s="64"/>
      <c r="K317" s="64"/>
      <c r="L317" s="64"/>
      <c r="M317" s="64"/>
      <c r="N317" s="64"/>
      <c r="O317" s="64"/>
      <c r="P317" s="64"/>
      <c r="Q317" s="65"/>
      <c r="R317" s="65"/>
      <c r="S317" s="129"/>
      <c r="T317" s="105"/>
      <c r="U317" s="133"/>
      <c r="V317" s="133"/>
      <c r="W317" s="133"/>
      <c r="X317" s="133"/>
      <c r="Y317" s="133"/>
      <c r="Z317" s="134"/>
      <c r="AA317" s="6"/>
    </row>
    <row r="318" spans="1:27" x14ac:dyDescent="0.3">
      <c r="A318" s="10"/>
      <c r="B318" s="10"/>
      <c r="C318" s="10"/>
      <c r="D318" s="10"/>
      <c r="E318" s="10"/>
      <c r="F318" s="41"/>
      <c r="G318" s="64"/>
      <c r="H318" s="64"/>
      <c r="I318" s="64"/>
      <c r="J318" s="64"/>
      <c r="K318" s="64"/>
      <c r="L318" s="64"/>
      <c r="M318" s="64"/>
      <c r="N318" s="64"/>
      <c r="O318" s="64"/>
      <c r="P318" s="64"/>
      <c r="Q318" s="54" t="s">
        <v>368</v>
      </c>
      <c r="R318" s="54"/>
      <c r="S318" s="129"/>
      <c r="T318" s="105"/>
      <c r="U318" s="135">
        <f>$K$308*$I$297*$G$265*$E$302*$C$148*$A$103*$M$323*$O$321*Q319</f>
        <v>0</v>
      </c>
      <c r="V318" s="133"/>
      <c r="W318" s="134">
        <f>$K$309+$I$298+$G$266+E$303+$C$149+$M$324+$O$322+Q320+$A$104</f>
        <v>258594.53690239997</v>
      </c>
      <c r="X318" s="133">
        <f>u_ChronicResp</f>
        <v>0.53465956747782661</v>
      </c>
      <c r="Y318" s="133"/>
      <c r="Z318" s="134">
        <f>U318*W318</f>
        <v>0</v>
      </c>
      <c r="AA318" s="6">
        <f>U318*X318</f>
        <v>0</v>
      </c>
    </row>
    <row r="319" spans="1:27" x14ac:dyDescent="0.3">
      <c r="A319" s="10"/>
      <c r="B319" s="10"/>
      <c r="C319" s="10"/>
      <c r="D319" s="10"/>
      <c r="E319" s="10"/>
      <c r="F319" s="41"/>
      <c r="G319" s="64"/>
      <c r="H319" s="64"/>
      <c r="I319" s="64"/>
      <c r="J319" s="64"/>
      <c r="K319" s="64"/>
      <c r="L319" s="64"/>
      <c r="M319" s="64"/>
      <c r="N319" s="64"/>
      <c r="O319" s="64"/>
      <c r="P319" s="64"/>
      <c r="Q319" s="56">
        <f>noRDS2CLD_1-(Hypo2CI_1*noRDS2CLD_1)</f>
        <v>0</v>
      </c>
      <c r="R319" s="56"/>
      <c r="S319" s="129"/>
      <c r="T319" s="105"/>
      <c r="U319" s="133"/>
      <c r="V319" s="135">
        <v>0</v>
      </c>
      <c r="W319" s="133"/>
      <c r="X319" s="133"/>
      <c r="Y319" s="133"/>
      <c r="Z319" s="134"/>
      <c r="AA319" s="6"/>
    </row>
    <row r="320" spans="1:27" x14ac:dyDescent="0.3">
      <c r="A320" s="10"/>
      <c r="B320" s="10"/>
      <c r="C320" s="10"/>
      <c r="D320" s="10"/>
      <c r="E320" s="10"/>
      <c r="F320" s="41"/>
      <c r="G320" s="64"/>
      <c r="H320" s="64"/>
      <c r="I320" s="64"/>
      <c r="J320" s="64"/>
      <c r="K320" s="64"/>
      <c r="L320" s="64"/>
      <c r="M320" s="64"/>
      <c r="N320" s="64"/>
      <c r="O320" s="54" t="s">
        <v>161</v>
      </c>
      <c r="P320" s="64"/>
      <c r="Q320" s="57">
        <f>c_lung+c_hosp_fu+c_CSG</f>
        <v>54529.510902399998</v>
      </c>
      <c r="R320" s="57"/>
      <c r="S320" s="129"/>
      <c r="T320" s="105"/>
      <c r="U320" s="133"/>
      <c r="V320" s="133"/>
      <c r="W320" s="133"/>
      <c r="X320" s="133"/>
      <c r="Y320" s="133"/>
      <c r="Z320" s="134"/>
      <c r="AA320" s="6"/>
    </row>
    <row r="321" spans="1:27" x14ac:dyDescent="0.3">
      <c r="A321" s="10"/>
      <c r="B321" s="10"/>
      <c r="C321" s="10"/>
      <c r="D321" s="10"/>
      <c r="E321" s="10"/>
      <c r="F321" s="41"/>
      <c r="G321" s="64"/>
      <c r="H321" s="64"/>
      <c r="I321" s="64"/>
      <c r="J321" s="64"/>
      <c r="K321" s="64"/>
      <c r="L321" s="64"/>
      <c r="M321" s="64"/>
      <c r="N321" s="64"/>
      <c r="O321" s="56">
        <f>AGA_term_2hypoglycaemia_1</f>
        <v>0</v>
      </c>
      <c r="P321" s="64"/>
      <c r="Q321" s="54" t="s">
        <v>226</v>
      </c>
      <c r="R321" s="54"/>
      <c r="S321" s="129"/>
      <c r="T321" s="105"/>
      <c r="U321" s="135">
        <f>$K$308*$I$297*$G$265*$E$302*$C$148*$A$103*$M$323*$O$321*Q322</f>
        <v>0</v>
      </c>
      <c r="V321" s="133"/>
      <c r="W321" s="134">
        <f>$K$309+$I$298+$G$266+E$303+$C$149+$M$324+$O$322+Q323+$A$104</f>
        <v>219831.02599999998</v>
      </c>
      <c r="X321" s="133">
        <f>u_CongnitiveImpairement</f>
        <v>17.270393127285455</v>
      </c>
      <c r="Y321" s="133"/>
      <c r="Z321" s="134">
        <f>U321*W321</f>
        <v>0</v>
      </c>
      <c r="AA321" s="6">
        <f>U321*X321</f>
        <v>0</v>
      </c>
    </row>
    <row r="322" spans="1:27" x14ac:dyDescent="0.3">
      <c r="A322" s="10"/>
      <c r="B322" s="10"/>
      <c r="C322" s="10"/>
      <c r="D322" s="10"/>
      <c r="E322" s="10"/>
      <c r="F322" s="41"/>
      <c r="G322" s="64"/>
      <c r="H322" s="64"/>
      <c r="I322" s="64"/>
      <c r="J322" s="64"/>
      <c r="K322" s="64"/>
      <c r="L322" s="64"/>
      <c r="M322" s="54" t="s">
        <v>203</v>
      </c>
      <c r="N322" s="64"/>
      <c r="O322" s="57">
        <f>c_hypo</f>
        <v>2936.2604000000001</v>
      </c>
      <c r="P322" s="64"/>
      <c r="Q322" s="56">
        <f>Hypo2CI_1-(Hypo2CI_1*noRDS2CLD_1)</f>
        <v>5.1333333333333335E-2</v>
      </c>
      <c r="R322" s="56"/>
      <c r="S322" s="129"/>
      <c r="T322" s="105"/>
      <c r="U322" s="133"/>
      <c r="V322" s="135">
        <v>0</v>
      </c>
      <c r="W322" s="133"/>
      <c r="X322" s="133"/>
      <c r="Y322" s="133"/>
      <c r="Z322" s="134"/>
      <c r="AA322" s="6"/>
    </row>
    <row r="323" spans="1:27" x14ac:dyDescent="0.3">
      <c r="A323" s="10"/>
      <c r="B323" s="10"/>
      <c r="C323" s="10"/>
      <c r="D323" s="10"/>
      <c r="E323" s="10"/>
      <c r="F323" s="41"/>
      <c r="G323" s="64"/>
      <c r="H323" s="64"/>
      <c r="I323" s="64"/>
      <c r="J323" s="64"/>
      <c r="K323" s="64"/>
      <c r="L323" s="64"/>
      <c r="M323" s="56">
        <f>S_term_2noRDS_1</f>
        <v>1</v>
      </c>
      <c r="N323" s="64"/>
      <c r="O323" s="53"/>
      <c r="P323" s="64"/>
      <c r="Q323" s="57">
        <f>c_cog+c_hosp_fu+c_CSG</f>
        <v>15766</v>
      </c>
      <c r="R323" s="57"/>
      <c r="S323" s="129"/>
      <c r="T323" s="105"/>
      <c r="U323" s="133"/>
      <c r="V323" s="133"/>
      <c r="W323" s="133"/>
      <c r="X323" s="133"/>
      <c r="Y323" s="133"/>
      <c r="Z323" s="134"/>
      <c r="AA323" s="6"/>
    </row>
    <row r="324" spans="1:27" x14ac:dyDescent="0.3">
      <c r="A324" s="10"/>
      <c r="B324" s="10"/>
      <c r="C324" s="10"/>
      <c r="D324" s="10"/>
      <c r="E324" s="10"/>
      <c r="F324" s="41"/>
      <c r="G324" s="64"/>
      <c r="H324" s="64"/>
      <c r="I324" s="64"/>
      <c r="J324" s="64"/>
      <c r="K324" s="64"/>
      <c r="L324" s="64"/>
      <c r="M324" s="57"/>
      <c r="N324" s="64"/>
      <c r="O324" s="65"/>
      <c r="P324" s="64"/>
      <c r="Q324" s="54" t="s">
        <v>369</v>
      </c>
      <c r="R324" s="54"/>
      <c r="S324" s="129"/>
      <c r="T324" s="105"/>
      <c r="U324" s="135">
        <f>$K$308*$I$297*$G$265*$E$302*$C$148*$A$103*$M$323*$O$321*Q325</f>
        <v>0</v>
      </c>
      <c r="V324" s="133"/>
      <c r="W324" s="134">
        <f>$K$309+$I$298+$G$266+E$303+$C$149+$M$324+$O$322+Q326+$A$104</f>
        <v>262413.53690239997</v>
      </c>
      <c r="X324" s="133">
        <f>u_ChronicResp+u_CongnitiveImpairement</f>
        <v>17.805052694763283</v>
      </c>
      <c r="Y324" s="133"/>
      <c r="Z324" s="134">
        <f>U324*W324</f>
        <v>0</v>
      </c>
      <c r="AA324" s="6">
        <f>U324*X324</f>
        <v>0</v>
      </c>
    </row>
    <row r="325" spans="1:27" x14ac:dyDescent="0.3">
      <c r="A325" s="10"/>
      <c r="B325" s="10"/>
      <c r="C325" s="10"/>
      <c r="D325" s="10"/>
      <c r="E325" s="10"/>
      <c r="F325" s="41"/>
      <c r="G325" s="64"/>
      <c r="H325" s="64"/>
      <c r="I325" s="53"/>
      <c r="J325" s="53"/>
      <c r="K325" s="64"/>
      <c r="L325" s="64"/>
      <c r="M325" s="65"/>
      <c r="N325" s="64"/>
      <c r="O325" s="41"/>
      <c r="P325" s="64"/>
      <c r="Q325" s="56">
        <f>noRDS2CLD_1*Hypo2CI_1</f>
        <v>0</v>
      </c>
      <c r="R325" s="56"/>
      <c r="S325" s="129"/>
      <c r="T325" s="105"/>
      <c r="U325" s="133"/>
      <c r="V325" s="135">
        <v>0</v>
      </c>
      <c r="W325" s="133"/>
      <c r="X325" s="133"/>
      <c r="Y325" s="133"/>
      <c r="Z325" s="134"/>
      <c r="AA325" s="6"/>
    </row>
    <row r="326" spans="1:27" x14ac:dyDescent="0.3">
      <c r="A326" s="10"/>
      <c r="B326" s="10"/>
      <c r="C326" s="10"/>
      <c r="D326" s="10"/>
      <c r="E326" s="10"/>
      <c r="F326" s="41"/>
      <c r="G326" s="64"/>
      <c r="H326" s="64"/>
      <c r="I326" s="53"/>
      <c r="J326" s="53"/>
      <c r="K326" s="64"/>
      <c r="L326" s="64"/>
      <c r="M326" s="65"/>
      <c r="N326" s="64"/>
      <c r="O326" s="41"/>
      <c r="P326" s="64"/>
      <c r="Q326" s="57">
        <f>c_lung+c_cog+c_hosp_fu+c_CSG</f>
        <v>58348.510902399998</v>
      </c>
      <c r="R326" s="57"/>
      <c r="S326" s="129"/>
      <c r="T326" s="105"/>
      <c r="U326" s="133"/>
      <c r="V326" s="133"/>
      <c r="W326" s="133"/>
      <c r="X326" s="133"/>
      <c r="Y326" s="133"/>
      <c r="Z326" s="134"/>
      <c r="AA326" s="6"/>
    </row>
    <row r="327" spans="1:27" x14ac:dyDescent="0.3">
      <c r="A327" s="10"/>
      <c r="B327" s="10"/>
      <c r="C327" s="10"/>
      <c r="D327" s="10"/>
      <c r="E327" s="10"/>
      <c r="F327" s="41"/>
      <c r="G327" s="64"/>
      <c r="H327" s="64"/>
      <c r="I327" s="53"/>
      <c r="J327" s="53"/>
      <c r="K327" s="64"/>
      <c r="L327" s="64"/>
      <c r="M327" s="65"/>
      <c r="N327" s="64"/>
      <c r="O327" s="41"/>
      <c r="P327" s="64"/>
      <c r="Q327" s="54" t="s">
        <v>370</v>
      </c>
      <c r="R327" s="54"/>
      <c r="S327" s="129"/>
      <c r="T327" s="105"/>
      <c r="U327" s="135">
        <f>$K$308*$I$297*$G$265*$E$302*$C$148*$A$103*$M$323*$O$321*Q328</f>
        <v>0</v>
      </c>
      <c r="V327" s="133"/>
      <c r="W327" s="134">
        <f>$K$309+$I$298+$G$266+E$303+$C$149+$M$324+$O$322+Q329+$A$104</f>
        <v>218468.02599999998</v>
      </c>
      <c r="X327" s="133">
        <f>u_Healthy</f>
        <v>0</v>
      </c>
      <c r="Y327" s="133"/>
      <c r="Z327" s="134">
        <f>U327*W327</f>
        <v>0</v>
      </c>
      <c r="AA327" s="6">
        <f>U327*X327</f>
        <v>0</v>
      </c>
    </row>
    <row r="328" spans="1:27" x14ac:dyDescent="0.3">
      <c r="A328" s="10"/>
      <c r="B328" s="10"/>
      <c r="C328" s="10"/>
      <c r="D328" s="10"/>
      <c r="E328" s="10"/>
      <c r="F328" s="41"/>
      <c r="G328" s="64"/>
      <c r="H328" s="64"/>
      <c r="I328" s="53"/>
      <c r="J328" s="53"/>
      <c r="K328" s="64"/>
      <c r="L328" s="64"/>
      <c r="M328" s="65"/>
      <c r="N328" s="64"/>
      <c r="O328" s="65"/>
      <c r="P328" s="64"/>
      <c r="Q328" s="56">
        <f>1-Q325-Q322-Q319</f>
        <v>0.94866666666666666</v>
      </c>
      <c r="R328" s="56"/>
      <c r="T328" s="105"/>
      <c r="U328" s="133"/>
      <c r="V328" s="135">
        <v>0</v>
      </c>
      <c r="W328" s="133"/>
      <c r="X328" s="133"/>
      <c r="Y328" s="133"/>
      <c r="Z328" s="134"/>
      <c r="AA328" s="6"/>
    </row>
    <row r="329" spans="1:27" x14ac:dyDescent="0.3">
      <c r="A329" s="10"/>
      <c r="B329" s="10"/>
      <c r="C329" s="10"/>
      <c r="D329" s="10"/>
      <c r="E329" s="10"/>
      <c r="F329" s="41"/>
      <c r="G329" s="64"/>
      <c r="H329" s="64"/>
      <c r="I329" s="53"/>
      <c r="J329" s="53"/>
      <c r="K329" s="64"/>
      <c r="L329" s="64"/>
      <c r="M329" s="65"/>
      <c r="N329" s="64"/>
      <c r="O329" s="64"/>
      <c r="P329" s="64"/>
      <c r="Q329" s="57">
        <f>c_clinic_fu+c_CSG</f>
        <v>14403</v>
      </c>
      <c r="R329" s="57"/>
      <c r="S329" s="129"/>
      <c r="T329" s="105"/>
      <c r="U329" s="133"/>
      <c r="V329" s="133"/>
      <c r="W329" s="133"/>
      <c r="X329" s="133"/>
      <c r="Y329" s="133"/>
      <c r="Z329" s="134"/>
      <c r="AA329" s="6"/>
    </row>
    <row r="330" spans="1:27" x14ac:dyDescent="0.3">
      <c r="A330" s="10"/>
      <c r="B330" s="10"/>
      <c r="C330" s="10"/>
      <c r="D330" s="10"/>
      <c r="E330" s="10"/>
      <c r="F330" s="41"/>
      <c r="G330" s="64"/>
      <c r="H330" s="64"/>
      <c r="I330" s="41"/>
      <c r="J330" s="64"/>
      <c r="K330" s="64"/>
      <c r="L330" s="64"/>
      <c r="M330" s="65"/>
      <c r="N330" s="64"/>
      <c r="O330" s="64"/>
      <c r="P330" s="64"/>
      <c r="Q330" s="65"/>
      <c r="R330" s="65"/>
      <c r="S330" s="130"/>
      <c r="T330" s="105"/>
      <c r="U330" s="133"/>
      <c r="V330" s="133"/>
      <c r="W330" s="133"/>
      <c r="X330" s="133"/>
      <c r="Y330" s="133"/>
      <c r="Z330" s="134"/>
      <c r="AA330" s="6"/>
    </row>
    <row r="331" spans="1:27" x14ac:dyDescent="0.3">
      <c r="A331" s="10"/>
      <c r="B331" s="10"/>
      <c r="C331" s="10"/>
      <c r="D331" s="10"/>
      <c r="E331" s="10"/>
      <c r="F331" s="41"/>
      <c r="G331" s="64"/>
      <c r="H331" s="64"/>
      <c r="I331" s="41"/>
      <c r="J331" s="64"/>
      <c r="K331" s="64"/>
      <c r="L331" s="64"/>
      <c r="M331" s="65"/>
      <c r="N331" s="64"/>
      <c r="O331" s="64"/>
      <c r="P331" s="64"/>
      <c r="Q331" s="54" t="s">
        <v>368</v>
      </c>
      <c r="R331" s="54"/>
      <c r="S331" s="129"/>
      <c r="T331" s="105"/>
      <c r="U331" s="135">
        <f>$K$308*$I$297*$G$265*$E$302*$C$148*$A$103*$M$323*$O$335*Q332</f>
        <v>0</v>
      </c>
      <c r="V331" s="133"/>
      <c r="W331" s="134">
        <f>$K$309+$I$298+$G$266+E$303+$C$149+$M$324+$O$336+Q333+$A$104</f>
        <v>257687.53690239997</v>
      </c>
      <c r="X331" s="133">
        <f>u_ChronicResp</f>
        <v>0.53465956747782661</v>
      </c>
      <c r="Y331" s="133"/>
      <c r="Z331" s="134">
        <f>U331*W331</f>
        <v>0</v>
      </c>
      <c r="AA331" s="6">
        <f>U331*X331</f>
        <v>0</v>
      </c>
    </row>
    <row r="332" spans="1:27" x14ac:dyDescent="0.3">
      <c r="A332" s="10"/>
      <c r="B332" s="10"/>
      <c r="C332" s="10"/>
      <c r="D332" s="10"/>
      <c r="E332" s="10"/>
      <c r="F332" s="41"/>
      <c r="G332" s="64"/>
      <c r="H332" s="64"/>
      <c r="I332" s="41"/>
      <c r="J332" s="64"/>
      <c r="K332" s="64"/>
      <c r="L332" s="64"/>
      <c r="M332" s="65"/>
      <c r="N332" s="64"/>
      <c r="O332" s="64"/>
      <c r="P332" s="64"/>
      <c r="Q332" s="56">
        <f>noRDS2CLD_1-(noRDS2CLD_1*noHypo2CI_1)</f>
        <v>0</v>
      </c>
      <c r="R332" s="56"/>
      <c r="S332" s="129"/>
      <c r="T332" s="105"/>
      <c r="U332" s="133"/>
      <c r="V332" s="135">
        <v>0</v>
      </c>
      <c r="W332" s="133"/>
      <c r="X332" s="133"/>
      <c r="Y332" s="133"/>
      <c r="Z332" s="134"/>
      <c r="AA332" s="6"/>
    </row>
    <row r="333" spans="1:27" x14ac:dyDescent="0.3">
      <c r="A333" s="10"/>
      <c r="B333" s="10"/>
      <c r="C333" s="10"/>
      <c r="D333" s="10"/>
      <c r="E333" s="10"/>
      <c r="F333" s="41"/>
      <c r="G333" s="64"/>
      <c r="H333" s="64"/>
      <c r="I333" s="64"/>
      <c r="J333" s="64"/>
      <c r="K333" s="64"/>
      <c r="L333" s="64"/>
      <c r="M333" s="65"/>
      <c r="N333" s="64"/>
      <c r="O333" s="64"/>
      <c r="P333" s="64"/>
      <c r="Q333" s="57">
        <f>c_lung+c_hypo+c_CSG</f>
        <v>56558.771302399997</v>
      </c>
      <c r="R333" s="57"/>
      <c r="S333" s="129"/>
      <c r="T333" s="105"/>
      <c r="U333" s="133"/>
      <c r="V333" s="133"/>
      <c r="W333" s="133"/>
      <c r="X333" s="133"/>
      <c r="Y333" s="133"/>
      <c r="Z333" s="134"/>
      <c r="AA333" s="6"/>
    </row>
    <row r="334" spans="1:27" x14ac:dyDescent="0.3">
      <c r="A334" s="10"/>
      <c r="B334" s="10"/>
      <c r="C334" s="10"/>
      <c r="D334" s="10"/>
      <c r="E334" s="10"/>
      <c r="F334" s="41"/>
      <c r="G334" s="64"/>
      <c r="H334" s="64"/>
      <c r="I334" s="64"/>
      <c r="J334" s="64"/>
      <c r="K334" s="64"/>
      <c r="L334" s="64"/>
      <c r="M334" s="65"/>
      <c r="N334" s="64"/>
      <c r="O334" s="54" t="s">
        <v>371</v>
      </c>
      <c r="P334" s="64"/>
      <c r="Q334" s="54" t="s">
        <v>226</v>
      </c>
      <c r="R334" s="54"/>
      <c r="S334" s="129"/>
      <c r="T334" s="105"/>
      <c r="U334" s="135">
        <f>$K$308*$I$297*$G$265*$E$302*$C$148*$A$103*$M$323*$O$335*Q335</f>
        <v>6.3381334924879102E-4</v>
      </c>
      <c r="V334" s="133"/>
      <c r="W334" s="134">
        <f>$K$309+$I$298+$G$266+E$303+$C$149+$M$324+$O$336+Q336+$A$104</f>
        <v>216894.76559999998</v>
      </c>
      <c r="X334" s="133">
        <f>u_CongnitiveImpairement</f>
        <v>17.270393127285455</v>
      </c>
      <c r="Y334" s="133"/>
      <c r="Z334" s="134">
        <f>U334*W334</f>
        <v>137.47079781946746</v>
      </c>
      <c r="AA334" s="6">
        <f>U334*X334</f>
        <v>1.0946205710848096E-2</v>
      </c>
    </row>
    <row r="335" spans="1:27" x14ac:dyDescent="0.3">
      <c r="A335" s="10"/>
      <c r="B335" s="10"/>
      <c r="C335" s="10"/>
      <c r="D335" s="10"/>
      <c r="E335" s="10"/>
      <c r="F335" s="41"/>
      <c r="G335" s="64"/>
      <c r="H335" s="64"/>
      <c r="I335" s="64"/>
      <c r="J335" s="64"/>
      <c r="K335" s="64"/>
      <c r="L335" s="64"/>
      <c r="M335" s="65"/>
      <c r="N335" s="64"/>
      <c r="O335" s="56">
        <f>AGA_term_2normoglycaemia_1</f>
        <v>1</v>
      </c>
      <c r="P335" s="64"/>
      <c r="Q335" s="56">
        <f>noHypo2CI_1</f>
        <v>3.3085576536761752E-2</v>
      </c>
      <c r="R335" s="56"/>
      <c r="S335" s="129"/>
      <c r="T335" s="105"/>
      <c r="U335" s="133"/>
      <c r="V335" s="135">
        <v>0</v>
      </c>
      <c r="W335" s="133"/>
      <c r="X335" s="133"/>
      <c r="Y335" s="133"/>
      <c r="Z335" s="134"/>
      <c r="AA335" s="6"/>
    </row>
    <row r="336" spans="1:27" x14ac:dyDescent="0.3">
      <c r="A336" s="10"/>
      <c r="B336" s="10"/>
      <c r="C336" s="10"/>
      <c r="D336" s="10"/>
      <c r="E336" s="10"/>
      <c r="F336" s="41"/>
      <c r="G336" s="64"/>
      <c r="H336" s="64"/>
      <c r="I336" s="64"/>
      <c r="J336" s="64"/>
      <c r="K336" s="64"/>
      <c r="L336" s="64"/>
      <c r="M336" s="65"/>
      <c r="N336" s="64"/>
      <c r="O336" s="57"/>
      <c r="P336" s="64"/>
      <c r="Q336" s="57">
        <f>c_cog+c_hosp_fu+c_CSG</f>
        <v>15766</v>
      </c>
      <c r="R336" s="57"/>
      <c r="S336" s="129"/>
      <c r="T336" s="105"/>
      <c r="U336" s="133"/>
      <c r="V336" s="133"/>
      <c r="W336" s="133"/>
      <c r="X336" s="133"/>
      <c r="Y336" s="133"/>
      <c r="Z336" s="134"/>
      <c r="AA336" s="6"/>
    </row>
    <row r="337" spans="1:27" x14ac:dyDescent="0.3">
      <c r="A337" s="10"/>
      <c r="B337" s="10"/>
      <c r="C337" s="10"/>
      <c r="D337" s="10"/>
      <c r="E337" s="10"/>
      <c r="F337" s="41"/>
      <c r="G337" s="64"/>
      <c r="H337" s="64"/>
      <c r="I337" s="64"/>
      <c r="J337" s="64"/>
      <c r="K337" s="64"/>
      <c r="L337" s="64"/>
      <c r="M337" s="65"/>
      <c r="N337" s="64"/>
      <c r="O337" s="64"/>
      <c r="P337" s="64"/>
      <c r="Q337" s="54" t="s">
        <v>369</v>
      </c>
      <c r="R337" s="54"/>
      <c r="S337" s="129"/>
      <c r="T337" s="105"/>
      <c r="U337" s="135">
        <f>$K$308*$I$297*$G$265*$E$302*$C$148*$A$103*$M$323*$O$335*Q338</f>
        <v>0</v>
      </c>
      <c r="V337" s="133"/>
      <c r="W337" s="134">
        <f>$K$309+$I$298+$G$266+E$303+$C$149+$M$324+$O$336+Q339+$A$104</f>
        <v>259477.2765024</v>
      </c>
      <c r="X337" s="133">
        <f>u_ChronicResp+u_CongnitiveImpairement</f>
        <v>17.805052694763283</v>
      </c>
      <c r="Y337" s="133"/>
      <c r="Z337" s="134">
        <f>U337*W337</f>
        <v>0</v>
      </c>
      <c r="AA337" s="6">
        <f>U337*X337</f>
        <v>0</v>
      </c>
    </row>
    <row r="338" spans="1:27" x14ac:dyDescent="0.3">
      <c r="A338" s="10"/>
      <c r="B338" s="10"/>
      <c r="C338" s="10"/>
      <c r="D338" s="10"/>
      <c r="E338" s="10"/>
      <c r="F338" s="41"/>
      <c r="G338" s="64"/>
      <c r="H338" s="64"/>
      <c r="I338" s="64"/>
      <c r="J338" s="64"/>
      <c r="K338" s="64"/>
      <c r="L338" s="64"/>
      <c r="M338" s="53"/>
      <c r="N338" s="64"/>
      <c r="O338" s="64"/>
      <c r="P338" s="64"/>
      <c r="Q338" s="56">
        <f>noRDS2CLD_1*noHypo2CI_1</f>
        <v>0</v>
      </c>
      <c r="R338" s="56"/>
      <c r="S338" s="129"/>
      <c r="T338" s="105"/>
      <c r="U338" s="133"/>
      <c r="V338" s="135">
        <v>0</v>
      </c>
      <c r="W338" s="133"/>
      <c r="X338" s="133"/>
      <c r="Y338" s="133"/>
      <c r="Z338" s="134"/>
      <c r="AA338" s="6"/>
    </row>
    <row r="339" spans="1:27" x14ac:dyDescent="0.3">
      <c r="A339" s="10"/>
      <c r="B339" s="10"/>
      <c r="C339" s="10"/>
      <c r="D339" s="10"/>
      <c r="E339" s="10"/>
      <c r="F339" s="41"/>
      <c r="G339" s="64"/>
      <c r="H339" s="64"/>
      <c r="I339" s="64"/>
      <c r="J339" s="64"/>
      <c r="K339" s="64"/>
      <c r="L339" s="64"/>
      <c r="M339" s="44"/>
      <c r="N339" s="64"/>
      <c r="O339" s="64"/>
      <c r="P339" s="64"/>
      <c r="Q339" s="57">
        <f>c_cog+c_lung+c_hosp_fu+c_CSG</f>
        <v>58348.510902399998</v>
      </c>
      <c r="R339" s="57"/>
      <c r="S339" s="129"/>
      <c r="T339" s="105"/>
      <c r="U339" s="133"/>
      <c r="V339" s="133"/>
      <c r="W339" s="133"/>
      <c r="X339" s="133"/>
      <c r="Y339" s="133"/>
      <c r="Z339" s="134"/>
      <c r="AA339" s="6"/>
    </row>
    <row r="340" spans="1:27" x14ac:dyDescent="0.3">
      <c r="A340" s="10"/>
      <c r="B340" s="10"/>
      <c r="C340" s="10"/>
      <c r="D340" s="10"/>
      <c r="E340" s="10"/>
      <c r="F340" s="41"/>
      <c r="G340" s="64"/>
      <c r="H340" s="64"/>
      <c r="I340" s="64"/>
      <c r="J340" s="64"/>
      <c r="K340" s="64"/>
      <c r="L340" s="64"/>
      <c r="M340" s="65"/>
      <c r="N340" s="64"/>
      <c r="O340" s="64"/>
      <c r="P340" s="64"/>
      <c r="Q340" s="54" t="s">
        <v>370</v>
      </c>
      <c r="R340" s="54"/>
      <c r="S340" s="129"/>
      <c r="T340" s="105"/>
      <c r="U340" s="135">
        <f>$K$308*$I$297*$G$265*$E$302*$C$148*$A$103*$M$323*$O$335*Q341</f>
        <v>1.8522973855125718E-2</v>
      </c>
      <c r="V340" s="133"/>
      <c r="W340" s="134">
        <f>$K$309+$I$298+$G$266+E$303+$C$149+$M$324+$O$336+Q342+$A$104</f>
        <v>215531.76559999998</v>
      </c>
      <c r="X340" s="133">
        <f>u_Healthy</f>
        <v>0</v>
      </c>
      <c r="Y340" s="133"/>
      <c r="Z340" s="134">
        <f>U340*W340</f>
        <v>3992.2892591578843</v>
      </c>
      <c r="AA340" s="6">
        <f>U340*X340</f>
        <v>0</v>
      </c>
    </row>
    <row r="341" spans="1:27" x14ac:dyDescent="0.3">
      <c r="A341" s="10"/>
      <c r="B341" s="10"/>
      <c r="C341" s="10"/>
      <c r="D341" s="10"/>
      <c r="E341" s="10"/>
      <c r="F341" s="41"/>
      <c r="G341" s="64"/>
      <c r="H341" s="64"/>
      <c r="I341" s="64"/>
      <c r="J341" s="64"/>
      <c r="K341" s="64"/>
      <c r="L341" s="64"/>
      <c r="M341" s="65"/>
      <c r="N341" s="44"/>
      <c r="O341" s="64"/>
      <c r="P341" s="64"/>
      <c r="Q341" s="56">
        <f>1-Q338-Q335-Q332</f>
        <v>0.9669144234632383</v>
      </c>
      <c r="R341" s="56"/>
      <c r="T341" s="105"/>
      <c r="U341" s="133"/>
      <c r="V341" s="135">
        <v>0</v>
      </c>
      <c r="W341" s="133"/>
      <c r="X341" s="133"/>
      <c r="Y341" s="133"/>
      <c r="Z341" s="134"/>
      <c r="AA341" s="6"/>
    </row>
    <row r="342" spans="1:27" x14ac:dyDescent="0.3">
      <c r="A342" s="10"/>
      <c r="B342" s="10"/>
      <c r="C342" s="10"/>
      <c r="D342" s="10"/>
      <c r="E342" s="10"/>
      <c r="F342" s="41"/>
      <c r="G342" s="64"/>
      <c r="H342" s="64"/>
      <c r="I342" s="64"/>
      <c r="J342" s="64"/>
      <c r="K342" s="64"/>
      <c r="L342" s="64"/>
      <c r="M342" s="65"/>
      <c r="N342" s="64"/>
      <c r="O342" s="64"/>
      <c r="P342" s="64"/>
      <c r="Q342" s="57">
        <f>c_clinic_fu+c_CSG</f>
        <v>14403</v>
      </c>
      <c r="R342" s="57"/>
      <c r="S342" s="129"/>
      <c r="T342" s="105"/>
      <c r="U342" s="133"/>
      <c r="V342" s="133"/>
      <c r="W342" s="133"/>
      <c r="X342" s="133"/>
      <c r="Y342" s="133"/>
      <c r="Z342" s="134"/>
      <c r="AA342" s="6"/>
    </row>
    <row r="343" spans="1:27" x14ac:dyDescent="0.3">
      <c r="A343" s="10"/>
      <c r="B343" s="10"/>
      <c r="C343" s="10"/>
      <c r="D343" s="10"/>
      <c r="E343" s="10"/>
      <c r="F343" s="41"/>
      <c r="G343" s="64"/>
      <c r="H343" s="64"/>
      <c r="I343" s="64"/>
      <c r="J343" s="64"/>
      <c r="K343" s="64"/>
      <c r="L343" s="64"/>
      <c r="M343" s="65"/>
      <c r="N343" s="64"/>
      <c r="O343" s="64"/>
      <c r="P343" s="64"/>
      <c r="Q343" s="65"/>
      <c r="R343" s="65"/>
      <c r="T343" s="105"/>
      <c r="U343" s="133"/>
      <c r="V343" s="133"/>
      <c r="W343" s="133"/>
      <c r="X343" s="133"/>
      <c r="Y343" s="133"/>
      <c r="Z343" s="134"/>
      <c r="AA343" s="6"/>
    </row>
    <row r="344" spans="1:27" x14ac:dyDescent="0.3">
      <c r="A344" s="10"/>
      <c r="B344" s="10"/>
      <c r="C344" s="10"/>
      <c r="D344" s="10"/>
      <c r="E344" s="10"/>
      <c r="F344" s="41"/>
      <c r="G344" s="64"/>
      <c r="H344" s="64"/>
      <c r="I344" s="64"/>
      <c r="J344" s="64"/>
      <c r="K344" s="54" t="s">
        <v>165</v>
      </c>
      <c r="L344" s="54"/>
      <c r="M344" s="54"/>
      <c r="N344" s="54"/>
      <c r="O344" s="54"/>
      <c r="P344" s="54"/>
      <c r="Q344" s="54"/>
      <c r="R344" s="54"/>
      <c r="S344" s="129"/>
      <c r="T344" s="105"/>
      <c r="U344" s="133">
        <f>$K$345*$I$353*$G$374*$E$302*$C$148*$A$103</f>
        <v>1.180376280233171E-3</v>
      </c>
      <c r="V344" s="133">
        <v>1.1031630754367548E-3</v>
      </c>
      <c r="W344" s="134">
        <f>$K$346+$I$354+$G$375+$E$303+$C$149+$A$104</f>
        <v>7367.88</v>
      </c>
      <c r="X344" s="133">
        <f>u_Death</f>
        <v>19.181538114427529</v>
      </c>
      <c r="Y344" s="133"/>
      <c r="Z344" s="134">
        <f>U344*W344</f>
        <v>8.6968707876043752</v>
      </c>
      <c r="AA344" s="6">
        <f>U344*X344</f>
        <v>2.2641432608658758E-2</v>
      </c>
    </row>
    <row r="345" spans="1:27" x14ac:dyDescent="0.3">
      <c r="A345" s="10"/>
      <c r="B345" s="10"/>
      <c r="C345" s="10"/>
      <c r="D345" s="10"/>
      <c r="E345" s="10"/>
      <c r="F345" s="41"/>
      <c r="G345" s="64"/>
      <c r="H345" s="64"/>
      <c r="I345" s="64"/>
      <c r="J345" s="64"/>
      <c r="K345" s="56">
        <f>SGA_term_2d_1</f>
        <v>1.1748000000000001E-2</v>
      </c>
      <c r="L345" s="64"/>
      <c r="M345" s="64"/>
      <c r="N345" s="64"/>
      <c r="O345" s="64"/>
      <c r="P345" s="64"/>
      <c r="Q345" s="64"/>
      <c r="R345" s="64"/>
      <c r="S345" s="129"/>
      <c r="T345" s="105"/>
      <c r="U345" s="133"/>
      <c r="V345" s="133"/>
      <c r="W345" s="133"/>
      <c r="X345" s="133"/>
      <c r="Y345" s="133"/>
      <c r="Z345" s="134"/>
      <c r="AA345" s="6"/>
    </row>
    <row r="346" spans="1:27" x14ac:dyDescent="0.3">
      <c r="A346" s="10"/>
      <c r="B346" s="10"/>
      <c r="C346" s="10"/>
      <c r="D346" s="10"/>
      <c r="E346" s="10"/>
      <c r="F346" s="41"/>
      <c r="G346" s="64"/>
      <c r="H346" s="64"/>
      <c r="I346" s="64"/>
      <c r="J346" s="64"/>
      <c r="K346" s="57">
        <f>c_SB</f>
        <v>1792</v>
      </c>
      <c r="L346" s="64"/>
      <c r="M346" s="64"/>
      <c r="N346" s="64"/>
      <c r="O346" s="64"/>
      <c r="P346" s="64"/>
      <c r="Q346" s="64"/>
      <c r="R346" s="64"/>
      <c r="S346" s="129"/>
      <c r="T346" s="105"/>
      <c r="U346" s="133"/>
      <c r="V346" s="133"/>
      <c r="W346" s="133"/>
      <c r="X346" s="133"/>
      <c r="Y346" s="133"/>
      <c r="Z346" s="134"/>
      <c r="AA346" s="6"/>
    </row>
    <row r="347" spans="1:27" x14ac:dyDescent="0.3">
      <c r="A347" s="10"/>
      <c r="B347" s="10"/>
      <c r="C347" s="10"/>
      <c r="D347" s="10"/>
      <c r="E347" s="10"/>
      <c r="F347" s="41"/>
      <c r="G347" s="64"/>
      <c r="H347" s="64"/>
      <c r="I347" s="53"/>
      <c r="J347" s="53"/>
      <c r="K347" s="53"/>
      <c r="L347" s="53"/>
      <c r="M347" s="53"/>
      <c r="N347" s="53"/>
      <c r="O347" s="53"/>
      <c r="P347" s="53"/>
      <c r="Q347" s="53"/>
      <c r="R347" s="53"/>
      <c r="S347" s="129"/>
      <c r="T347" s="105"/>
      <c r="U347" s="133"/>
      <c r="V347" s="133"/>
      <c r="W347" s="133"/>
      <c r="X347" s="133"/>
      <c r="Y347" s="133"/>
      <c r="Z347" s="134"/>
      <c r="AA347" s="6"/>
    </row>
    <row r="348" spans="1:27" x14ac:dyDescent="0.3">
      <c r="A348" s="10"/>
      <c r="B348" s="10"/>
      <c r="C348" s="10"/>
      <c r="D348" s="10"/>
      <c r="E348" s="10"/>
      <c r="F348" s="41"/>
      <c r="G348" s="64"/>
      <c r="H348" s="64"/>
      <c r="I348" s="53"/>
      <c r="J348" s="53"/>
      <c r="K348" s="53"/>
      <c r="L348" s="53"/>
      <c r="M348" s="53"/>
      <c r="N348" s="53"/>
      <c r="O348" s="53"/>
      <c r="P348" s="53"/>
      <c r="Q348" s="54" t="s">
        <v>368</v>
      </c>
      <c r="R348" s="54"/>
      <c r="S348" s="129"/>
      <c r="T348" s="105"/>
      <c r="U348" s="133">
        <f>$K$364*$I$353*$G$374*$E$302*$C$148*$A$103*$M$359*$O$354*Q349</f>
        <v>0</v>
      </c>
      <c r="V348" s="133"/>
      <c r="W348" s="134">
        <f>$K$365+$I$354+$G$375+$E$303+$C$149+$A$104+$M$360+$O$355+Q350</f>
        <v>93637.261450605642</v>
      </c>
      <c r="X348" s="133">
        <f>u_ChronicResp</f>
        <v>0.53465956747782661</v>
      </c>
      <c r="Y348" s="133"/>
      <c r="Z348" s="134">
        <f>U348*W348</f>
        <v>0</v>
      </c>
      <c r="AA348" s="6">
        <f>U348*X348</f>
        <v>0</v>
      </c>
    </row>
    <row r="349" spans="1:27" x14ac:dyDescent="0.3">
      <c r="A349" s="10"/>
      <c r="B349" s="10"/>
      <c r="C349" s="10"/>
      <c r="D349" s="10"/>
      <c r="E349" s="10"/>
      <c r="F349" s="41"/>
      <c r="G349" s="64"/>
      <c r="H349" s="64"/>
      <c r="I349" s="53"/>
      <c r="J349" s="53"/>
      <c r="K349" s="53"/>
      <c r="L349" s="53"/>
      <c r="M349" s="53"/>
      <c r="N349" s="53"/>
      <c r="O349" s="64"/>
      <c r="P349" s="64"/>
      <c r="Q349" s="56">
        <f>RDS2CLD_1-(Hypo2CI_1*RDS2CLD_1)</f>
        <v>0.34246866666666664</v>
      </c>
      <c r="R349" s="56"/>
      <c r="S349" s="129"/>
      <c r="T349" s="105"/>
      <c r="U349" s="133"/>
      <c r="V349" s="133">
        <v>0</v>
      </c>
      <c r="W349" s="133"/>
      <c r="X349" s="133"/>
      <c r="Y349" s="133"/>
      <c r="Z349" s="134"/>
      <c r="AA349" s="6"/>
    </row>
    <row r="350" spans="1:27" x14ac:dyDescent="0.3">
      <c r="A350" s="10"/>
      <c r="B350" s="10"/>
      <c r="C350" s="10"/>
      <c r="D350" s="10"/>
      <c r="E350" s="10"/>
      <c r="F350" s="41"/>
      <c r="G350" s="64"/>
      <c r="H350" s="64"/>
      <c r="I350" s="53"/>
      <c r="J350" s="53"/>
      <c r="K350" s="53"/>
      <c r="L350" s="53"/>
      <c r="M350" s="53"/>
      <c r="N350" s="53"/>
      <c r="O350" s="64"/>
      <c r="P350" s="64"/>
      <c r="Q350" s="57">
        <f>c_lung+c_hosp_fu+c_CSG</f>
        <v>54529.510902399998</v>
      </c>
      <c r="R350" s="57"/>
      <c r="S350" s="129"/>
      <c r="T350" s="105"/>
      <c r="U350" s="133"/>
      <c r="V350" s="133"/>
      <c r="W350" s="133"/>
      <c r="X350" s="133"/>
      <c r="Y350" s="133"/>
      <c r="Z350" s="134"/>
      <c r="AA350" s="6"/>
    </row>
    <row r="351" spans="1:27" x14ac:dyDescent="0.3">
      <c r="A351" s="10"/>
      <c r="B351" s="10"/>
      <c r="C351" s="10"/>
      <c r="D351" s="10"/>
      <c r="E351" s="10"/>
      <c r="F351" s="41"/>
      <c r="G351" s="64"/>
      <c r="H351" s="64"/>
      <c r="I351" s="53"/>
      <c r="J351" s="53"/>
      <c r="K351" s="53"/>
      <c r="L351" s="53"/>
      <c r="M351" s="53"/>
      <c r="N351" s="53"/>
      <c r="O351" s="64"/>
      <c r="P351" s="64"/>
      <c r="Q351" s="54" t="s">
        <v>226</v>
      </c>
      <c r="R351" s="54"/>
      <c r="S351" s="129"/>
      <c r="T351" s="105"/>
      <c r="U351" s="133">
        <f>$K$364*$I$353*$G$374*$E$302*$C$148*$A$103*$M$359*$O$354*Q352</f>
        <v>0</v>
      </c>
      <c r="V351" s="133"/>
      <c r="W351" s="134">
        <f>$K$365+$I$354+$G$375+$E$303+$C$149+$A$104+$M$360+$O$355+Q353</f>
        <v>54873.750548205637</v>
      </c>
      <c r="X351" s="133">
        <f>u_CongnitiveImpairement</f>
        <v>17.270393127285455</v>
      </c>
      <c r="Y351" s="133"/>
      <c r="Z351" s="134">
        <f>U351*W351</f>
        <v>0</v>
      </c>
      <c r="AA351" s="6">
        <f>U351*X351</f>
        <v>0</v>
      </c>
    </row>
    <row r="352" spans="1:27" x14ac:dyDescent="0.3">
      <c r="A352" s="10"/>
      <c r="B352" s="10"/>
      <c r="C352" s="10"/>
      <c r="D352" s="10"/>
      <c r="E352" s="10"/>
      <c r="F352" s="41"/>
      <c r="G352" s="64"/>
      <c r="H352" s="64"/>
      <c r="I352" s="54" t="s">
        <v>164</v>
      </c>
      <c r="J352" s="64"/>
      <c r="K352" s="64"/>
      <c r="L352" s="64"/>
      <c r="M352" s="64"/>
      <c r="N352" s="64"/>
      <c r="O352" s="64"/>
      <c r="P352" s="64"/>
      <c r="Q352" s="56">
        <f>Hypo2CI_1-(Hypo2CI_1*RDS2CLD_1)</f>
        <v>3.2801999999999998E-2</v>
      </c>
      <c r="R352" s="56"/>
      <c r="S352" s="129"/>
      <c r="T352" s="105"/>
      <c r="U352" s="133"/>
      <c r="V352" s="133">
        <v>0</v>
      </c>
      <c r="W352" s="133"/>
      <c r="X352" s="133"/>
      <c r="Y352" s="133"/>
      <c r="Z352" s="134"/>
      <c r="AA352" s="6"/>
    </row>
    <row r="353" spans="1:27" x14ac:dyDescent="0.3">
      <c r="A353" s="10"/>
      <c r="B353" s="10"/>
      <c r="C353" s="10"/>
      <c r="D353" s="10"/>
      <c r="E353" s="10"/>
      <c r="F353" s="41"/>
      <c r="G353" s="64"/>
      <c r="H353" s="64"/>
      <c r="I353" s="56">
        <f>NBW_term_2SGA_1</f>
        <v>0.17096075860597007</v>
      </c>
      <c r="J353" s="64"/>
      <c r="K353" s="64"/>
      <c r="L353" s="64"/>
      <c r="M353" s="64"/>
      <c r="N353" s="64"/>
      <c r="O353" s="54" t="s">
        <v>161</v>
      </c>
      <c r="P353" s="64"/>
      <c r="Q353" s="57">
        <f>c_cog+c_hosp_fu+c_CSG</f>
        <v>15766</v>
      </c>
      <c r="R353" s="57"/>
      <c r="S353" s="129"/>
      <c r="T353" s="105"/>
      <c r="U353" s="133"/>
      <c r="V353" s="133"/>
      <c r="W353" s="133"/>
      <c r="X353" s="133"/>
      <c r="Y353" s="133"/>
      <c r="Z353" s="134"/>
      <c r="AA353" s="6"/>
    </row>
    <row r="354" spans="1:27" x14ac:dyDescent="0.3">
      <c r="A354" s="10"/>
      <c r="B354" s="10"/>
      <c r="C354" s="10"/>
      <c r="D354" s="10"/>
      <c r="E354" s="10"/>
      <c r="F354" s="41"/>
      <c r="G354" s="64"/>
      <c r="H354" s="64"/>
      <c r="I354" s="57"/>
      <c r="J354" s="64"/>
      <c r="K354" s="64"/>
      <c r="L354" s="64"/>
      <c r="M354" s="64"/>
      <c r="N354" s="64"/>
      <c r="O354" s="56">
        <f>SGA_term_2hypoglycaemia_1</f>
        <v>0.26</v>
      </c>
      <c r="P354" s="64"/>
      <c r="Q354" s="54" t="s">
        <v>369</v>
      </c>
      <c r="R354" s="54"/>
      <c r="S354" s="129"/>
      <c r="T354" s="105"/>
      <c r="U354" s="133">
        <f>$K$364*$I$353*$G$374*$E$302*$C$148*$A$103*$M$359*$O$354*Q355</f>
        <v>0</v>
      </c>
      <c r="V354" s="133"/>
      <c r="W354" s="134">
        <f>$K$365+$I$354+$G$375+$E$303+$C$149+$A$104+$M$360+$O$355+Q356</f>
        <v>97456.261450605642</v>
      </c>
      <c r="X354" s="133">
        <f>u_ChronicResp+u_CongnitiveImpairement</f>
        <v>17.805052694763283</v>
      </c>
      <c r="Y354" s="133"/>
      <c r="Z354" s="134">
        <f>U354*W354</f>
        <v>0</v>
      </c>
      <c r="AA354" s="6">
        <f>U354*X354</f>
        <v>0</v>
      </c>
    </row>
    <row r="355" spans="1:27" x14ac:dyDescent="0.3">
      <c r="A355" s="10"/>
      <c r="B355" s="10"/>
      <c r="C355" s="10"/>
      <c r="D355" s="10"/>
      <c r="E355" s="10"/>
      <c r="F355" s="41"/>
      <c r="G355" s="64"/>
      <c r="H355" s="64"/>
      <c r="I355" s="64"/>
      <c r="J355" s="64"/>
      <c r="K355" s="64"/>
      <c r="L355" s="64"/>
      <c r="M355" s="64"/>
      <c r="N355" s="64"/>
      <c r="O355" s="57">
        <f>c_hypo</f>
        <v>2936.2604000000001</v>
      </c>
      <c r="P355" s="64"/>
      <c r="Q355" s="56">
        <f>Hypo2CI_1*RDS2CLD_1</f>
        <v>1.8531333333333334E-2</v>
      </c>
      <c r="R355" s="56"/>
      <c r="S355" s="129"/>
      <c r="T355" s="105"/>
      <c r="U355" s="133"/>
      <c r="V355" s="133">
        <v>0</v>
      </c>
      <c r="W355" s="133"/>
      <c r="X355" s="133"/>
      <c r="Y355" s="133"/>
      <c r="Z355" s="134"/>
      <c r="AA355" s="6"/>
    </row>
    <row r="356" spans="1:27" x14ac:dyDescent="0.3">
      <c r="A356" s="10"/>
      <c r="B356" s="10"/>
      <c r="C356" s="10"/>
      <c r="D356" s="10"/>
      <c r="E356" s="110"/>
      <c r="F356" s="41"/>
      <c r="G356" s="64"/>
      <c r="H356" s="64"/>
      <c r="I356" s="64"/>
      <c r="J356" s="64"/>
      <c r="K356" s="64"/>
      <c r="L356" s="64"/>
      <c r="M356" s="65"/>
      <c r="N356" s="64"/>
      <c r="O356" s="53"/>
      <c r="P356" s="64"/>
      <c r="Q356" s="57">
        <f>c_lung+c_cog+c_hosp_fu+c_CSG</f>
        <v>58348.510902399998</v>
      </c>
      <c r="R356" s="57"/>
      <c r="S356" s="129"/>
      <c r="T356" s="105"/>
      <c r="U356" s="133"/>
      <c r="V356" s="133"/>
      <c r="W356" s="133"/>
      <c r="X356" s="133"/>
      <c r="Y356" s="133"/>
      <c r="Z356" s="134"/>
      <c r="AA356" s="6"/>
    </row>
    <row r="357" spans="1:27" x14ac:dyDescent="0.3">
      <c r="A357" s="10"/>
      <c r="B357" s="10"/>
      <c r="C357" s="10"/>
      <c r="D357" s="10"/>
      <c r="E357" s="110"/>
      <c r="F357" s="41"/>
      <c r="G357" s="41"/>
      <c r="H357" s="44"/>
      <c r="I357" s="64"/>
      <c r="J357" s="64"/>
      <c r="K357" s="64"/>
      <c r="L357" s="64"/>
      <c r="M357" s="64"/>
      <c r="N357" s="64"/>
      <c r="O357" s="64"/>
      <c r="P357" s="64"/>
      <c r="Q357" s="54" t="s">
        <v>370</v>
      </c>
      <c r="R357" s="54"/>
      <c r="S357" s="129"/>
      <c r="T357" s="105"/>
      <c r="U357" s="133">
        <f>$K$364*$I$353*$G$374*$E$302*$C$148*$A$103*$M$359*$O$354*Q358</f>
        <v>0</v>
      </c>
      <c r="V357" s="133"/>
      <c r="W357" s="134">
        <f>$K$365+$I$354+$G$375+$E$303+$C$149+$A$104+$M$360+$O$355+Q359</f>
        <v>53510.750548205637</v>
      </c>
      <c r="X357" s="133">
        <f>u_Healthy</f>
        <v>0</v>
      </c>
      <c r="Y357" s="133"/>
      <c r="Z357" s="134">
        <f>U357*W357</f>
        <v>0</v>
      </c>
      <c r="AA357" s="6">
        <f>U357*X357</f>
        <v>0</v>
      </c>
    </row>
    <row r="358" spans="1:27" x14ac:dyDescent="0.3">
      <c r="A358" s="10"/>
      <c r="B358" s="10"/>
      <c r="C358" s="10"/>
      <c r="D358" s="10"/>
      <c r="E358" s="116"/>
      <c r="F358" s="41"/>
      <c r="G358" s="64"/>
      <c r="H358" s="64"/>
      <c r="I358" s="64"/>
      <c r="J358" s="64"/>
      <c r="K358" s="64"/>
      <c r="L358" s="64"/>
      <c r="M358" s="54" t="s">
        <v>9</v>
      </c>
      <c r="N358" s="64"/>
      <c r="O358" s="64"/>
      <c r="P358" s="64"/>
      <c r="Q358" s="56">
        <f>1-Q349-Q352-Q355</f>
        <v>0.60619800000000001</v>
      </c>
      <c r="R358" s="56"/>
      <c r="S358" s="129"/>
      <c r="T358" s="105"/>
      <c r="U358" s="133"/>
      <c r="V358" s="133">
        <v>0</v>
      </c>
      <c r="W358" s="133"/>
      <c r="X358" s="133"/>
      <c r="Y358" s="133"/>
      <c r="Z358" s="134"/>
      <c r="AA358" s="6"/>
    </row>
    <row r="359" spans="1:27" x14ac:dyDescent="0.3">
      <c r="A359" s="10"/>
      <c r="B359" s="10"/>
      <c r="C359" s="10"/>
      <c r="D359" s="10"/>
      <c r="E359" s="10"/>
      <c r="F359" s="41"/>
      <c r="G359" s="64"/>
      <c r="H359" s="64"/>
      <c r="I359" s="64"/>
      <c r="J359" s="64"/>
      <c r="K359" s="65"/>
      <c r="L359" s="64"/>
      <c r="M359" s="56">
        <f>S_term_2RDS_1</f>
        <v>0</v>
      </c>
      <c r="N359" s="64"/>
      <c r="O359" s="64"/>
      <c r="P359" s="64"/>
      <c r="Q359" s="57">
        <f>c_clinic_fu+c_CSG</f>
        <v>14403</v>
      </c>
      <c r="R359" s="57"/>
      <c r="S359" s="129"/>
      <c r="T359" s="105"/>
      <c r="U359" s="133"/>
      <c r="V359" s="133"/>
      <c r="W359" s="133"/>
      <c r="X359" s="133"/>
      <c r="Y359" s="133"/>
      <c r="Z359" s="134"/>
      <c r="AA359" s="6"/>
    </row>
    <row r="360" spans="1:27" x14ac:dyDescent="0.3">
      <c r="A360" s="10"/>
      <c r="B360" s="10"/>
      <c r="C360" s="10"/>
      <c r="D360" s="10"/>
      <c r="E360" s="10"/>
      <c r="F360" s="41"/>
      <c r="G360" s="64"/>
      <c r="H360" s="64"/>
      <c r="I360" s="64"/>
      <c r="J360" s="64"/>
      <c r="K360" s="65"/>
      <c r="L360" s="64"/>
      <c r="M360" s="57">
        <f>c_RDS</f>
        <v>30595.610148205637</v>
      </c>
      <c r="N360" s="64"/>
      <c r="O360" s="64"/>
      <c r="P360" s="64"/>
      <c r="Q360" s="65"/>
      <c r="R360" s="65"/>
      <c r="S360" s="129"/>
      <c r="T360" s="105"/>
      <c r="U360" s="133"/>
      <c r="V360" s="133"/>
      <c r="W360" s="133"/>
      <c r="X360" s="133"/>
      <c r="Y360" s="133"/>
      <c r="Z360" s="134"/>
      <c r="AA360" s="6"/>
    </row>
    <row r="361" spans="1:27" x14ac:dyDescent="0.3">
      <c r="A361" s="10"/>
      <c r="B361" s="10"/>
      <c r="C361" s="10"/>
      <c r="D361" s="10"/>
      <c r="E361" s="10"/>
      <c r="F361" s="41"/>
      <c r="G361" s="53"/>
      <c r="H361" s="64"/>
      <c r="I361" s="64"/>
      <c r="J361" s="64"/>
      <c r="K361" s="64"/>
      <c r="L361" s="64"/>
      <c r="M361" s="64"/>
      <c r="N361" s="64"/>
      <c r="O361" s="64"/>
      <c r="P361" s="64"/>
      <c r="Q361" s="54" t="s">
        <v>368</v>
      </c>
      <c r="R361" s="54"/>
      <c r="S361" s="129"/>
      <c r="T361" s="105"/>
      <c r="U361" s="133">
        <f>$K$364*$I$353*$G$374*$E$302*$C$148*$A$103*$M$359*$O$364*Q362</f>
        <v>0</v>
      </c>
      <c r="V361" s="133"/>
      <c r="W361" s="134">
        <f>$K$365+$I$354+$G$375+$E$303+$C$149+$A$104+$M$360+$O$365+Q363</f>
        <v>90701.001050605642</v>
      </c>
      <c r="X361" s="133">
        <f>u_ChronicResp</f>
        <v>0.53465956747782661</v>
      </c>
      <c r="Y361" s="133"/>
      <c r="Z361" s="134">
        <f>U361*W361</f>
        <v>0</v>
      </c>
      <c r="AA361" s="6">
        <f>U361*X361</f>
        <v>0</v>
      </c>
    </row>
    <row r="362" spans="1:27" x14ac:dyDescent="0.3">
      <c r="A362" s="10"/>
      <c r="B362" s="10"/>
      <c r="C362" s="10"/>
      <c r="D362" s="10"/>
      <c r="E362" s="10"/>
      <c r="F362" s="41"/>
      <c r="G362" s="53"/>
      <c r="H362" s="64"/>
      <c r="I362" s="64"/>
      <c r="J362" s="64"/>
      <c r="K362" s="64"/>
      <c r="L362" s="64"/>
      <c r="M362" s="64"/>
      <c r="N362" s="64"/>
      <c r="O362" s="64"/>
      <c r="P362" s="64"/>
      <c r="Q362" s="56">
        <f>RDS2CLD_1-(RDS2CLD_1*noHypo2CI_1)</f>
        <v>0.34905610687022898</v>
      </c>
      <c r="R362" s="56"/>
      <c r="S362" s="129"/>
      <c r="T362" s="105"/>
      <c r="U362" s="133"/>
      <c r="V362" s="133">
        <v>0</v>
      </c>
      <c r="W362" s="133"/>
      <c r="X362" s="133"/>
      <c r="Y362" s="133"/>
      <c r="Z362" s="134"/>
      <c r="AA362" s="6"/>
    </row>
    <row r="363" spans="1:27" x14ac:dyDescent="0.3">
      <c r="A363" s="10"/>
      <c r="B363" s="10"/>
      <c r="C363" s="10"/>
      <c r="D363" s="10"/>
      <c r="E363" s="10"/>
      <c r="F363" s="41"/>
      <c r="G363" s="53"/>
      <c r="H363" s="64"/>
      <c r="I363" s="64"/>
      <c r="J363" s="64"/>
      <c r="K363" s="54" t="s">
        <v>37</v>
      </c>
      <c r="L363" s="64"/>
      <c r="M363" s="65"/>
      <c r="N363" s="64"/>
      <c r="O363" s="54" t="s">
        <v>371</v>
      </c>
      <c r="P363" s="64"/>
      <c r="Q363" s="57">
        <f>c_lung+c_hosp_fu+c_CSG</f>
        <v>54529.510902399998</v>
      </c>
      <c r="R363" s="57"/>
      <c r="S363" s="129"/>
      <c r="T363" s="105"/>
      <c r="U363" s="133"/>
      <c r="V363" s="133"/>
      <c r="W363" s="133"/>
      <c r="X363" s="133"/>
      <c r="Y363" s="133"/>
      <c r="Z363" s="134"/>
      <c r="AA363" s="6"/>
    </row>
    <row r="364" spans="1:27" x14ac:dyDescent="0.3">
      <c r="A364" s="10"/>
      <c r="B364" s="10"/>
      <c r="C364" s="10"/>
      <c r="D364" s="10"/>
      <c r="E364" s="10"/>
      <c r="F364" s="41"/>
      <c r="G364" s="53"/>
      <c r="H364" s="64"/>
      <c r="I364" s="64"/>
      <c r="J364" s="64"/>
      <c r="K364" s="56">
        <f>SGA_term_2s_1</f>
        <v>0.98825200000000002</v>
      </c>
      <c r="L364" s="64"/>
      <c r="M364" s="64"/>
      <c r="N364" s="64"/>
      <c r="O364" s="56">
        <f>SGA_term_2normoglycaemia_1</f>
        <v>0.74</v>
      </c>
      <c r="P364" s="64"/>
      <c r="Q364" s="54" t="s">
        <v>226</v>
      </c>
      <c r="R364" s="54"/>
      <c r="S364" s="129"/>
      <c r="T364" s="105"/>
      <c r="U364" s="133">
        <f>$K$364*$I$353*$G$374*$E$302*$C$148*$A$103*$M$359*$O$364*Q365</f>
        <v>0</v>
      </c>
      <c r="V364" s="133"/>
      <c r="W364" s="134">
        <f>$K$365+$I$354+$G$375+$E$303+$C$149+$A$104+$M$360+$O$365+Q366</f>
        <v>51937.490148205638</v>
      </c>
      <c r="X364" s="133">
        <f>u_CongnitiveImpairement</f>
        <v>17.270393127285455</v>
      </c>
      <c r="Y364" s="133"/>
      <c r="Z364" s="134">
        <f>U364*W364</f>
        <v>0</v>
      </c>
      <c r="AA364" s="6">
        <f>U364*X364</f>
        <v>0</v>
      </c>
    </row>
    <row r="365" spans="1:27" x14ac:dyDescent="0.3">
      <c r="A365" s="10"/>
      <c r="B365" s="10"/>
      <c r="C365" s="10"/>
      <c r="D365" s="10"/>
      <c r="E365" s="10"/>
      <c r="F365" s="41"/>
      <c r="G365" s="53"/>
      <c r="H365" s="64"/>
      <c r="I365" s="64"/>
      <c r="J365" s="64"/>
      <c r="K365" s="57"/>
      <c r="L365" s="64"/>
      <c r="M365" s="64"/>
      <c r="N365" s="64"/>
      <c r="O365" s="57"/>
      <c r="P365" s="64"/>
      <c r="Q365" s="56">
        <f>noHypo2CI_1-(RDS2CLD_1*noHypo2CI_1)</f>
        <v>2.1141683406990762E-2</v>
      </c>
      <c r="R365" s="56"/>
      <c r="S365" s="129"/>
      <c r="T365" s="105"/>
      <c r="U365" s="133"/>
      <c r="V365" s="133">
        <v>0</v>
      </c>
      <c r="W365" s="133"/>
      <c r="X365" s="133"/>
      <c r="Y365" s="133"/>
      <c r="Z365" s="134"/>
      <c r="AA365" s="6"/>
    </row>
    <row r="366" spans="1:27" x14ac:dyDescent="0.3">
      <c r="A366" s="10"/>
      <c r="B366" s="10"/>
      <c r="C366" s="10"/>
      <c r="D366" s="10"/>
      <c r="E366" s="10"/>
      <c r="F366" s="41"/>
      <c r="G366" s="64"/>
      <c r="H366" s="64"/>
      <c r="I366" s="64"/>
      <c r="J366" s="64"/>
      <c r="K366" s="64"/>
      <c r="L366" s="64"/>
      <c r="M366" s="64"/>
      <c r="N366" s="64"/>
      <c r="O366" s="53"/>
      <c r="P366" s="64"/>
      <c r="Q366" s="57">
        <f>c_cog+c_hosp_fu+c_CSG</f>
        <v>15766</v>
      </c>
      <c r="R366" s="57"/>
      <c r="S366" s="129"/>
      <c r="T366" s="105"/>
      <c r="U366" s="133"/>
      <c r="V366" s="133"/>
      <c r="W366" s="133"/>
      <c r="X366" s="133"/>
      <c r="Y366" s="133"/>
      <c r="Z366" s="134"/>
      <c r="AA366" s="6"/>
    </row>
    <row r="367" spans="1:27" x14ac:dyDescent="0.3">
      <c r="A367" s="10"/>
      <c r="B367" s="10"/>
      <c r="C367" s="10"/>
      <c r="D367" s="10"/>
      <c r="E367" s="10"/>
      <c r="F367" s="41"/>
      <c r="G367" s="64"/>
      <c r="H367" s="64"/>
      <c r="I367" s="64"/>
      <c r="J367" s="64"/>
      <c r="K367" s="64"/>
      <c r="L367" s="64"/>
      <c r="M367" s="64"/>
      <c r="N367" s="64"/>
      <c r="O367" s="53"/>
      <c r="P367" s="64"/>
      <c r="Q367" s="54" t="s">
        <v>369</v>
      </c>
      <c r="R367" s="54"/>
      <c r="S367" s="129"/>
      <c r="T367" s="105"/>
      <c r="U367" s="133">
        <f>$K$364*$I$353*$G$374*$E$302*$C$148*$A$103*$M$359*$O$364*Q368</f>
        <v>0</v>
      </c>
      <c r="V367" s="133"/>
      <c r="W367" s="134">
        <f>$K$365+$I$354+$G$375+$E$303+$C$149+$A$104+$M$360+$O$365+Q369</f>
        <v>94520.001050605642</v>
      </c>
      <c r="X367" s="133">
        <f>u_ChronicResp+u_CongnitiveImpairement</f>
        <v>17.805052694763283</v>
      </c>
      <c r="Y367" s="133"/>
      <c r="Z367" s="134">
        <f>U367*W367</f>
        <v>0</v>
      </c>
      <c r="AA367" s="6">
        <f>U367*X367</f>
        <v>0</v>
      </c>
    </row>
    <row r="368" spans="1:27" x14ac:dyDescent="0.3">
      <c r="A368" s="10"/>
      <c r="B368" s="10"/>
      <c r="C368" s="10"/>
      <c r="D368" s="10"/>
      <c r="E368" s="10"/>
      <c r="F368" s="41"/>
      <c r="G368" s="64"/>
      <c r="H368" s="64"/>
      <c r="I368" s="64"/>
      <c r="J368" s="64"/>
      <c r="K368" s="64"/>
      <c r="L368" s="64"/>
      <c r="M368" s="64"/>
      <c r="N368" s="64"/>
      <c r="O368" s="53"/>
      <c r="P368" s="64"/>
      <c r="Q368" s="56">
        <f>RDS2CLD_1*noHypo2CI_1</f>
        <v>1.1943893129770991E-2</v>
      </c>
      <c r="R368" s="56"/>
      <c r="S368" s="129"/>
      <c r="T368" s="105"/>
      <c r="U368" s="133"/>
      <c r="V368" s="133">
        <v>0</v>
      </c>
      <c r="W368" s="133"/>
      <c r="X368" s="133"/>
      <c r="Y368" s="133"/>
      <c r="Z368" s="134"/>
      <c r="AA368" s="6"/>
    </row>
    <row r="369" spans="1:27" x14ac:dyDescent="0.3">
      <c r="A369" s="10"/>
      <c r="B369" s="10"/>
      <c r="C369" s="10"/>
      <c r="D369" s="10"/>
      <c r="E369" s="10"/>
      <c r="F369" s="41"/>
      <c r="G369" s="64"/>
      <c r="H369" s="64"/>
      <c r="I369" s="64"/>
      <c r="J369" s="64"/>
      <c r="K369" s="64"/>
      <c r="L369" s="64"/>
      <c r="M369" s="64"/>
      <c r="N369" s="64"/>
      <c r="O369" s="53"/>
      <c r="P369" s="64"/>
      <c r="Q369" s="57">
        <f>c_cog+c_lung+c_hosp_fu+c_CSG</f>
        <v>58348.510902399998</v>
      </c>
      <c r="R369" s="57"/>
      <c r="S369" s="129"/>
      <c r="T369" s="105"/>
      <c r="U369" s="133"/>
      <c r="V369" s="133"/>
      <c r="W369" s="133"/>
      <c r="X369" s="133"/>
      <c r="Y369" s="133"/>
      <c r="Z369" s="134"/>
      <c r="AA369" s="6"/>
    </row>
    <row r="370" spans="1:27" x14ac:dyDescent="0.3">
      <c r="A370" s="10"/>
      <c r="B370" s="10"/>
      <c r="C370" s="10"/>
      <c r="D370" s="10"/>
      <c r="E370" s="10"/>
      <c r="F370" s="41"/>
      <c r="G370" s="64"/>
      <c r="H370" s="64"/>
      <c r="I370" s="64"/>
      <c r="J370" s="64"/>
      <c r="K370" s="64"/>
      <c r="L370" s="64"/>
      <c r="M370" s="64"/>
      <c r="N370" s="64"/>
      <c r="O370" s="53"/>
      <c r="P370" s="64"/>
      <c r="Q370" s="54" t="s">
        <v>370</v>
      </c>
      <c r="R370" s="54"/>
      <c r="S370" s="129"/>
      <c r="T370" s="105"/>
      <c r="U370" s="133">
        <f>$K$364*$I$353*$G$374*$E$302*$C$148*$A$103*$M$359*$O$364*Q371</f>
        <v>0</v>
      </c>
      <c r="V370" s="133"/>
      <c r="W370" s="134">
        <f>$K$365+$I$354+$G$375+$E$303+$C$149+$A$104+$M$360+$O$365+Q372</f>
        <v>50574.490148205638</v>
      </c>
      <c r="X370" s="133">
        <f>u_Healthy</f>
        <v>0</v>
      </c>
      <c r="Y370" s="133"/>
      <c r="Z370" s="134">
        <f>U370*W370</f>
        <v>0</v>
      </c>
      <c r="AA370" s="6">
        <f>U370*X370</f>
        <v>0</v>
      </c>
    </row>
    <row r="371" spans="1:27" x14ac:dyDescent="0.3">
      <c r="A371" s="10"/>
      <c r="B371" s="10"/>
      <c r="C371" s="10"/>
      <c r="D371" s="10"/>
      <c r="E371" s="10"/>
      <c r="F371" s="41"/>
      <c r="G371" s="64"/>
      <c r="H371" s="64"/>
      <c r="I371" s="64"/>
      <c r="J371" s="64"/>
      <c r="K371" s="64"/>
      <c r="L371" s="64"/>
      <c r="M371" s="64"/>
      <c r="N371" s="64"/>
      <c r="O371" s="53"/>
      <c r="P371" s="64"/>
      <c r="Q371" s="56">
        <f>1-Q368-Q365-Q362</f>
        <v>0.61785831659300938</v>
      </c>
      <c r="R371" s="56"/>
      <c r="T371" s="105"/>
      <c r="U371" s="133"/>
      <c r="V371" s="133">
        <v>0</v>
      </c>
      <c r="W371" s="133"/>
      <c r="X371" s="133"/>
      <c r="Y371" s="133"/>
      <c r="Z371" s="134"/>
      <c r="AA371" s="6"/>
    </row>
    <row r="372" spans="1:27" x14ac:dyDescent="0.3">
      <c r="A372" s="10"/>
      <c r="B372" s="10"/>
      <c r="C372" s="10"/>
      <c r="D372" s="10"/>
      <c r="E372" s="10"/>
      <c r="F372" s="41"/>
      <c r="G372" s="64"/>
      <c r="H372" s="64"/>
      <c r="I372" s="64"/>
      <c r="J372" s="64"/>
      <c r="K372" s="64"/>
      <c r="L372" s="64"/>
      <c r="M372" s="64"/>
      <c r="N372" s="64"/>
      <c r="O372" s="64"/>
      <c r="P372" s="64"/>
      <c r="Q372" s="57">
        <f>c_clinic_fu+c_CSG</f>
        <v>14403</v>
      </c>
      <c r="R372" s="57"/>
      <c r="S372" s="129"/>
      <c r="T372" s="105"/>
      <c r="U372" s="133"/>
      <c r="V372" s="133"/>
      <c r="W372" s="133"/>
      <c r="X372" s="133"/>
      <c r="Y372" s="133"/>
      <c r="Z372" s="134"/>
      <c r="AA372" s="6"/>
    </row>
    <row r="373" spans="1:27" x14ac:dyDescent="0.3">
      <c r="A373" s="10"/>
      <c r="B373" s="10"/>
      <c r="C373" s="10"/>
      <c r="D373" s="10"/>
      <c r="E373" s="10"/>
      <c r="F373" s="41"/>
      <c r="G373" s="54" t="s">
        <v>372</v>
      </c>
      <c r="H373" s="64"/>
      <c r="I373" s="64"/>
      <c r="J373" s="64"/>
      <c r="K373" s="64"/>
      <c r="L373" s="64"/>
      <c r="M373" s="64"/>
      <c r="N373" s="64"/>
      <c r="O373" s="64"/>
      <c r="P373" s="64"/>
      <c r="Q373" s="65"/>
      <c r="R373" s="65"/>
      <c r="S373" s="129"/>
      <c r="T373" s="105"/>
      <c r="U373" s="133"/>
      <c r="V373" s="133"/>
      <c r="W373" s="133"/>
      <c r="X373" s="133"/>
      <c r="Y373" s="133"/>
      <c r="Z373" s="134"/>
      <c r="AA373" s="6"/>
    </row>
    <row r="374" spans="1:27" x14ac:dyDescent="0.3">
      <c r="A374" s="10"/>
      <c r="B374" s="10"/>
      <c r="C374" s="10"/>
      <c r="D374" s="10"/>
      <c r="E374" s="10"/>
      <c r="F374" s="41"/>
      <c r="G374" s="56">
        <f>Term2NBW_1</f>
        <v>0.75313846153846153</v>
      </c>
      <c r="H374" s="64">
        <f>Term2NBW_3</f>
        <v>0.65230769230769226</v>
      </c>
      <c r="I374" s="64" t="b">
        <f>H374=G374</f>
        <v>0</v>
      </c>
      <c r="J374" s="64"/>
      <c r="K374" s="64"/>
      <c r="L374" s="64"/>
      <c r="M374" s="64"/>
      <c r="N374" s="64"/>
      <c r="O374" s="64"/>
      <c r="P374" s="64"/>
      <c r="Q374" s="54" t="s">
        <v>368</v>
      </c>
      <c r="R374" s="54"/>
      <c r="S374" s="129"/>
      <c r="T374" s="105"/>
      <c r="U374" s="133">
        <f>$K$364*$I$353*$G$374*$E$302*$C$148*$A$103*$M$379*$O$377*Q375</f>
        <v>0</v>
      </c>
      <c r="V374" s="133"/>
      <c r="W374" s="134">
        <f>$K$365+$I$354+$G$375+$E$303+$C$149+$A$104+$M$380+$O$378+Q376</f>
        <v>63041.651302400001</v>
      </c>
      <c r="X374" s="133">
        <f>u_ChronicResp</f>
        <v>0.53465956747782661</v>
      </c>
      <c r="Y374" s="133"/>
      <c r="Z374" s="134">
        <f>U374*W374</f>
        <v>0</v>
      </c>
      <c r="AA374" s="6">
        <f>U374*X374</f>
        <v>0</v>
      </c>
    </row>
    <row r="375" spans="1:27" x14ac:dyDescent="0.3">
      <c r="A375" s="10"/>
      <c r="B375" s="10"/>
      <c r="C375" s="10"/>
      <c r="D375" s="10"/>
      <c r="E375" s="10"/>
      <c r="F375" s="41"/>
      <c r="G375" s="57">
        <f>c_NICU_NBW</f>
        <v>3098.88</v>
      </c>
      <c r="H375" s="64"/>
      <c r="I375" s="64"/>
      <c r="J375" s="64"/>
      <c r="K375" s="64"/>
      <c r="L375" s="64"/>
      <c r="M375" s="64"/>
      <c r="N375" s="64"/>
      <c r="O375" s="64"/>
      <c r="P375" s="64"/>
      <c r="Q375" s="56">
        <f>noRDS2CLD_1-(Hypo2CI_1*noRDS2CLD_1)</f>
        <v>0</v>
      </c>
      <c r="R375" s="56"/>
      <c r="S375" s="129"/>
      <c r="T375" s="105"/>
      <c r="U375" s="133"/>
      <c r="V375" s="133">
        <v>0</v>
      </c>
      <c r="W375" s="133"/>
      <c r="X375" s="133"/>
      <c r="Y375" s="133"/>
      <c r="Z375" s="134"/>
      <c r="AA375" s="6"/>
    </row>
    <row r="376" spans="1:27" x14ac:dyDescent="0.3">
      <c r="A376" s="10"/>
      <c r="B376" s="10"/>
      <c r="C376" s="10"/>
      <c r="D376" s="10"/>
      <c r="E376" s="10"/>
      <c r="F376" s="41"/>
      <c r="G376" s="64"/>
      <c r="H376" s="64"/>
      <c r="I376" s="64"/>
      <c r="J376" s="64"/>
      <c r="K376" s="64"/>
      <c r="L376" s="64"/>
      <c r="M376" s="64"/>
      <c r="N376" s="64"/>
      <c r="O376" s="54" t="s">
        <v>161</v>
      </c>
      <c r="P376" s="64"/>
      <c r="Q376" s="57">
        <f>c_lung+c_hosp_fu+c_CSG</f>
        <v>54529.510902399998</v>
      </c>
      <c r="R376" s="57"/>
      <c r="S376" s="129"/>
      <c r="T376" s="105"/>
      <c r="U376" s="133"/>
      <c r="V376" s="133"/>
      <c r="W376" s="133"/>
      <c r="X376" s="133"/>
      <c r="Y376" s="133"/>
      <c r="Z376" s="134"/>
      <c r="AA376" s="6"/>
    </row>
    <row r="377" spans="1:27" x14ac:dyDescent="0.3">
      <c r="A377" s="10"/>
      <c r="B377" s="10"/>
      <c r="C377" s="10"/>
      <c r="D377" s="10"/>
      <c r="E377" s="10"/>
      <c r="F377" s="41"/>
      <c r="G377" s="64"/>
      <c r="H377" s="64"/>
      <c r="I377" s="64"/>
      <c r="J377" s="64"/>
      <c r="K377" s="64"/>
      <c r="L377" s="64"/>
      <c r="M377" s="64"/>
      <c r="N377" s="64"/>
      <c r="O377" s="56">
        <f>SGA_term_2hypoglycaemia_1</f>
        <v>0.26</v>
      </c>
      <c r="P377" s="64"/>
      <c r="Q377" s="54" t="s">
        <v>226</v>
      </c>
      <c r="R377" s="54"/>
      <c r="S377" s="129"/>
      <c r="T377" s="105"/>
      <c r="U377" s="133">
        <f>$K$364*$I$353*$G$374*$E$302*$C$148*$A$103*$M$379*$O$377*Q378</f>
        <v>1.3252476778035235E-3</v>
      </c>
      <c r="V377" s="133">
        <v>1.1006968930947784E-3</v>
      </c>
      <c r="W377" s="134">
        <f>$K$365+$I$354+$G$375+$E$303+$C$149+$A$104+$M$380+$O$378+Q379</f>
        <v>24278.1404</v>
      </c>
      <c r="X377" s="133">
        <f>u_CongnitiveImpairement</f>
        <v>17.270393127285455</v>
      </c>
      <c r="Y377" s="133"/>
      <c r="Z377" s="134">
        <f>U377*W377</f>
        <v>32.174549186487909</v>
      </c>
      <c r="AA377" s="6">
        <f>U377*X377</f>
        <v>2.288754838668898E-2</v>
      </c>
    </row>
    <row r="378" spans="1:27" x14ac:dyDescent="0.3">
      <c r="A378" s="10"/>
      <c r="B378" s="10"/>
      <c r="C378" s="10"/>
      <c r="D378" s="10"/>
      <c r="E378" s="10"/>
      <c r="F378" s="41"/>
      <c r="G378" s="64"/>
      <c r="H378" s="64"/>
      <c r="I378" s="64"/>
      <c r="J378" s="64"/>
      <c r="K378" s="64"/>
      <c r="L378" s="64"/>
      <c r="M378" s="54" t="s">
        <v>203</v>
      </c>
      <c r="N378" s="64"/>
      <c r="O378" s="57">
        <f>c_hypo</f>
        <v>2936.2604000000001</v>
      </c>
      <c r="P378" s="64"/>
      <c r="Q378" s="56">
        <f>Hypo2CI_1-(Hypo2CI_1*noRDS2CLD_1)</f>
        <v>5.1333333333333335E-2</v>
      </c>
      <c r="R378" s="56"/>
      <c r="S378" s="129"/>
      <c r="T378" s="105"/>
      <c r="U378" s="133"/>
      <c r="V378" s="133"/>
      <c r="W378" s="133"/>
      <c r="X378" s="133"/>
      <c r="Y378" s="133"/>
      <c r="Z378" s="134"/>
      <c r="AA378" s="6"/>
    </row>
    <row r="379" spans="1:27" x14ac:dyDescent="0.3">
      <c r="A379" s="10"/>
      <c r="B379" s="10"/>
      <c r="C379" s="10"/>
      <c r="D379" s="10"/>
      <c r="E379" s="10"/>
      <c r="F379" s="41"/>
      <c r="G379" s="64"/>
      <c r="H379" s="64"/>
      <c r="I379" s="64"/>
      <c r="J379" s="64"/>
      <c r="K379" s="64"/>
      <c r="L379" s="64"/>
      <c r="M379" s="56">
        <f>S_term_2noRDS_1</f>
        <v>1</v>
      </c>
      <c r="N379" s="64"/>
      <c r="O379" s="53"/>
      <c r="P379" s="64"/>
      <c r="Q379" s="57">
        <f>c_cog+c_hosp_fu+c_CSG</f>
        <v>15766</v>
      </c>
      <c r="R379" s="57"/>
      <c r="S379" s="129"/>
      <c r="T379" s="105"/>
      <c r="U379" s="133"/>
      <c r="V379" s="133"/>
      <c r="W379" s="133"/>
      <c r="X379" s="133"/>
      <c r="Y379" s="133"/>
      <c r="Z379" s="134"/>
      <c r="AA379" s="6"/>
    </row>
    <row r="380" spans="1:27" x14ac:dyDescent="0.3">
      <c r="A380" s="110"/>
      <c r="B380" s="10"/>
      <c r="C380" s="10"/>
      <c r="D380" s="10"/>
      <c r="E380" s="10"/>
      <c r="F380" s="41"/>
      <c r="G380" s="65"/>
      <c r="H380" s="64"/>
      <c r="I380" s="64"/>
      <c r="J380" s="64"/>
      <c r="K380" s="64"/>
      <c r="L380" s="64"/>
      <c r="M380" s="57"/>
      <c r="N380" s="64"/>
      <c r="O380" s="65"/>
      <c r="P380" s="64"/>
      <c r="Q380" s="54" t="s">
        <v>369</v>
      </c>
      <c r="R380" s="54"/>
      <c r="S380" s="129"/>
      <c r="T380" s="105"/>
      <c r="U380" s="133">
        <f>$K$364*$I$353*$G$374*$E$302*$C$148*$A$103*$M$379*$O$377*Q381</f>
        <v>0</v>
      </c>
      <c r="V380" s="133">
        <v>0</v>
      </c>
      <c r="W380" s="134">
        <f>$K$365+$I$354+$G$375+$E$303+$C$149+$A$104+$M$380+$O$378+Q382</f>
        <v>66860.651302400001</v>
      </c>
      <c r="X380" s="133">
        <f>u_ChronicResp+u_CongnitiveImpairement</f>
        <v>17.805052694763283</v>
      </c>
      <c r="Y380" s="133"/>
      <c r="Z380" s="134">
        <f>U380*W380</f>
        <v>0</v>
      </c>
      <c r="AA380" s="6">
        <f>U380*X380</f>
        <v>0</v>
      </c>
    </row>
    <row r="381" spans="1:27" x14ac:dyDescent="0.3">
      <c r="A381" s="110"/>
      <c r="B381" s="10"/>
      <c r="C381" s="10"/>
      <c r="D381" s="10"/>
      <c r="E381" s="10"/>
      <c r="F381" s="41"/>
      <c r="G381" s="64"/>
      <c r="H381" s="64"/>
      <c r="I381" s="64"/>
      <c r="J381" s="64"/>
      <c r="K381" s="64"/>
      <c r="L381" s="64"/>
      <c r="M381" s="65"/>
      <c r="N381" s="64"/>
      <c r="O381" s="41"/>
      <c r="P381" s="64"/>
      <c r="Q381" s="56">
        <f>noRDS2CLD_1*Hypo2CI_1</f>
        <v>0</v>
      </c>
      <c r="R381" s="56"/>
      <c r="S381" s="129"/>
      <c r="T381" s="105"/>
      <c r="U381" s="133"/>
      <c r="V381" s="133"/>
      <c r="W381" s="133"/>
      <c r="X381" s="133"/>
      <c r="Y381" s="133"/>
      <c r="Z381" s="134"/>
      <c r="AA381" s="6"/>
    </row>
    <row r="382" spans="1:27" x14ac:dyDescent="0.3">
      <c r="A382" s="116"/>
      <c r="B382" s="10"/>
      <c r="C382" s="10"/>
      <c r="D382" s="10"/>
      <c r="E382" s="10"/>
      <c r="F382" s="41"/>
      <c r="G382" s="64"/>
      <c r="H382" s="64"/>
      <c r="I382" s="64"/>
      <c r="J382" s="64"/>
      <c r="K382" s="64"/>
      <c r="L382" s="64"/>
      <c r="M382" s="65"/>
      <c r="N382" s="64"/>
      <c r="O382" s="41"/>
      <c r="P382" s="64"/>
      <c r="Q382" s="57">
        <f>c_lung+c_cog+c_hosp_fu+c_CSG</f>
        <v>58348.510902399998</v>
      </c>
      <c r="R382" s="57"/>
      <c r="S382" s="129"/>
      <c r="T382" s="105"/>
      <c r="U382" s="133"/>
      <c r="V382" s="133"/>
      <c r="W382" s="133"/>
      <c r="X382" s="133"/>
      <c r="Y382" s="133"/>
      <c r="Z382" s="134"/>
      <c r="AA382" s="6"/>
    </row>
    <row r="383" spans="1:27" x14ac:dyDescent="0.3">
      <c r="A383" s="10"/>
      <c r="B383" s="10"/>
      <c r="C383" s="10"/>
      <c r="D383" s="10"/>
      <c r="E383" s="10"/>
      <c r="F383" s="41"/>
      <c r="G383" s="64"/>
      <c r="H383" s="64"/>
      <c r="I383" s="64"/>
      <c r="J383" s="64"/>
      <c r="K383" s="64"/>
      <c r="L383" s="64"/>
      <c r="M383" s="65"/>
      <c r="N383" s="64"/>
      <c r="O383" s="41"/>
      <c r="P383" s="64"/>
      <c r="Q383" s="54" t="s">
        <v>370</v>
      </c>
      <c r="R383" s="54"/>
      <c r="S383" s="129"/>
      <c r="T383" s="105"/>
      <c r="U383" s="133">
        <f>$K$364*$I$353*$G$374*$E$302*$C$148*$A$103*$M$379*$O$377*Q384</f>
        <v>2.4491265526161217E-2</v>
      </c>
      <c r="V383" s="133">
        <v>2.0341450374985321E-2</v>
      </c>
      <c r="W383" s="134">
        <f>$K$365+$I$354+$G$375+$E$303+$C$149+$A$104+$M$380+$O$378+Q385</f>
        <v>22915.1404</v>
      </c>
      <c r="X383" s="133">
        <f>u_Healthy</f>
        <v>0</v>
      </c>
      <c r="Y383" s="133"/>
      <c r="Z383" s="134">
        <f>U383*W383</f>
        <v>561.22078810566416</v>
      </c>
      <c r="AA383" s="6">
        <f>U383*X383</f>
        <v>0</v>
      </c>
    </row>
    <row r="384" spans="1:27" x14ac:dyDescent="0.3">
      <c r="A384" s="10"/>
      <c r="B384" s="10"/>
      <c r="C384" s="10"/>
      <c r="D384" s="10"/>
      <c r="E384" s="10"/>
      <c r="F384" s="41"/>
      <c r="G384" s="64"/>
      <c r="H384" s="64"/>
      <c r="I384" s="64"/>
      <c r="J384" s="64"/>
      <c r="K384" s="64"/>
      <c r="L384" s="64"/>
      <c r="M384" s="65"/>
      <c r="N384" s="64"/>
      <c r="O384" s="65"/>
      <c r="P384" s="64"/>
      <c r="Q384" s="56">
        <f>1-Q381-Q378-Q375</f>
        <v>0.94866666666666666</v>
      </c>
      <c r="R384" s="56"/>
      <c r="T384" s="105"/>
      <c r="U384" s="133"/>
      <c r="V384" s="133"/>
      <c r="W384" s="133"/>
      <c r="X384" s="133"/>
      <c r="Y384" s="133"/>
      <c r="Z384" s="134"/>
      <c r="AA384" s="6"/>
    </row>
    <row r="385" spans="1:27" x14ac:dyDescent="0.3">
      <c r="A385" s="10"/>
      <c r="B385" s="10"/>
      <c r="C385" s="10"/>
      <c r="D385" s="10"/>
      <c r="E385" s="10"/>
      <c r="F385" s="41"/>
      <c r="G385" s="64"/>
      <c r="H385" s="64"/>
      <c r="I385" s="64"/>
      <c r="J385" s="64"/>
      <c r="K385" s="64"/>
      <c r="L385" s="64"/>
      <c r="M385" s="65"/>
      <c r="N385" s="64"/>
      <c r="O385" s="64"/>
      <c r="P385" s="64"/>
      <c r="Q385" s="57">
        <f>c_clinic_fu+c_CSG</f>
        <v>14403</v>
      </c>
      <c r="R385" s="57"/>
      <c r="S385" s="129"/>
      <c r="T385" s="105"/>
      <c r="U385" s="133"/>
      <c r="V385" s="133"/>
      <c r="W385" s="133"/>
      <c r="X385" s="133"/>
      <c r="Y385" s="133"/>
      <c r="Z385" s="134"/>
      <c r="AA385" s="6"/>
    </row>
    <row r="386" spans="1:27" x14ac:dyDescent="0.3">
      <c r="A386" s="10"/>
      <c r="B386" s="10"/>
      <c r="C386" s="10"/>
      <c r="D386" s="10"/>
      <c r="E386" s="10"/>
      <c r="F386" s="41"/>
      <c r="G386" s="64"/>
      <c r="H386" s="64"/>
      <c r="I386" s="64"/>
      <c r="J386" s="64"/>
      <c r="K386" s="64"/>
      <c r="L386" s="64"/>
      <c r="M386" s="65"/>
      <c r="N386" s="64"/>
      <c r="O386" s="64"/>
      <c r="P386" s="64"/>
      <c r="Q386" s="65"/>
      <c r="R386" s="65"/>
      <c r="S386" s="130"/>
      <c r="T386" s="105"/>
      <c r="U386" s="133"/>
      <c r="V386" s="133"/>
      <c r="W386" s="133"/>
      <c r="X386" s="133"/>
      <c r="Y386" s="133"/>
      <c r="Z386" s="134"/>
      <c r="AA386" s="6"/>
    </row>
    <row r="387" spans="1:27" x14ac:dyDescent="0.3">
      <c r="A387" s="10"/>
      <c r="B387" s="10"/>
      <c r="C387" s="10"/>
      <c r="D387" s="10"/>
      <c r="E387" s="10"/>
      <c r="F387" s="41"/>
      <c r="G387" s="64"/>
      <c r="H387" s="64"/>
      <c r="I387" s="64"/>
      <c r="J387" s="64"/>
      <c r="K387" s="64"/>
      <c r="L387" s="64"/>
      <c r="M387" s="65"/>
      <c r="N387" s="64"/>
      <c r="O387" s="64"/>
      <c r="P387" s="64"/>
      <c r="Q387" s="54" t="s">
        <v>368</v>
      </c>
      <c r="R387" s="54"/>
      <c r="S387" s="129"/>
      <c r="T387" s="105"/>
      <c r="U387" s="133">
        <f>$K$364*$I$353*$G$374*$E$302*$C$148*$A$103*$M$379*$O$391*Q388</f>
        <v>0</v>
      </c>
      <c r="V387" s="133">
        <v>0</v>
      </c>
      <c r="W387" s="134">
        <f>$K$365+$I$354+$G$375+$E$303+$C$149+$A$104+$M$380+$O$392+Q389</f>
        <v>62134.651302399994</v>
      </c>
      <c r="X387" s="133">
        <f>u_ChronicResp</f>
        <v>0.53465956747782661</v>
      </c>
      <c r="Y387" s="133"/>
      <c r="Z387" s="134">
        <f>U387*W387</f>
        <v>0</v>
      </c>
      <c r="AA387" s="6">
        <f>U387*X387</f>
        <v>0</v>
      </c>
    </row>
    <row r="388" spans="1:27" x14ac:dyDescent="0.3">
      <c r="A388" s="10"/>
      <c r="B388" s="10"/>
      <c r="C388" s="10"/>
      <c r="D388" s="10"/>
      <c r="E388" s="10"/>
      <c r="F388" s="41"/>
      <c r="G388" s="64"/>
      <c r="H388" s="64"/>
      <c r="I388" s="64"/>
      <c r="J388" s="64"/>
      <c r="K388" s="64"/>
      <c r="L388" s="64"/>
      <c r="M388" s="65"/>
      <c r="N388" s="64"/>
      <c r="O388" s="64"/>
      <c r="P388" s="64"/>
      <c r="Q388" s="56">
        <f>noRDS2CLD_1-(noRDS2CLD_1*noHypo2CI_1)</f>
        <v>0</v>
      </c>
      <c r="R388" s="56"/>
      <c r="S388" s="129"/>
      <c r="T388" s="105"/>
      <c r="U388" s="133"/>
      <c r="V388" s="133"/>
      <c r="W388" s="133"/>
      <c r="X388" s="133"/>
      <c r="Y388" s="133"/>
      <c r="Z388" s="134"/>
      <c r="AA388" s="6"/>
    </row>
    <row r="389" spans="1:27" x14ac:dyDescent="0.3">
      <c r="A389" s="10"/>
      <c r="B389" s="10"/>
      <c r="C389" s="10"/>
      <c r="D389" s="10"/>
      <c r="E389" s="10"/>
      <c r="F389" s="41"/>
      <c r="G389" s="64"/>
      <c r="H389" s="64"/>
      <c r="I389" s="64"/>
      <c r="J389" s="64"/>
      <c r="K389" s="64"/>
      <c r="L389" s="64"/>
      <c r="M389" s="65"/>
      <c r="N389" s="64"/>
      <c r="O389" s="64"/>
      <c r="P389" s="64"/>
      <c r="Q389" s="57">
        <f>c_lung+c_hypo+c_CSG</f>
        <v>56558.771302399997</v>
      </c>
      <c r="R389" s="57"/>
      <c r="S389" s="129"/>
      <c r="T389" s="105"/>
      <c r="U389" s="133"/>
      <c r="V389" s="133"/>
      <c r="W389" s="133"/>
      <c r="X389" s="133"/>
      <c r="Y389" s="133"/>
      <c r="Z389" s="134"/>
      <c r="AA389" s="6"/>
    </row>
    <row r="390" spans="1:27" x14ac:dyDescent="0.3">
      <c r="A390" s="10"/>
      <c r="B390" s="10"/>
      <c r="C390" s="10"/>
      <c r="D390" s="10"/>
      <c r="E390" s="10"/>
      <c r="F390" s="41"/>
      <c r="G390" s="64"/>
      <c r="H390" s="64"/>
      <c r="I390" s="64"/>
      <c r="J390" s="64"/>
      <c r="K390" s="64"/>
      <c r="L390" s="64"/>
      <c r="M390" s="65"/>
      <c r="N390" s="64"/>
      <c r="O390" s="54" t="s">
        <v>371</v>
      </c>
      <c r="P390" s="64"/>
      <c r="Q390" s="54" t="s">
        <v>226</v>
      </c>
      <c r="R390" s="54"/>
      <c r="S390" s="129"/>
      <c r="T390" s="105"/>
      <c r="U390" s="133">
        <f>$K$364*$I$353*$G$374*$E$302*$C$148*$A$103*$M$379*$O$391*Q391</f>
        <v>2.4310543284859648E-3</v>
      </c>
      <c r="V390" s="133">
        <v>2.0191349821824228E-3</v>
      </c>
      <c r="W390" s="134">
        <f>$K$365+$I$354+$G$375+$E$303+$C$149+$A$104+$M$380+$O$392+Q392</f>
        <v>21341.88</v>
      </c>
      <c r="X390" s="133">
        <f>u_CongnitiveImpairement</f>
        <v>17.270393127285455</v>
      </c>
      <c r="Y390" s="133"/>
      <c r="Z390" s="134">
        <f>U390*W390</f>
        <v>51.883269752028042</v>
      </c>
      <c r="AA390" s="6">
        <f>U390*X390</f>
        <v>4.1985263966741564E-2</v>
      </c>
    </row>
    <row r="391" spans="1:27" x14ac:dyDescent="0.3">
      <c r="A391" s="10"/>
      <c r="B391" s="10"/>
      <c r="C391" s="10"/>
      <c r="D391" s="10"/>
      <c r="E391" s="10"/>
      <c r="F391" s="41"/>
      <c r="G391" s="64"/>
      <c r="H391" s="64"/>
      <c r="I391" s="64"/>
      <c r="J391" s="64"/>
      <c r="K391" s="64"/>
      <c r="L391" s="64"/>
      <c r="M391" s="65"/>
      <c r="N391" s="64"/>
      <c r="O391" s="56">
        <f>SGA_term_2normoglycaemia_1</f>
        <v>0.74</v>
      </c>
      <c r="P391" s="64"/>
      <c r="Q391" s="56">
        <f>noHypo2CI_1</f>
        <v>3.3085576536761752E-2</v>
      </c>
      <c r="R391" s="56"/>
      <c r="S391" s="129"/>
      <c r="T391" s="105"/>
      <c r="U391" s="133"/>
      <c r="V391" s="133"/>
      <c r="W391" s="133"/>
      <c r="X391" s="133"/>
      <c r="Y391" s="133"/>
      <c r="Z391" s="134"/>
      <c r="AA391" s="6"/>
    </row>
    <row r="392" spans="1:27" x14ac:dyDescent="0.3">
      <c r="A392" s="10"/>
      <c r="B392" s="10"/>
      <c r="C392" s="10"/>
      <c r="D392" s="10"/>
      <c r="E392" s="10"/>
      <c r="F392" s="41"/>
      <c r="G392" s="64"/>
      <c r="H392" s="64"/>
      <c r="I392" s="64"/>
      <c r="J392" s="64"/>
      <c r="K392" s="64"/>
      <c r="L392" s="64"/>
      <c r="M392" s="65"/>
      <c r="N392" s="64"/>
      <c r="O392" s="57"/>
      <c r="P392" s="64"/>
      <c r="Q392" s="57">
        <f>c_cog+c_hosp_fu+c_CSG</f>
        <v>15766</v>
      </c>
      <c r="R392" s="57"/>
      <c r="S392" s="129"/>
      <c r="T392" s="105"/>
      <c r="U392" s="133"/>
      <c r="V392" s="133"/>
      <c r="W392" s="133"/>
      <c r="X392" s="133"/>
      <c r="Y392" s="133"/>
      <c r="Z392" s="134"/>
      <c r="AA392" s="6"/>
    </row>
    <row r="393" spans="1:27" x14ac:dyDescent="0.3">
      <c r="A393" s="10"/>
      <c r="B393" s="10"/>
      <c r="C393" s="10"/>
      <c r="D393" s="10"/>
      <c r="E393" s="10"/>
      <c r="F393" s="41"/>
      <c r="G393" s="64"/>
      <c r="H393" s="64"/>
      <c r="I393" s="64"/>
      <c r="J393" s="64"/>
      <c r="K393" s="64"/>
      <c r="L393" s="64"/>
      <c r="M393" s="65"/>
      <c r="N393" s="64"/>
      <c r="O393" s="64"/>
      <c r="P393" s="64"/>
      <c r="Q393" s="54" t="s">
        <v>369</v>
      </c>
      <c r="R393" s="54"/>
      <c r="S393" s="129"/>
      <c r="T393" s="105"/>
      <c r="U393" s="133">
        <f>$K$364*$I$353*$G$374*$E$302*$C$148*$A$103*$M$379*$O$391*Q394</f>
        <v>0</v>
      </c>
      <c r="V393" s="133">
        <v>0</v>
      </c>
      <c r="W393" s="134">
        <f>$K$365+$I$354+$G$375+$E$303+$C$149+$A$104+$M$380+$O$392+Q395</f>
        <v>63924.390902399995</v>
      </c>
      <c r="X393" s="133">
        <f>u_ChronicResp+u_CongnitiveImpairement</f>
        <v>17.805052694763283</v>
      </c>
      <c r="Y393" s="133"/>
      <c r="Z393" s="134">
        <f>U393*W393</f>
        <v>0</v>
      </c>
      <c r="AA393" s="6">
        <f>U393*X393</f>
        <v>0</v>
      </c>
    </row>
    <row r="394" spans="1:27" x14ac:dyDescent="0.3">
      <c r="A394" s="10"/>
      <c r="B394" s="10"/>
      <c r="C394" s="10"/>
      <c r="D394" s="10"/>
      <c r="E394" s="10"/>
      <c r="F394" s="41"/>
      <c r="G394" s="64"/>
      <c r="H394" s="64"/>
      <c r="I394" s="64"/>
      <c r="J394" s="64"/>
      <c r="K394" s="64"/>
      <c r="L394" s="64"/>
      <c r="M394" s="65"/>
      <c r="N394" s="64"/>
      <c r="O394" s="64"/>
      <c r="P394" s="64"/>
      <c r="Q394" s="56">
        <f>noRDS2CLD_1*noHypo2CI_1</f>
        <v>0</v>
      </c>
      <c r="R394" s="56"/>
      <c r="S394" s="129"/>
      <c r="T394" s="105"/>
      <c r="U394" s="133"/>
      <c r="V394" s="133"/>
      <c r="W394" s="133"/>
      <c r="X394" s="133"/>
      <c r="Y394" s="133"/>
      <c r="Z394" s="134"/>
      <c r="AA394" s="6"/>
    </row>
    <row r="395" spans="1:27" x14ac:dyDescent="0.3">
      <c r="A395" s="10"/>
      <c r="B395" s="10"/>
      <c r="C395" s="10"/>
      <c r="D395" s="10"/>
      <c r="E395" s="10"/>
      <c r="F395" s="41"/>
      <c r="G395" s="64"/>
      <c r="H395" s="64"/>
      <c r="I395" s="64"/>
      <c r="J395" s="64"/>
      <c r="K395" s="64"/>
      <c r="L395" s="64"/>
      <c r="M395" s="65"/>
      <c r="N395" s="64"/>
      <c r="O395" s="64"/>
      <c r="P395" s="64"/>
      <c r="Q395" s="57">
        <f>c_cog+c_lung+c_hosp_fu+c_CSG</f>
        <v>58348.510902399998</v>
      </c>
      <c r="R395" s="57"/>
      <c r="S395" s="129"/>
      <c r="T395" s="105"/>
      <c r="U395" s="133"/>
      <c r="V395" s="133"/>
      <c r="W395" s="133"/>
      <c r="X395" s="133"/>
      <c r="Y395" s="133"/>
      <c r="Z395" s="134"/>
      <c r="AA395" s="6"/>
    </row>
    <row r="396" spans="1:27" x14ac:dyDescent="0.3">
      <c r="A396" s="10"/>
      <c r="B396" s="10"/>
      <c r="C396" s="10"/>
      <c r="D396" s="10"/>
      <c r="E396" s="10"/>
      <c r="F396" s="41"/>
      <c r="G396" s="64"/>
      <c r="H396" s="64"/>
      <c r="I396" s="64"/>
      <c r="J396" s="64"/>
      <c r="K396" s="64"/>
      <c r="L396" s="64"/>
      <c r="M396" s="65"/>
      <c r="N396" s="64"/>
      <c r="O396" s="64"/>
      <c r="P396" s="64"/>
      <c r="Q396" s="54" t="s">
        <v>370</v>
      </c>
      <c r="R396" s="54"/>
      <c r="S396" s="129"/>
      <c r="T396" s="105"/>
      <c r="U396" s="133">
        <f>$K$364*$I$353*$G$374*$E$302*$C$148*$A$103*$M$379*$O$391*Q397</f>
        <v>7.1046714021259838E-2</v>
      </c>
      <c r="V396" s="133">
        <v>5.9008514934660937E-2</v>
      </c>
      <c r="W396" s="134">
        <f>$K$365+$I$354+$G$375+$E$303+$C$149+$A$104+$M$380+$O$392+Q398</f>
        <v>19978.88</v>
      </c>
      <c r="X396" s="133">
        <f>u_Healthy</f>
        <v>0</v>
      </c>
      <c r="Y396" s="133"/>
      <c r="Z396" s="134">
        <f>U396*W396</f>
        <v>1419.4337738250679</v>
      </c>
      <c r="AA396" s="6">
        <f>U396*X396</f>
        <v>0</v>
      </c>
    </row>
    <row r="397" spans="1:27" x14ac:dyDescent="0.3">
      <c r="A397" s="10"/>
      <c r="B397" s="10"/>
      <c r="C397" s="10"/>
      <c r="D397" s="10"/>
      <c r="E397" s="10"/>
      <c r="F397" s="41"/>
      <c r="G397" s="64"/>
      <c r="H397" s="64"/>
      <c r="I397" s="64"/>
      <c r="J397" s="64"/>
      <c r="K397" s="64"/>
      <c r="L397" s="64"/>
      <c r="M397" s="65"/>
      <c r="N397" s="64"/>
      <c r="O397" s="64"/>
      <c r="P397" s="64"/>
      <c r="Q397" s="56">
        <f>1-Q394-Q391-Q388</f>
        <v>0.9669144234632383</v>
      </c>
      <c r="R397" s="56"/>
      <c r="T397" s="105"/>
      <c r="U397" s="133"/>
      <c r="V397" s="133"/>
      <c r="W397" s="133"/>
      <c r="X397" s="133"/>
      <c r="Y397" s="133"/>
      <c r="Z397" s="134"/>
      <c r="AA397" s="6"/>
    </row>
    <row r="398" spans="1:27" x14ac:dyDescent="0.3">
      <c r="A398" s="10"/>
      <c r="B398" s="10"/>
      <c r="C398" s="10"/>
      <c r="D398" s="10"/>
      <c r="E398" s="10"/>
      <c r="F398" s="41"/>
      <c r="G398" s="64"/>
      <c r="H398" s="64"/>
      <c r="I398" s="64"/>
      <c r="J398" s="64"/>
      <c r="K398" s="64"/>
      <c r="L398" s="64"/>
      <c r="M398" s="65"/>
      <c r="N398" s="64"/>
      <c r="O398" s="64"/>
      <c r="P398" s="64"/>
      <c r="Q398" s="57">
        <f>c_clinic_fu+c_CSG</f>
        <v>14403</v>
      </c>
      <c r="R398" s="57"/>
      <c r="S398" s="129"/>
      <c r="T398" s="105"/>
      <c r="U398" s="133"/>
      <c r="V398" s="133"/>
      <c r="W398" s="133"/>
      <c r="X398" s="133"/>
      <c r="Y398" s="133"/>
      <c r="Z398" s="134"/>
      <c r="AA398" s="6"/>
    </row>
    <row r="399" spans="1:27" x14ac:dyDescent="0.3">
      <c r="A399" s="10"/>
      <c r="B399" s="10"/>
      <c r="C399" s="10"/>
      <c r="D399" s="10"/>
      <c r="E399" s="10"/>
      <c r="F399" s="41"/>
      <c r="G399" s="64"/>
      <c r="H399" s="64"/>
      <c r="I399" s="64"/>
      <c r="J399" s="64"/>
      <c r="K399" s="64"/>
      <c r="L399" s="64"/>
      <c r="M399" s="65"/>
      <c r="N399" s="64"/>
      <c r="O399" s="64"/>
      <c r="P399" s="64"/>
      <c r="Q399" s="65"/>
      <c r="R399" s="65"/>
      <c r="S399" s="129"/>
      <c r="T399" s="105"/>
      <c r="U399" s="133"/>
      <c r="V399" s="133"/>
      <c r="W399" s="133"/>
      <c r="X399" s="133"/>
      <c r="Y399" s="133"/>
      <c r="Z399" s="134"/>
      <c r="AA399" s="6"/>
    </row>
    <row r="400" spans="1:27" x14ac:dyDescent="0.3">
      <c r="A400" s="10"/>
      <c r="B400" s="10"/>
      <c r="C400" s="10"/>
      <c r="D400" s="10"/>
      <c r="E400" s="10"/>
      <c r="F400" s="41"/>
      <c r="G400" s="64"/>
      <c r="H400" s="64"/>
      <c r="I400" s="64"/>
      <c r="J400" s="64"/>
      <c r="K400" s="54" t="s">
        <v>165</v>
      </c>
      <c r="L400" s="54"/>
      <c r="M400" s="54"/>
      <c r="N400" s="54"/>
      <c r="O400" s="54"/>
      <c r="P400" s="54"/>
      <c r="Q400" s="54"/>
      <c r="R400" s="54"/>
      <c r="S400" s="129"/>
      <c r="T400" s="105"/>
      <c r="U400" s="133">
        <f>$G$374*$E$302*$C$148*$I$409*$K$401*A$103</f>
        <v>2.7029968888699564E-3</v>
      </c>
      <c r="V400" s="133">
        <v>2.2214707875297863E-3</v>
      </c>
      <c r="W400" s="134">
        <f>$K$402+$I$410+$G$375+$E$303+$C$149+$A$104</f>
        <v>7367.88</v>
      </c>
      <c r="X400" s="133">
        <f>u_Death</f>
        <v>19.181538114427529</v>
      </c>
      <c r="Y400" s="133"/>
      <c r="Z400" s="134">
        <f>U400*W400</f>
        <v>19.915356717567175</v>
      </c>
      <c r="AA400" s="6">
        <f>U400*X400</f>
        <v>5.1847637847038101E-2</v>
      </c>
    </row>
    <row r="401" spans="1:27" x14ac:dyDescent="0.3">
      <c r="A401" s="10"/>
      <c r="B401" s="10"/>
      <c r="C401" s="10"/>
      <c r="D401" s="10"/>
      <c r="E401" s="10"/>
      <c r="F401" s="41"/>
      <c r="G401" s="64"/>
      <c r="H401" s="64"/>
      <c r="I401" s="64"/>
      <c r="J401" s="64"/>
      <c r="K401" s="56">
        <f>AGA_term_2d_1</f>
        <v>5.5476666666666669E-3</v>
      </c>
      <c r="L401" s="64">
        <f>AGA_term_2d_3</f>
        <v>6.2333333333333338E-3</v>
      </c>
      <c r="M401" s="64" t="b">
        <f>L401=K401</f>
        <v>0</v>
      </c>
      <c r="N401" s="64"/>
      <c r="O401" s="64"/>
      <c r="P401" s="64"/>
      <c r="Q401" s="64"/>
      <c r="R401" s="64"/>
      <c r="S401" s="129"/>
      <c r="T401" s="105"/>
      <c r="U401" s="133"/>
      <c r="V401" s="133"/>
      <c r="W401" s="133"/>
      <c r="X401" s="133"/>
      <c r="Y401" s="133"/>
      <c r="Z401" s="134"/>
      <c r="AA401" s="6"/>
    </row>
    <row r="402" spans="1:27" x14ac:dyDescent="0.3">
      <c r="A402" s="10"/>
      <c r="B402" s="10"/>
      <c r="C402" s="10"/>
      <c r="D402" s="10"/>
      <c r="E402" s="10"/>
      <c r="F402" s="41"/>
      <c r="G402" s="64"/>
      <c r="H402" s="64"/>
      <c r="I402" s="64"/>
      <c r="J402" s="64"/>
      <c r="K402" s="57">
        <f>c_SB</f>
        <v>1792</v>
      </c>
      <c r="L402" s="64"/>
      <c r="M402" s="64"/>
      <c r="N402" s="64"/>
      <c r="O402" s="64"/>
      <c r="P402" s="64"/>
      <c r="Q402" s="64"/>
      <c r="R402" s="64"/>
      <c r="S402" s="129"/>
      <c r="T402" s="105"/>
      <c r="U402" s="133"/>
      <c r="V402" s="133"/>
      <c r="W402" s="133"/>
      <c r="X402" s="133"/>
      <c r="Y402" s="133"/>
      <c r="Z402" s="134"/>
      <c r="AA402" s="6"/>
    </row>
    <row r="403" spans="1:27" x14ac:dyDescent="0.3">
      <c r="A403" s="10"/>
      <c r="B403" s="10"/>
      <c r="C403" s="10"/>
      <c r="D403" s="10"/>
      <c r="E403" s="10"/>
      <c r="F403" s="41"/>
      <c r="G403" s="64"/>
      <c r="H403" s="64"/>
      <c r="I403" s="64"/>
      <c r="J403" s="64"/>
      <c r="K403" s="53"/>
      <c r="L403" s="53"/>
      <c r="M403" s="53"/>
      <c r="N403" s="53"/>
      <c r="O403" s="53"/>
      <c r="P403" s="53"/>
      <c r="Q403" s="53"/>
      <c r="R403" s="53"/>
      <c r="S403" s="129"/>
      <c r="T403" s="105"/>
      <c r="U403" s="133"/>
      <c r="V403" s="133"/>
      <c r="W403" s="133"/>
      <c r="X403" s="133"/>
      <c r="Y403" s="133"/>
      <c r="Z403" s="134"/>
      <c r="AA403" s="6"/>
    </row>
    <row r="404" spans="1:27" x14ac:dyDescent="0.3">
      <c r="A404" s="10"/>
      <c r="B404" s="10"/>
      <c r="C404" s="10"/>
      <c r="D404" s="10"/>
      <c r="E404" s="10"/>
      <c r="F404" s="41"/>
      <c r="G404" s="64"/>
      <c r="H404" s="64"/>
      <c r="I404" s="64"/>
      <c r="J404" s="64"/>
      <c r="K404" s="53"/>
      <c r="L404" s="53"/>
      <c r="M404" s="53"/>
      <c r="N404" s="53"/>
      <c r="O404" s="53"/>
      <c r="P404" s="53"/>
      <c r="Q404" s="54" t="s">
        <v>368</v>
      </c>
      <c r="R404" s="54"/>
      <c r="S404" s="129"/>
      <c r="T404" s="105"/>
      <c r="U404" s="133">
        <f>$G$374*$E$302*$C$148*$I$409*$K$420*$M$415*$O$410*Q405*$A$103</f>
        <v>0</v>
      </c>
      <c r="V404" s="133"/>
      <c r="W404" s="134">
        <f>$K$421+$I$410+$G$375+$E$303+$C$149+$A$104+$M$416+$O$411+Q406</f>
        <v>93637.261450605642</v>
      </c>
      <c r="X404" s="133">
        <f>u_ChronicResp</f>
        <v>0.53465956747782661</v>
      </c>
      <c r="Y404" s="133"/>
      <c r="Z404" s="134">
        <f>U404*W404</f>
        <v>0</v>
      </c>
      <c r="AA404" s="6">
        <f>U404*X404</f>
        <v>0</v>
      </c>
    </row>
    <row r="405" spans="1:27" x14ac:dyDescent="0.3">
      <c r="A405" s="10"/>
      <c r="B405" s="10"/>
      <c r="C405" s="10"/>
      <c r="D405" s="10"/>
      <c r="E405" s="10"/>
      <c r="F405" s="41"/>
      <c r="G405" s="64"/>
      <c r="H405" s="64"/>
      <c r="I405" s="64"/>
      <c r="J405" s="64"/>
      <c r="K405" s="53"/>
      <c r="L405" s="53"/>
      <c r="M405" s="53"/>
      <c r="N405" s="53"/>
      <c r="O405" s="64"/>
      <c r="P405" s="64"/>
      <c r="Q405" s="56">
        <f>RDS2CLD_1-(Hypo2CI_1*RDS2CLD_1)</f>
        <v>0.34246866666666664</v>
      </c>
      <c r="R405" s="56"/>
      <c r="S405" s="129"/>
      <c r="T405" s="105"/>
      <c r="U405" s="133"/>
      <c r="V405" s="133">
        <v>0</v>
      </c>
      <c r="W405" s="133"/>
      <c r="X405" s="133"/>
      <c r="Y405" s="133"/>
      <c r="Z405" s="134"/>
      <c r="AA405" s="6"/>
    </row>
    <row r="406" spans="1:27" x14ac:dyDescent="0.3">
      <c r="A406" s="10"/>
      <c r="B406" s="10"/>
      <c r="C406" s="10"/>
      <c r="D406" s="10"/>
      <c r="E406" s="10"/>
      <c r="F406" s="41"/>
      <c r="G406" s="64"/>
      <c r="H406" s="64"/>
      <c r="I406" s="64"/>
      <c r="J406" s="64"/>
      <c r="K406" s="53"/>
      <c r="L406" s="53"/>
      <c r="M406" s="53"/>
      <c r="N406" s="53"/>
      <c r="O406" s="64"/>
      <c r="P406" s="64"/>
      <c r="Q406" s="57">
        <f>c_lung+c_hosp_fu+c_CSG</f>
        <v>54529.510902399998</v>
      </c>
      <c r="R406" s="57"/>
      <c r="S406" s="129"/>
      <c r="T406" s="105"/>
      <c r="U406" s="133"/>
      <c r="V406" s="133"/>
      <c r="W406" s="133"/>
      <c r="X406" s="133"/>
      <c r="Y406" s="133"/>
      <c r="Z406" s="134"/>
      <c r="AA406" s="6"/>
    </row>
    <row r="407" spans="1:27" x14ac:dyDescent="0.3">
      <c r="A407" s="10"/>
      <c r="B407" s="10"/>
      <c r="C407" s="10"/>
      <c r="D407" s="10"/>
      <c r="E407" s="10"/>
      <c r="F407" s="41"/>
      <c r="G407" s="64"/>
      <c r="H407" s="64"/>
      <c r="I407" s="64"/>
      <c r="J407" s="64"/>
      <c r="K407" s="53"/>
      <c r="L407" s="53"/>
      <c r="M407" s="53"/>
      <c r="N407" s="53"/>
      <c r="O407" s="64"/>
      <c r="P407" s="64"/>
      <c r="Q407" s="54" t="s">
        <v>226</v>
      </c>
      <c r="R407" s="54"/>
      <c r="S407" s="129"/>
      <c r="T407" s="105"/>
      <c r="U407" s="133">
        <f>$G$374*$E$302*$C$148*$I$409*$K$420*$M$415*$O$410*Q408*A$103</f>
        <v>0</v>
      </c>
      <c r="V407" s="133"/>
      <c r="W407" s="134">
        <f>$K$421+$I$410+$G$375+$E$303+$C$149+$A$104+$M$416+$O$411+Q409</f>
        <v>54873.750548205637</v>
      </c>
      <c r="X407" s="133">
        <f>u_CongnitiveImpairement</f>
        <v>17.270393127285455</v>
      </c>
      <c r="Y407" s="133"/>
      <c r="Z407" s="134">
        <f>U407*W407</f>
        <v>0</v>
      </c>
      <c r="AA407" s="6">
        <f>U407*X407</f>
        <v>0</v>
      </c>
    </row>
    <row r="408" spans="1:27" x14ac:dyDescent="0.3">
      <c r="A408" s="10"/>
      <c r="B408" s="10"/>
      <c r="C408" s="10"/>
      <c r="D408" s="10"/>
      <c r="E408" s="10"/>
      <c r="F408" s="41"/>
      <c r="G408" s="64"/>
      <c r="H408" s="64"/>
      <c r="I408" s="54" t="s">
        <v>425</v>
      </c>
      <c r="J408" s="64"/>
      <c r="K408" s="64"/>
      <c r="L408" s="64"/>
      <c r="M408" s="64"/>
      <c r="N408" s="64"/>
      <c r="O408" s="64"/>
      <c r="P408" s="64"/>
      <c r="Q408" s="56">
        <f>Hypo2CI_1-(Hypo2CI_1*RDS2CLD_1)</f>
        <v>3.2801999999999998E-2</v>
      </c>
      <c r="R408" s="56"/>
      <c r="S408" s="129"/>
      <c r="T408" s="105"/>
      <c r="U408" s="133"/>
      <c r="V408" s="133">
        <v>0</v>
      </c>
      <c r="W408" s="133"/>
      <c r="X408" s="133"/>
      <c r="Y408" s="133"/>
      <c r="Z408" s="134"/>
      <c r="AA408" s="6"/>
    </row>
    <row r="409" spans="1:27" x14ac:dyDescent="0.3">
      <c r="A409" s="10"/>
      <c r="B409" s="10"/>
      <c r="C409" s="10"/>
      <c r="D409" s="10"/>
      <c r="E409" s="10"/>
      <c r="F409" s="41"/>
      <c r="G409" s="64"/>
      <c r="H409" s="64"/>
      <c r="I409" s="56">
        <f>NBW_term_2AGA_1</f>
        <v>0.82903924139402996</v>
      </c>
      <c r="J409" s="64">
        <f>NBW_term_2AGA_3</f>
        <v>0.81004360154892219</v>
      </c>
      <c r="K409" s="64" t="b">
        <f>J409=I409</f>
        <v>0</v>
      </c>
      <c r="L409" s="64"/>
      <c r="M409" s="64"/>
      <c r="N409" s="64"/>
      <c r="O409" s="54" t="s">
        <v>161</v>
      </c>
      <c r="P409" s="64"/>
      <c r="Q409" s="57">
        <f>c_cog+c_hosp_fu+c_CSG</f>
        <v>15766</v>
      </c>
      <c r="R409" s="57"/>
      <c r="S409" s="129"/>
      <c r="T409" s="105"/>
      <c r="U409" s="133"/>
      <c r="V409" s="133"/>
      <c r="W409" s="133"/>
      <c r="X409" s="133"/>
      <c r="Y409" s="133"/>
      <c r="Z409" s="134"/>
      <c r="AA409" s="6"/>
    </row>
    <row r="410" spans="1:27" x14ac:dyDescent="0.3">
      <c r="A410" s="10"/>
      <c r="B410" s="10"/>
      <c r="C410" s="10"/>
      <c r="D410" s="10"/>
      <c r="E410" s="10"/>
      <c r="F410" s="41"/>
      <c r="G410" s="64"/>
      <c r="H410" s="64"/>
      <c r="I410" s="57"/>
      <c r="J410" s="64"/>
      <c r="K410" s="64"/>
      <c r="L410" s="64"/>
      <c r="M410" s="64"/>
      <c r="N410" s="64"/>
      <c r="O410" s="56">
        <f>AGA_term_2hypoglycaemia_1</f>
        <v>0</v>
      </c>
      <c r="P410" s="64"/>
      <c r="Q410" s="54" t="s">
        <v>369</v>
      </c>
      <c r="R410" s="54"/>
      <c r="S410" s="129"/>
      <c r="T410" s="105"/>
      <c r="U410" s="133">
        <f>$G$374*$E$302*$C$148*$I$409*$K$420*$M$415*$O$410*Q411*A$103</f>
        <v>0</v>
      </c>
      <c r="V410" s="133"/>
      <c r="W410" s="134">
        <f>$K$421+$I$410+$G$375+$E$303+$C$149+$A$104+$M$416+$O$411+Q412</f>
        <v>97456.261450605642</v>
      </c>
      <c r="X410" s="133">
        <f>u_ChronicResp+u_CongnitiveImpairement</f>
        <v>17.805052694763283</v>
      </c>
      <c r="Y410" s="133"/>
      <c r="Z410" s="134">
        <f>U410*W410</f>
        <v>0</v>
      </c>
      <c r="AA410" s="6">
        <f>U410*X410</f>
        <v>0</v>
      </c>
    </row>
    <row r="411" spans="1:27" x14ac:dyDescent="0.3">
      <c r="A411" s="10"/>
      <c r="B411" s="10"/>
      <c r="C411" s="10"/>
      <c r="D411" s="10"/>
      <c r="E411" s="10"/>
      <c r="F411" s="41"/>
      <c r="G411" s="64"/>
      <c r="H411" s="64"/>
      <c r="I411" s="64"/>
      <c r="J411" s="64"/>
      <c r="K411" s="64"/>
      <c r="L411" s="64"/>
      <c r="M411" s="64"/>
      <c r="N411" s="64"/>
      <c r="O411" s="57">
        <f>c_hypo</f>
        <v>2936.2604000000001</v>
      </c>
      <c r="P411" s="64"/>
      <c r="Q411" s="56">
        <f>RDS2CLD_1*Hypo2CI_1</f>
        <v>1.8531333333333334E-2</v>
      </c>
      <c r="R411" s="56"/>
      <c r="S411" s="129"/>
      <c r="T411" s="105"/>
      <c r="U411" s="133"/>
      <c r="V411" s="133">
        <v>0</v>
      </c>
      <c r="W411" s="133"/>
      <c r="X411" s="133"/>
      <c r="Y411" s="133"/>
      <c r="Z411" s="134"/>
      <c r="AA411" s="6"/>
    </row>
    <row r="412" spans="1:27" x14ac:dyDescent="0.3">
      <c r="A412" s="10"/>
      <c r="B412" s="10"/>
      <c r="C412" s="10"/>
      <c r="D412" s="10"/>
      <c r="E412" s="10"/>
      <c r="F412" s="41"/>
      <c r="G412" s="64"/>
      <c r="H412" s="64"/>
      <c r="I412" s="64"/>
      <c r="J412" s="64"/>
      <c r="K412" s="64"/>
      <c r="L412" s="64"/>
      <c r="M412" s="65"/>
      <c r="N412" s="64"/>
      <c r="O412" s="53"/>
      <c r="P412" s="64"/>
      <c r="Q412" s="57">
        <f>c_lung+c_cog+c_hosp_fu+c_CSG</f>
        <v>58348.510902399998</v>
      </c>
      <c r="R412" s="57"/>
      <c r="S412" s="129"/>
      <c r="T412" s="105"/>
      <c r="U412" s="133"/>
      <c r="V412" s="133"/>
      <c r="W412" s="133"/>
      <c r="X412" s="133"/>
      <c r="Y412" s="133"/>
      <c r="Z412" s="134"/>
      <c r="AA412" s="6"/>
    </row>
    <row r="413" spans="1:27" x14ac:dyDescent="0.3">
      <c r="A413" s="10"/>
      <c r="B413" s="10"/>
      <c r="C413" s="10"/>
      <c r="D413" s="10"/>
      <c r="E413" s="10"/>
      <c r="F413" s="41"/>
      <c r="G413" s="64"/>
      <c r="H413" s="64"/>
      <c r="I413" s="64"/>
      <c r="J413" s="64"/>
      <c r="K413" s="64"/>
      <c r="L413" s="64"/>
      <c r="M413" s="64"/>
      <c r="N413" s="64"/>
      <c r="O413" s="64"/>
      <c r="P413" s="64"/>
      <c r="Q413" s="54" t="s">
        <v>370</v>
      </c>
      <c r="R413" s="54"/>
      <c r="S413" s="129"/>
      <c r="T413" s="105"/>
      <c r="U413" s="133">
        <f>$G$374*$E$302*$C$148*$I$409*$K$420*$M$415*$O$410*Q414*A$103</f>
        <v>0</v>
      </c>
      <c r="V413" s="133"/>
      <c r="W413" s="134">
        <f>$K$421+$I$410+$G$375+$E$303+$C$149+$A$104+$M$416+$O$411+Q415</f>
        <v>53510.750548205637</v>
      </c>
      <c r="X413" s="133">
        <f>u_Healthy</f>
        <v>0</v>
      </c>
      <c r="Y413" s="133"/>
      <c r="Z413" s="134">
        <f>U413*W413</f>
        <v>0</v>
      </c>
      <c r="AA413" s="6">
        <f>U413*X413</f>
        <v>0</v>
      </c>
    </row>
    <row r="414" spans="1:27" x14ac:dyDescent="0.3">
      <c r="A414" s="10"/>
      <c r="B414" s="10"/>
      <c r="C414" s="10"/>
      <c r="D414" s="10"/>
      <c r="E414" s="10"/>
      <c r="F414" s="41"/>
      <c r="G414" s="64"/>
      <c r="H414" s="64"/>
      <c r="I414" s="64"/>
      <c r="J414" s="64"/>
      <c r="K414" s="64"/>
      <c r="L414" s="64"/>
      <c r="M414" s="54" t="s">
        <v>9</v>
      </c>
      <c r="N414" s="64"/>
      <c r="O414" s="64"/>
      <c r="P414" s="64"/>
      <c r="Q414" s="56">
        <f>1-Q405-Q408-Q411</f>
        <v>0.60619800000000001</v>
      </c>
      <c r="R414" s="56"/>
      <c r="S414" s="129"/>
      <c r="T414" s="105"/>
      <c r="U414" s="133"/>
      <c r="V414" s="133">
        <v>0</v>
      </c>
      <c r="W414" s="133"/>
      <c r="X414" s="133"/>
      <c r="Y414" s="133"/>
      <c r="Z414" s="134"/>
      <c r="AA414" s="6"/>
    </row>
    <row r="415" spans="1:27" x14ac:dyDescent="0.3">
      <c r="A415" s="10"/>
      <c r="B415" s="10"/>
      <c r="C415" s="10"/>
      <c r="D415" s="10"/>
      <c r="E415" s="10"/>
      <c r="F415" s="41"/>
      <c r="G415" s="64"/>
      <c r="H415" s="64"/>
      <c r="I415" s="64"/>
      <c r="J415" s="64"/>
      <c r="K415" s="65"/>
      <c r="L415" s="64"/>
      <c r="M415" s="56">
        <f>S_term_2RDS_1</f>
        <v>0</v>
      </c>
      <c r="N415" s="64"/>
      <c r="O415" s="64"/>
      <c r="P415" s="64"/>
      <c r="Q415" s="57">
        <f>c_clinic_fu+c_CSG</f>
        <v>14403</v>
      </c>
      <c r="R415" s="57"/>
      <c r="S415" s="129"/>
      <c r="T415" s="105"/>
      <c r="U415" s="133"/>
      <c r="V415" s="133"/>
      <c r="W415" s="133"/>
      <c r="X415" s="133"/>
      <c r="Y415" s="133"/>
      <c r="Z415" s="134"/>
      <c r="AA415" s="6"/>
    </row>
    <row r="416" spans="1:27" x14ac:dyDescent="0.3">
      <c r="A416" s="10"/>
      <c r="B416" s="10"/>
      <c r="C416" s="10"/>
      <c r="D416" s="10"/>
      <c r="E416" s="10"/>
      <c r="F416" s="41"/>
      <c r="G416" s="64"/>
      <c r="H416" s="64"/>
      <c r="I416" s="64"/>
      <c r="J416" s="64"/>
      <c r="K416" s="65"/>
      <c r="L416" s="64"/>
      <c r="M416" s="57">
        <f>c_RDS</f>
        <v>30595.610148205637</v>
      </c>
      <c r="N416" s="64"/>
      <c r="O416" s="64"/>
      <c r="P416" s="64"/>
      <c r="Q416" s="65"/>
      <c r="R416" s="65"/>
      <c r="S416" s="129"/>
      <c r="T416" s="105"/>
      <c r="U416" s="133"/>
      <c r="V416" s="133"/>
      <c r="W416" s="133"/>
      <c r="X416" s="133"/>
      <c r="Y416" s="133"/>
      <c r="Z416" s="134"/>
      <c r="AA416" s="6"/>
    </row>
    <row r="417" spans="1:27" x14ac:dyDescent="0.3">
      <c r="A417" s="10"/>
      <c r="B417" s="10"/>
      <c r="C417" s="10"/>
      <c r="D417" s="10"/>
      <c r="E417" s="10"/>
      <c r="F417" s="41"/>
      <c r="G417" s="64"/>
      <c r="H417" s="64"/>
      <c r="I417" s="64"/>
      <c r="J417" s="64"/>
      <c r="K417" s="64"/>
      <c r="L417" s="64"/>
      <c r="M417" s="64"/>
      <c r="N417" s="64"/>
      <c r="O417" s="64"/>
      <c r="P417" s="64"/>
      <c r="Q417" s="54" t="s">
        <v>368</v>
      </c>
      <c r="R417" s="54"/>
      <c r="S417" s="129"/>
      <c r="T417" s="105"/>
      <c r="U417" s="133">
        <f>$G$374*$E$302*$C$148*$I$409*$K$420*$M$415*$O$420*Q418*A$103</f>
        <v>0</v>
      </c>
      <c r="V417" s="133"/>
      <c r="W417" s="134">
        <f>$K$421+$I$410+$G$375+$E$303+$C$149+$A$104+$M$416+$O$421+Q419</f>
        <v>90701.001050605642</v>
      </c>
      <c r="X417" s="133">
        <f>u_ChronicResp</f>
        <v>0.53465956747782661</v>
      </c>
      <c r="Y417" s="133"/>
      <c r="Z417" s="134">
        <f>U417*W417</f>
        <v>0</v>
      </c>
      <c r="AA417" s="6">
        <f>U417*X417</f>
        <v>0</v>
      </c>
    </row>
    <row r="418" spans="1:27" x14ac:dyDescent="0.3">
      <c r="A418" s="10"/>
      <c r="B418" s="10"/>
      <c r="C418" s="10"/>
      <c r="D418" s="10"/>
      <c r="E418" s="10"/>
      <c r="F418" s="41"/>
      <c r="G418" s="64"/>
      <c r="H418" s="64"/>
      <c r="I418" s="64"/>
      <c r="J418" s="64"/>
      <c r="K418" s="64"/>
      <c r="L418" s="64"/>
      <c r="M418" s="64"/>
      <c r="N418" s="64"/>
      <c r="O418" s="64"/>
      <c r="P418" s="64"/>
      <c r="Q418" s="56">
        <f>RDS2CLD_1-(RDS2CLD_1*noHypo2CI_1)</f>
        <v>0.34905610687022898</v>
      </c>
      <c r="R418" s="56"/>
      <c r="S418" s="129"/>
      <c r="T418" s="105"/>
      <c r="U418" s="133"/>
      <c r="V418" s="133">
        <v>0</v>
      </c>
      <c r="W418" s="133"/>
      <c r="X418" s="133"/>
      <c r="Y418" s="133"/>
      <c r="Z418" s="134"/>
      <c r="AA418" s="6"/>
    </row>
    <row r="419" spans="1:27" x14ac:dyDescent="0.3">
      <c r="A419" s="10"/>
      <c r="B419" s="10"/>
      <c r="C419" s="10"/>
      <c r="D419" s="10"/>
      <c r="E419" s="10"/>
      <c r="F419" s="41"/>
      <c r="G419" s="64"/>
      <c r="H419" s="64"/>
      <c r="I419" s="64"/>
      <c r="J419" s="64"/>
      <c r="K419" s="54" t="s">
        <v>37</v>
      </c>
      <c r="L419" s="64"/>
      <c r="M419" s="65"/>
      <c r="N419" s="64"/>
      <c r="O419" s="54" t="s">
        <v>371</v>
      </c>
      <c r="P419" s="64"/>
      <c r="Q419" s="57">
        <f>c_lung+c_hosp_fu+c_CSG</f>
        <v>54529.510902399998</v>
      </c>
      <c r="R419" s="57"/>
      <c r="S419" s="129"/>
      <c r="T419" s="105"/>
      <c r="U419" s="133"/>
      <c r="V419" s="133"/>
      <c r="W419" s="133"/>
      <c r="X419" s="133"/>
      <c r="Y419" s="133"/>
      <c r="Z419" s="134"/>
      <c r="AA419" s="6"/>
    </row>
    <row r="420" spans="1:27" x14ac:dyDescent="0.3">
      <c r="A420" s="10"/>
      <c r="B420" s="10"/>
      <c r="C420" s="10"/>
      <c r="D420" s="10"/>
      <c r="E420" s="10"/>
      <c r="F420" s="41"/>
      <c r="G420" s="64"/>
      <c r="H420" s="64"/>
      <c r="I420" s="64"/>
      <c r="J420" s="64"/>
      <c r="K420" s="56">
        <f>AGA_term_2s_1</f>
        <v>0.99445233333333338</v>
      </c>
      <c r="L420" s="64"/>
      <c r="M420" s="64"/>
      <c r="N420" s="64"/>
      <c r="O420" s="56">
        <f>AGA_term_2normoglycaemia_1</f>
        <v>1</v>
      </c>
      <c r="P420" s="64"/>
      <c r="Q420" s="54" t="s">
        <v>226</v>
      </c>
      <c r="R420" s="54"/>
      <c r="S420" s="129"/>
      <c r="T420" s="105"/>
      <c r="U420" s="133">
        <f>$G$374*$E$302*$C$148*$I$409*$K$420*$M$415*$O$420*Q421*A$103</f>
        <v>0</v>
      </c>
      <c r="V420" s="133"/>
      <c r="W420" s="134">
        <f>$K$421+$I$410+$G$375+$E$303+$C$149+$A$104+$M$416+$O$421+Q422</f>
        <v>51937.490148205638</v>
      </c>
      <c r="X420" s="133">
        <f>u_CongnitiveImpairement</f>
        <v>17.270393127285455</v>
      </c>
      <c r="Y420" s="133"/>
      <c r="Z420" s="134">
        <f>U420*W420</f>
        <v>0</v>
      </c>
      <c r="AA420" s="6">
        <f>U420*X420</f>
        <v>0</v>
      </c>
    </row>
    <row r="421" spans="1:27" x14ac:dyDescent="0.3">
      <c r="A421" s="10"/>
      <c r="B421" s="10"/>
      <c r="C421" s="10"/>
      <c r="D421" s="10"/>
      <c r="E421" s="10"/>
      <c r="F421" s="41"/>
      <c r="G421" s="64"/>
      <c r="H421" s="64"/>
      <c r="I421" s="64"/>
      <c r="J421" s="64"/>
      <c r="K421" s="57"/>
      <c r="L421" s="64"/>
      <c r="M421" s="64"/>
      <c r="N421" s="64"/>
      <c r="O421" s="57"/>
      <c r="P421" s="64"/>
      <c r="Q421" s="56">
        <f>noHypo2CI_1-(RDS2CLD_1*noHypo2CI_1)</f>
        <v>2.1141683406990762E-2</v>
      </c>
      <c r="R421" s="56"/>
      <c r="S421" s="129"/>
      <c r="T421" s="105"/>
      <c r="U421" s="133"/>
      <c r="V421" s="133">
        <v>0</v>
      </c>
      <c r="W421" s="133"/>
      <c r="X421" s="133"/>
      <c r="Y421" s="133"/>
      <c r="Z421" s="134"/>
      <c r="AA421" s="6"/>
    </row>
    <row r="422" spans="1:27" x14ac:dyDescent="0.3">
      <c r="A422" s="10"/>
      <c r="B422" s="10"/>
      <c r="C422" s="10"/>
      <c r="D422" s="10"/>
      <c r="E422" s="10"/>
      <c r="F422" s="41"/>
      <c r="G422" s="64"/>
      <c r="H422" s="64"/>
      <c r="I422" s="64"/>
      <c r="J422" s="64"/>
      <c r="K422" s="64"/>
      <c r="L422" s="64"/>
      <c r="M422" s="64"/>
      <c r="N422" s="64"/>
      <c r="O422" s="53"/>
      <c r="P422" s="64"/>
      <c r="Q422" s="57">
        <f>c_cog+c_hosp_fu+c_CSG</f>
        <v>15766</v>
      </c>
      <c r="R422" s="57"/>
      <c r="S422" s="129"/>
      <c r="T422" s="105"/>
      <c r="U422" s="133"/>
      <c r="V422" s="133"/>
      <c r="W422" s="133"/>
      <c r="X422" s="133"/>
      <c r="Y422" s="133"/>
      <c r="Z422" s="134"/>
      <c r="AA422" s="6"/>
    </row>
    <row r="423" spans="1:27" x14ac:dyDescent="0.3">
      <c r="A423" s="10"/>
      <c r="B423" s="10"/>
      <c r="C423" s="10"/>
      <c r="D423" s="10"/>
      <c r="E423" s="10"/>
      <c r="F423" s="41"/>
      <c r="G423" s="64"/>
      <c r="H423" s="64"/>
      <c r="I423" s="64"/>
      <c r="J423" s="64"/>
      <c r="K423" s="64"/>
      <c r="L423" s="64"/>
      <c r="M423" s="64"/>
      <c r="N423" s="64"/>
      <c r="O423" s="53"/>
      <c r="P423" s="64"/>
      <c r="Q423" s="54" t="s">
        <v>369</v>
      </c>
      <c r="R423" s="54"/>
      <c r="S423" s="129"/>
      <c r="T423" s="105"/>
      <c r="U423" s="133">
        <f>$G$374*$E$302*$C$148*$I$409*$K$420*$M$415*$O$420*Q424*A$103</f>
        <v>0</v>
      </c>
      <c r="V423" s="133"/>
      <c r="W423" s="134">
        <f>$K$421+$I$410+$G$375+$E$303+$C$149+$A$104+$M$416+$O$421+Q425</f>
        <v>94520.001050605642</v>
      </c>
      <c r="X423" s="133">
        <f>u_ChronicResp+u_CongnitiveImpairement</f>
        <v>17.805052694763283</v>
      </c>
      <c r="Y423" s="133"/>
      <c r="Z423" s="134">
        <f>U423*W423</f>
        <v>0</v>
      </c>
      <c r="AA423" s="6">
        <f>U423*X423</f>
        <v>0</v>
      </c>
    </row>
    <row r="424" spans="1:27" x14ac:dyDescent="0.3">
      <c r="A424" s="10"/>
      <c r="B424" s="10"/>
      <c r="C424" s="10"/>
      <c r="D424" s="10"/>
      <c r="E424" s="10"/>
      <c r="F424" s="41"/>
      <c r="G424" s="64"/>
      <c r="H424" s="64"/>
      <c r="I424" s="64"/>
      <c r="J424" s="64"/>
      <c r="K424" s="64"/>
      <c r="L424" s="64"/>
      <c r="M424" s="64"/>
      <c r="N424" s="64"/>
      <c r="O424" s="53"/>
      <c r="P424" s="64"/>
      <c r="Q424" s="56">
        <f>RDS2CLD_1*noHypo2CI_1</f>
        <v>1.1943893129770991E-2</v>
      </c>
      <c r="R424" s="56"/>
      <c r="S424" s="129"/>
      <c r="T424" s="105"/>
      <c r="U424" s="133"/>
      <c r="V424" s="133">
        <v>0</v>
      </c>
      <c r="W424" s="133"/>
      <c r="X424" s="133"/>
      <c r="Y424" s="133"/>
      <c r="Z424" s="134"/>
      <c r="AA424" s="6"/>
    </row>
    <row r="425" spans="1:27" x14ac:dyDescent="0.3">
      <c r="A425" s="10"/>
      <c r="B425" s="10"/>
      <c r="C425" s="110"/>
      <c r="D425" s="10"/>
      <c r="E425" s="10"/>
      <c r="F425" s="41"/>
      <c r="G425" s="64"/>
      <c r="H425" s="64"/>
      <c r="I425" s="64"/>
      <c r="J425" s="64"/>
      <c r="K425" s="64"/>
      <c r="L425" s="64"/>
      <c r="M425" s="64"/>
      <c r="N425" s="64"/>
      <c r="O425" s="53"/>
      <c r="P425" s="64"/>
      <c r="Q425" s="57">
        <f>c_cog+c_lung+c_hosp_fu+c_CSG</f>
        <v>58348.510902399998</v>
      </c>
      <c r="R425" s="57"/>
      <c r="S425" s="129"/>
      <c r="T425" s="105"/>
      <c r="U425" s="133"/>
      <c r="V425" s="133"/>
      <c r="W425" s="133"/>
      <c r="X425" s="133"/>
      <c r="Y425" s="133"/>
      <c r="Z425" s="134"/>
      <c r="AA425" s="6"/>
    </row>
    <row r="426" spans="1:27" x14ac:dyDescent="0.3">
      <c r="A426" s="10"/>
      <c r="B426" s="10"/>
      <c r="C426" s="110"/>
      <c r="D426" s="10"/>
      <c r="E426" s="10"/>
      <c r="F426" s="41"/>
      <c r="G426" s="64"/>
      <c r="H426" s="64"/>
      <c r="I426" s="64"/>
      <c r="J426" s="64"/>
      <c r="K426" s="64"/>
      <c r="L426" s="64"/>
      <c r="M426" s="64"/>
      <c r="N426" s="64"/>
      <c r="O426" s="53"/>
      <c r="P426" s="64"/>
      <c r="Q426" s="54" t="s">
        <v>370</v>
      </c>
      <c r="R426" s="54"/>
      <c r="S426" s="129"/>
      <c r="T426" s="105"/>
      <c r="U426" s="133">
        <f>$G$374*$E$302*$C$148*$I$409*$K$420*$M$415*$O$420*Q427*A$103</f>
        <v>0</v>
      </c>
      <c r="V426" s="133"/>
      <c r="W426" s="134">
        <f>$K$421+$I$410+$G$375+$E$303+$C$149+$A$104+$M$416+$O$421+Q428</f>
        <v>50574.490148205638</v>
      </c>
      <c r="X426" s="133">
        <f>u_Healthy</f>
        <v>0</v>
      </c>
      <c r="Y426" s="133"/>
      <c r="Z426" s="134">
        <f>U426*W426</f>
        <v>0</v>
      </c>
      <c r="AA426" s="6">
        <f>U426*X426</f>
        <v>0</v>
      </c>
    </row>
    <row r="427" spans="1:27" x14ac:dyDescent="0.3">
      <c r="A427" s="10"/>
      <c r="B427" s="10"/>
      <c r="C427" s="116"/>
      <c r="D427" s="10"/>
      <c r="E427" s="10"/>
      <c r="F427" s="41"/>
      <c r="G427" s="64"/>
      <c r="H427" s="64"/>
      <c r="I427" s="64"/>
      <c r="J427" s="64"/>
      <c r="K427" s="64"/>
      <c r="L427" s="64"/>
      <c r="M427" s="64"/>
      <c r="N427" s="64"/>
      <c r="O427" s="53"/>
      <c r="P427" s="64"/>
      <c r="Q427" s="56">
        <f>1-Q424-Q421-Q418</f>
        <v>0.61785831659300938</v>
      </c>
      <c r="R427" s="56"/>
      <c r="T427" s="105"/>
      <c r="U427" s="133"/>
      <c r="V427" s="133">
        <v>0</v>
      </c>
      <c r="W427" s="133"/>
      <c r="X427" s="133"/>
      <c r="Y427" s="133"/>
      <c r="Z427" s="134"/>
      <c r="AA427" s="6"/>
    </row>
    <row r="428" spans="1:27" x14ac:dyDescent="0.3">
      <c r="A428" s="10"/>
      <c r="B428" s="10"/>
      <c r="C428" s="10"/>
      <c r="D428" s="10"/>
      <c r="E428" s="10"/>
      <c r="F428" s="41"/>
      <c r="G428" s="64"/>
      <c r="H428" s="64"/>
      <c r="I428" s="64"/>
      <c r="J428" s="64"/>
      <c r="K428" s="64"/>
      <c r="L428" s="64"/>
      <c r="M428" s="64"/>
      <c r="N428" s="64"/>
      <c r="O428" s="64"/>
      <c r="P428" s="64"/>
      <c r="Q428" s="57">
        <f>c_clinic_fu+c_CSG</f>
        <v>14403</v>
      </c>
      <c r="R428" s="57"/>
      <c r="S428" s="129"/>
      <c r="T428" s="105"/>
      <c r="U428" s="133"/>
      <c r="V428" s="133"/>
      <c r="W428" s="133"/>
      <c r="X428" s="133"/>
      <c r="Y428" s="133"/>
      <c r="Z428" s="134"/>
      <c r="AA428" s="6"/>
    </row>
    <row r="429" spans="1:27" x14ac:dyDescent="0.3">
      <c r="A429" s="10"/>
      <c r="B429" s="10"/>
      <c r="C429" s="10"/>
      <c r="D429" s="10"/>
      <c r="E429" s="10"/>
      <c r="F429" s="41"/>
      <c r="G429" s="53"/>
      <c r="H429" s="64"/>
      <c r="I429" s="64"/>
      <c r="J429" s="64"/>
      <c r="K429" s="64"/>
      <c r="L429" s="64"/>
      <c r="M429" s="64"/>
      <c r="N429" s="64"/>
      <c r="O429" s="64"/>
      <c r="P429" s="64"/>
      <c r="Q429" s="65"/>
      <c r="R429" s="65"/>
      <c r="S429" s="129"/>
      <c r="T429" s="105"/>
      <c r="U429" s="133"/>
      <c r="V429" s="133"/>
      <c r="W429" s="133"/>
      <c r="X429" s="133"/>
      <c r="Y429" s="133"/>
      <c r="Z429" s="134"/>
      <c r="AA429" s="6"/>
    </row>
    <row r="430" spans="1:27" x14ac:dyDescent="0.3">
      <c r="A430" s="10"/>
      <c r="B430" s="10"/>
      <c r="C430" s="10"/>
      <c r="D430" s="10"/>
      <c r="E430" s="10"/>
      <c r="F430" s="41"/>
      <c r="G430" s="53"/>
      <c r="H430" s="64"/>
      <c r="I430" s="64"/>
      <c r="J430" s="64"/>
      <c r="K430" s="64"/>
      <c r="L430" s="64"/>
      <c r="M430" s="64"/>
      <c r="N430" s="64"/>
      <c r="O430" s="64"/>
      <c r="P430" s="64"/>
      <c r="Q430" s="54" t="s">
        <v>368</v>
      </c>
      <c r="R430" s="54"/>
      <c r="S430" s="129"/>
      <c r="T430" s="105"/>
      <c r="U430" s="133">
        <f>$A$103*$G$374*$E$302*$C$148*$I$409*$K$420*$M$435*$O$433*Q431</f>
        <v>0</v>
      </c>
      <c r="V430" s="133"/>
      <c r="W430" s="134">
        <f>$K$421+$I$410+$G$375+$E$303+$C$149+$A$104+$M$436+$O$434+Q432</f>
        <v>63041.651302400001</v>
      </c>
      <c r="X430" s="133">
        <f>u_ChronicResp</f>
        <v>0.53465956747782661</v>
      </c>
      <c r="Y430" s="133"/>
      <c r="Z430" s="134">
        <f>U430*W430</f>
        <v>0</v>
      </c>
      <c r="AA430" s="6">
        <f>U430*X430</f>
        <v>0</v>
      </c>
    </row>
    <row r="431" spans="1:27" x14ac:dyDescent="0.3">
      <c r="A431" s="10"/>
      <c r="B431" s="10"/>
      <c r="C431" s="10"/>
      <c r="D431" s="10"/>
      <c r="E431" s="10"/>
      <c r="F431" s="41"/>
      <c r="G431" s="64"/>
      <c r="H431" s="64"/>
      <c r="I431" s="64"/>
      <c r="J431" s="64"/>
      <c r="K431" s="64"/>
      <c r="L431" s="64"/>
      <c r="M431" s="64"/>
      <c r="N431" s="64"/>
      <c r="O431" s="64"/>
      <c r="P431" s="64"/>
      <c r="Q431" s="56">
        <f>noRDS2CLD_1-(Hypo2CI_1*noRDS2CLD_1)</f>
        <v>0</v>
      </c>
      <c r="R431" s="56"/>
      <c r="S431" s="129"/>
      <c r="T431" s="105"/>
      <c r="U431" s="133"/>
      <c r="V431" s="133">
        <v>0</v>
      </c>
      <c r="W431" s="133"/>
      <c r="X431" s="133"/>
      <c r="Y431" s="133"/>
      <c r="Z431" s="134"/>
      <c r="AA431" s="6"/>
    </row>
    <row r="432" spans="1:27" x14ac:dyDescent="0.3">
      <c r="A432" s="10"/>
      <c r="B432" s="10"/>
      <c r="C432" s="10"/>
      <c r="D432" s="10"/>
      <c r="E432" s="10"/>
      <c r="F432" s="41"/>
      <c r="G432" s="64"/>
      <c r="H432" s="64"/>
      <c r="I432" s="64"/>
      <c r="J432" s="64"/>
      <c r="K432" s="64"/>
      <c r="L432" s="64"/>
      <c r="M432" s="64"/>
      <c r="N432" s="64"/>
      <c r="O432" s="54" t="s">
        <v>161</v>
      </c>
      <c r="P432" s="64"/>
      <c r="Q432" s="57">
        <f>c_lung+c_hosp_fu+c_CSG</f>
        <v>54529.510902399998</v>
      </c>
      <c r="R432" s="57"/>
      <c r="S432" s="129"/>
      <c r="T432" s="105"/>
      <c r="U432" s="133"/>
      <c r="V432" s="133"/>
      <c r="W432" s="133"/>
      <c r="X432" s="133"/>
      <c r="Y432" s="133"/>
      <c r="Z432" s="134"/>
      <c r="AA432" s="6"/>
    </row>
    <row r="433" spans="1:27" x14ac:dyDescent="0.3">
      <c r="A433" s="10"/>
      <c r="B433" s="10"/>
      <c r="C433" s="10"/>
      <c r="D433" s="10"/>
      <c r="E433" s="10"/>
      <c r="F433" s="41"/>
      <c r="G433" s="64"/>
      <c r="H433" s="64"/>
      <c r="I433" s="64"/>
      <c r="J433" s="64"/>
      <c r="K433" s="64"/>
      <c r="L433" s="64"/>
      <c r="M433" s="64"/>
      <c r="N433" s="64"/>
      <c r="O433" s="56">
        <f>AGA_term_2hypoglycaemia_1</f>
        <v>0</v>
      </c>
      <c r="P433" s="64"/>
      <c r="Q433" s="54" t="s">
        <v>226</v>
      </c>
      <c r="R433" s="54"/>
      <c r="S433" s="129"/>
      <c r="T433" s="105"/>
      <c r="U433" s="133">
        <f>$A$103*$G$374*$E$302*$C$148*$I$409*$K$420*$M$435*$O$433*Q434</f>
        <v>0</v>
      </c>
      <c r="V433" s="133"/>
      <c r="W433" s="134">
        <f>$K$421+$I$410+$G$375+$E$303+$C$149+$A$104+$M$436+$O$434+Q435</f>
        <v>24278.1404</v>
      </c>
      <c r="X433" s="133">
        <f>u_CongnitiveImpairement</f>
        <v>17.270393127285455</v>
      </c>
      <c r="Y433" s="133"/>
      <c r="Z433" s="134">
        <f>U433*W433</f>
        <v>0</v>
      </c>
      <c r="AA433" s="6">
        <f>U433*X433</f>
        <v>0</v>
      </c>
    </row>
    <row r="434" spans="1:27" x14ac:dyDescent="0.3">
      <c r="A434" s="10"/>
      <c r="B434" s="10"/>
      <c r="C434" s="10"/>
      <c r="D434" s="10"/>
      <c r="E434" s="10"/>
      <c r="F434" s="41"/>
      <c r="G434" s="64"/>
      <c r="H434" s="64"/>
      <c r="I434" s="64"/>
      <c r="J434" s="64"/>
      <c r="K434" s="64"/>
      <c r="L434" s="64"/>
      <c r="M434" s="54" t="s">
        <v>203</v>
      </c>
      <c r="N434" s="64"/>
      <c r="O434" s="57">
        <f>c_hypo</f>
        <v>2936.2604000000001</v>
      </c>
      <c r="P434" s="64"/>
      <c r="Q434" s="56">
        <f>Hypo2CI_1-(Hypo2CI_1*noRDS2CLD_1)</f>
        <v>5.1333333333333335E-2</v>
      </c>
      <c r="R434" s="56"/>
      <c r="S434" s="129"/>
      <c r="T434" s="105"/>
      <c r="U434" s="133"/>
      <c r="V434" s="133">
        <v>0</v>
      </c>
      <c r="W434" s="133"/>
      <c r="X434" s="133"/>
      <c r="Y434" s="133"/>
      <c r="Z434" s="134"/>
      <c r="AA434" s="6"/>
    </row>
    <row r="435" spans="1:27" x14ac:dyDescent="0.3">
      <c r="A435" s="10"/>
      <c r="B435" s="10"/>
      <c r="C435" s="10"/>
      <c r="D435" s="10"/>
      <c r="E435" s="10"/>
      <c r="F435" s="41"/>
      <c r="G435" s="64"/>
      <c r="H435" s="64"/>
      <c r="I435" s="64"/>
      <c r="J435" s="64"/>
      <c r="K435" s="64"/>
      <c r="L435" s="64"/>
      <c r="M435" s="56">
        <f>S_term_2noRDS_1</f>
        <v>1</v>
      </c>
      <c r="N435" s="64"/>
      <c r="O435" s="53"/>
      <c r="P435" s="64"/>
      <c r="Q435" s="57">
        <f>c_cog+c_hosp_fu+c_CSG</f>
        <v>15766</v>
      </c>
      <c r="R435" s="57"/>
      <c r="S435" s="129"/>
      <c r="T435" s="105"/>
      <c r="U435" s="133"/>
      <c r="V435" s="133"/>
      <c r="W435" s="133"/>
      <c r="X435" s="133"/>
      <c r="Y435" s="133"/>
      <c r="Z435" s="134"/>
      <c r="AA435" s="6"/>
    </row>
    <row r="436" spans="1:27" x14ac:dyDescent="0.3">
      <c r="A436" s="10"/>
      <c r="B436" s="10"/>
      <c r="C436" s="10"/>
      <c r="D436" s="10"/>
      <c r="E436" s="10"/>
      <c r="F436" s="41"/>
      <c r="G436" s="64"/>
      <c r="H436" s="64"/>
      <c r="I436" s="64"/>
      <c r="J436" s="64"/>
      <c r="K436" s="64"/>
      <c r="L436" s="64"/>
      <c r="M436" s="57"/>
      <c r="N436" s="64"/>
      <c r="O436" s="65"/>
      <c r="P436" s="64"/>
      <c r="Q436" s="54" t="s">
        <v>369</v>
      </c>
      <c r="R436" s="54"/>
      <c r="S436" s="129"/>
      <c r="T436" s="105"/>
      <c r="U436" s="133">
        <f>$A$103*$G$374*$E$302*$C$148*$I$409*$K$420*$M$435*$O$433*Q437</f>
        <v>0</v>
      </c>
      <c r="V436" s="133"/>
      <c r="W436" s="134">
        <f>$K$421+$I$410+$G$375+$E$303+$C$149+$A$104+$M$436+$O$434+Q438</f>
        <v>66860.651302400001</v>
      </c>
      <c r="X436" s="133">
        <f>u_ChronicResp+u_CongnitiveImpairement</f>
        <v>17.805052694763283</v>
      </c>
      <c r="Y436" s="133"/>
      <c r="Z436" s="134">
        <f>U436*W436</f>
        <v>0</v>
      </c>
      <c r="AA436" s="6">
        <f>U436*X436</f>
        <v>0</v>
      </c>
    </row>
    <row r="437" spans="1:27" x14ac:dyDescent="0.3">
      <c r="A437" s="10"/>
      <c r="B437" s="10"/>
      <c r="C437" s="10"/>
      <c r="D437" s="10"/>
      <c r="E437" s="10"/>
      <c r="F437" s="41"/>
      <c r="G437" s="64"/>
      <c r="H437" s="64"/>
      <c r="I437" s="53"/>
      <c r="J437" s="53"/>
      <c r="K437" s="64"/>
      <c r="L437" s="64"/>
      <c r="M437" s="65"/>
      <c r="N437" s="64"/>
      <c r="O437" s="41"/>
      <c r="P437" s="64"/>
      <c r="Q437" s="56">
        <f>noRDS2CLD_1*Hypo2CI_1</f>
        <v>0</v>
      </c>
      <c r="R437" s="56"/>
      <c r="S437" s="129"/>
      <c r="T437" s="105"/>
      <c r="U437" s="133"/>
      <c r="V437" s="133">
        <v>0</v>
      </c>
      <c r="W437" s="134"/>
      <c r="X437" s="133"/>
      <c r="Y437" s="133"/>
      <c r="Z437" s="134"/>
      <c r="AA437" s="6"/>
    </row>
    <row r="438" spans="1:27" x14ac:dyDescent="0.3">
      <c r="A438" s="10"/>
      <c r="B438" s="10"/>
      <c r="C438" s="10"/>
      <c r="D438" s="10"/>
      <c r="E438" s="10"/>
      <c r="F438" s="41"/>
      <c r="G438" s="64"/>
      <c r="H438" s="64"/>
      <c r="I438" s="53"/>
      <c r="J438" s="53"/>
      <c r="K438" s="64"/>
      <c r="L438" s="64"/>
      <c r="M438" s="65"/>
      <c r="N438" s="64"/>
      <c r="O438" s="41"/>
      <c r="P438" s="64"/>
      <c r="Q438" s="57">
        <f>c_lung+c_cog+c_hosp_fu+c_CSG</f>
        <v>58348.510902399998</v>
      </c>
      <c r="R438" s="57"/>
      <c r="S438" s="129"/>
      <c r="T438" s="105"/>
      <c r="U438" s="133"/>
      <c r="V438" s="133"/>
      <c r="W438" s="133"/>
      <c r="X438" s="133"/>
      <c r="Y438" s="133"/>
      <c r="Z438" s="134"/>
      <c r="AA438" s="6"/>
    </row>
    <row r="439" spans="1:27" x14ac:dyDescent="0.3">
      <c r="A439" s="10"/>
      <c r="B439" s="10"/>
      <c r="C439" s="10"/>
      <c r="D439" s="10"/>
      <c r="E439" s="10"/>
      <c r="F439" s="41"/>
      <c r="G439" s="64"/>
      <c r="H439" s="64"/>
      <c r="I439" s="53"/>
      <c r="J439" s="53"/>
      <c r="K439" s="64"/>
      <c r="L439" s="64"/>
      <c r="M439" s="65"/>
      <c r="N439" s="64"/>
      <c r="O439" s="41"/>
      <c r="P439" s="64"/>
      <c r="Q439" s="54" t="s">
        <v>370</v>
      </c>
      <c r="R439" s="54"/>
      <c r="S439" s="129"/>
      <c r="T439" s="105"/>
      <c r="U439" s="133">
        <f>$A$103*$G$374*$E$302*$C$148*$I$409*$K$420*$M$435*$O$433*Q440</f>
        <v>0</v>
      </c>
      <c r="V439" s="133"/>
      <c r="W439" s="134">
        <f>$K$421+$I$410+$G$375+$E$303+$C$149+$A$104+$M$436+$O$434+Q441</f>
        <v>22915.1404</v>
      </c>
      <c r="X439" s="133">
        <f>u_Healthy</f>
        <v>0</v>
      </c>
      <c r="Y439" s="133"/>
      <c r="Z439" s="134">
        <f>U439*W439</f>
        <v>0</v>
      </c>
      <c r="AA439" s="6">
        <f>U439*X439</f>
        <v>0</v>
      </c>
    </row>
    <row r="440" spans="1:27" x14ac:dyDescent="0.3">
      <c r="A440" s="10"/>
      <c r="B440" s="10"/>
      <c r="C440" s="10"/>
      <c r="D440" s="10"/>
      <c r="E440" s="10"/>
      <c r="F440" s="41"/>
      <c r="G440" s="64"/>
      <c r="H440" s="64"/>
      <c r="I440" s="53"/>
      <c r="J440" s="53"/>
      <c r="K440" s="64"/>
      <c r="L440" s="64"/>
      <c r="M440" s="65"/>
      <c r="N440" s="64"/>
      <c r="O440" s="65"/>
      <c r="P440" s="64"/>
      <c r="Q440" s="56">
        <f>1-Q437-Q434-Q431</f>
        <v>0.94866666666666666</v>
      </c>
      <c r="R440" s="56"/>
      <c r="T440" s="105"/>
      <c r="U440" s="133"/>
      <c r="V440" s="133">
        <v>0</v>
      </c>
      <c r="W440" s="133"/>
      <c r="X440" s="133"/>
      <c r="Y440" s="133"/>
      <c r="Z440" s="134"/>
      <c r="AA440" s="6"/>
    </row>
    <row r="441" spans="1:27" x14ac:dyDescent="0.3">
      <c r="A441" s="10"/>
      <c r="B441" s="10"/>
      <c r="C441" s="10"/>
      <c r="D441" s="10"/>
      <c r="E441" s="10"/>
      <c r="F441" s="41"/>
      <c r="G441" s="64"/>
      <c r="H441" s="64"/>
      <c r="I441" s="53"/>
      <c r="J441" s="53"/>
      <c r="K441" s="64"/>
      <c r="L441" s="64"/>
      <c r="M441" s="65"/>
      <c r="N441" s="64"/>
      <c r="O441" s="64"/>
      <c r="P441" s="64"/>
      <c r="Q441" s="57">
        <f>c_clinic_fu+c_CSG</f>
        <v>14403</v>
      </c>
      <c r="R441" s="57"/>
      <c r="S441" s="129"/>
      <c r="T441" s="105"/>
      <c r="U441" s="133"/>
      <c r="V441" s="133"/>
      <c r="W441" s="133"/>
      <c r="X441" s="133"/>
      <c r="Y441" s="133"/>
      <c r="Z441" s="134"/>
      <c r="AA441" s="6"/>
    </row>
    <row r="442" spans="1:27" x14ac:dyDescent="0.3">
      <c r="A442" s="10"/>
      <c r="B442" s="10"/>
      <c r="C442" s="10"/>
      <c r="D442" s="10"/>
      <c r="E442" s="10"/>
      <c r="F442" s="41"/>
      <c r="G442" s="64"/>
      <c r="H442" s="64"/>
      <c r="I442" s="41"/>
      <c r="J442" s="64"/>
      <c r="K442" s="64"/>
      <c r="L442" s="64"/>
      <c r="M442" s="65"/>
      <c r="N442" s="64"/>
      <c r="O442" s="64"/>
      <c r="P442" s="64"/>
      <c r="Q442" s="65"/>
      <c r="R442" s="65"/>
      <c r="S442" s="130"/>
      <c r="T442" s="105"/>
      <c r="U442" s="133"/>
      <c r="V442" s="133"/>
      <c r="W442" s="133"/>
      <c r="X442" s="133"/>
      <c r="Y442" s="133"/>
      <c r="Z442" s="134"/>
      <c r="AA442" s="6"/>
    </row>
    <row r="443" spans="1:27" x14ac:dyDescent="0.3">
      <c r="A443" s="10"/>
      <c r="B443" s="10"/>
      <c r="C443" s="10"/>
      <c r="D443" s="10"/>
      <c r="E443" s="10"/>
      <c r="F443" s="41"/>
      <c r="G443" s="64"/>
      <c r="H443" s="64"/>
      <c r="I443" s="41"/>
      <c r="J443" s="64"/>
      <c r="K443" s="64"/>
      <c r="L443" s="64"/>
      <c r="M443" s="65"/>
      <c r="N443" s="64"/>
      <c r="O443" s="64"/>
      <c r="P443" s="64"/>
      <c r="Q443" s="54" t="s">
        <v>368</v>
      </c>
      <c r="R443" s="54"/>
      <c r="S443" s="129"/>
      <c r="T443" s="105"/>
      <c r="U443" s="133">
        <f>$A$103*$G$374*$E$302*$C$148*$I$409*$K$420*$M$435*$O$447*Q444</f>
        <v>0</v>
      </c>
      <c r="V443" s="133"/>
      <c r="W443" s="134">
        <f>$K$421+$I$410+$G$375+$E$303+$C$149+$A$104+$M$436+$O$448+Q445</f>
        <v>62134.651302399994</v>
      </c>
      <c r="X443" s="133">
        <f>u_ChronicResp</f>
        <v>0.53465956747782661</v>
      </c>
      <c r="Y443" s="133"/>
      <c r="Z443" s="134">
        <f>U443*W443</f>
        <v>0</v>
      </c>
      <c r="AA443" s="6">
        <f>U443*X443</f>
        <v>0</v>
      </c>
    </row>
    <row r="444" spans="1:27" x14ac:dyDescent="0.3">
      <c r="A444" s="10"/>
      <c r="B444" s="10"/>
      <c r="C444" s="10"/>
      <c r="D444" s="10"/>
      <c r="E444" s="10"/>
      <c r="F444" s="41"/>
      <c r="G444" s="64"/>
      <c r="H444" s="64"/>
      <c r="I444" s="41"/>
      <c r="J444" s="64"/>
      <c r="K444" s="64"/>
      <c r="L444" s="64"/>
      <c r="M444" s="65"/>
      <c r="N444" s="64"/>
      <c r="O444" s="64"/>
      <c r="P444" s="64"/>
      <c r="Q444" s="56">
        <f>noRDS2CLD_1-(noRDS2CLD_1*noHypo2CI_1)</f>
        <v>0</v>
      </c>
      <c r="R444" s="56"/>
      <c r="S444" s="129"/>
      <c r="T444" s="105"/>
      <c r="U444" s="133"/>
      <c r="V444" s="133">
        <v>0</v>
      </c>
      <c r="W444" s="133"/>
      <c r="X444" s="133"/>
      <c r="Y444" s="133"/>
      <c r="Z444" s="134"/>
      <c r="AA444" s="6"/>
    </row>
    <row r="445" spans="1:27" x14ac:dyDescent="0.3">
      <c r="A445" s="10"/>
      <c r="B445" s="10"/>
      <c r="C445" s="10"/>
      <c r="D445" s="10"/>
      <c r="E445" s="10"/>
      <c r="F445" s="41"/>
      <c r="G445" s="64"/>
      <c r="H445" s="64"/>
      <c r="I445" s="64"/>
      <c r="J445" s="64"/>
      <c r="K445" s="64"/>
      <c r="L445" s="64"/>
      <c r="M445" s="65"/>
      <c r="N445" s="64"/>
      <c r="O445" s="64"/>
      <c r="P445" s="64"/>
      <c r="Q445" s="57">
        <f>c_lung+c_hypo+c_CSG</f>
        <v>56558.771302399997</v>
      </c>
      <c r="R445" s="57"/>
      <c r="S445" s="129"/>
      <c r="T445" s="105"/>
      <c r="U445" s="133"/>
      <c r="V445" s="133"/>
      <c r="W445" s="133"/>
      <c r="X445" s="133"/>
      <c r="Y445" s="133"/>
      <c r="Z445" s="134"/>
      <c r="AA445" s="6"/>
    </row>
    <row r="446" spans="1:27" x14ac:dyDescent="0.3">
      <c r="A446" s="10"/>
      <c r="B446" s="10"/>
      <c r="C446" s="10"/>
      <c r="D446" s="10"/>
      <c r="E446" s="10"/>
      <c r="F446" s="41"/>
      <c r="G446" s="64"/>
      <c r="H446" s="64"/>
      <c r="I446" s="64"/>
      <c r="J446" s="64"/>
      <c r="K446" s="64"/>
      <c r="L446" s="64"/>
      <c r="M446" s="65"/>
      <c r="N446" s="64"/>
      <c r="O446" s="54" t="s">
        <v>371</v>
      </c>
      <c r="P446" s="64"/>
      <c r="Q446" s="54" t="s">
        <v>226</v>
      </c>
      <c r="R446" s="54"/>
      <c r="S446" s="129"/>
      <c r="T446" s="105"/>
      <c r="U446" s="133">
        <f>$A$103*$G$374*$E$302*$C$148*$I$409*$K$420*$M$435*$O$447*Q447</f>
        <v>1.6030898536535828E-2</v>
      </c>
      <c r="V446" s="133">
        <v>1.1717727309838824E-2</v>
      </c>
      <c r="W446" s="134">
        <f>$K$421+$I$410+$G$375+$E$303+$C$149+$A$104+$M$436+$O$448+Q448</f>
        <v>21341.88</v>
      </c>
      <c r="X446" s="133">
        <f>u_CongnitiveImpairement</f>
        <v>17.270393127285455</v>
      </c>
      <c r="Y446" s="133"/>
      <c r="Z446" s="134">
        <f>U446*W446</f>
        <v>342.12951285892325</v>
      </c>
      <c r="AA446" s="6">
        <f>U446*X446</f>
        <v>0.27685991990959885</v>
      </c>
    </row>
    <row r="447" spans="1:27" x14ac:dyDescent="0.3">
      <c r="A447" s="10"/>
      <c r="B447" s="10"/>
      <c r="C447" s="10"/>
      <c r="D447" s="10"/>
      <c r="E447" s="10"/>
      <c r="F447" s="41"/>
      <c r="G447" s="64"/>
      <c r="H447" s="64"/>
      <c r="I447" s="64"/>
      <c r="J447" s="64"/>
      <c r="K447" s="64"/>
      <c r="L447" s="64"/>
      <c r="M447" s="65"/>
      <c r="N447" s="64"/>
      <c r="O447" s="56">
        <f>AGA_term_2normoglycaemia_1</f>
        <v>1</v>
      </c>
      <c r="P447" s="64"/>
      <c r="Q447" s="56">
        <f>noHypo2CI_1</f>
        <v>3.3085576536761752E-2</v>
      </c>
      <c r="R447" s="56"/>
      <c r="S447" s="129"/>
      <c r="T447" s="105"/>
      <c r="U447" s="133"/>
      <c r="V447" s="133"/>
      <c r="W447" s="133"/>
      <c r="X447" s="133"/>
      <c r="Y447" s="133"/>
      <c r="Z447" s="134"/>
      <c r="AA447" s="6"/>
    </row>
    <row r="448" spans="1:27" x14ac:dyDescent="0.3">
      <c r="A448" s="10"/>
      <c r="B448" s="10"/>
      <c r="C448" s="10"/>
      <c r="D448" s="10"/>
      <c r="E448" s="10"/>
      <c r="F448" s="41"/>
      <c r="G448" s="64"/>
      <c r="H448" s="64"/>
      <c r="I448" s="64"/>
      <c r="J448" s="64"/>
      <c r="K448" s="64"/>
      <c r="L448" s="64"/>
      <c r="M448" s="65"/>
      <c r="N448" s="64"/>
      <c r="O448" s="57"/>
      <c r="P448" s="64"/>
      <c r="Q448" s="57">
        <f>c_cog+c_hosp_fu+c_CSG</f>
        <v>15766</v>
      </c>
      <c r="R448" s="57"/>
      <c r="S448" s="129"/>
      <c r="T448" s="105"/>
      <c r="U448" s="133"/>
      <c r="V448" s="133"/>
      <c r="W448" s="133"/>
      <c r="X448" s="133"/>
      <c r="Y448" s="133"/>
      <c r="Z448" s="134"/>
      <c r="AA448" s="6"/>
    </row>
    <row r="449" spans="1:27" x14ac:dyDescent="0.3">
      <c r="A449" s="10"/>
      <c r="B449" s="10"/>
      <c r="C449" s="10"/>
      <c r="D449" s="10"/>
      <c r="E449" s="10"/>
      <c r="F449" s="41"/>
      <c r="G449" s="65"/>
      <c r="H449" s="64"/>
      <c r="I449" s="64"/>
      <c r="J449" s="64"/>
      <c r="K449" s="64"/>
      <c r="L449" s="64"/>
      <c r="M449" s="65"/>
      <c r="N449" s="64"/>
      <c r="O449" s="64"/>
      <c r="P449" s="64"/>
      <c r="Q449" s="54" t="s">
        <v>369</v>
      </c>
      <c r="R449" s="54"/>
      <c r="S449" s="129"/>
      <c r="T449" s="105"/>
      <c r="U449" s="133">
        <f>$A$103*$G$374*$E$302*$C$148*$I$409*$K$420*$M$435*$O$447*Q450</f>
        <v>0</v>
      </c>
      <c r="V449" s="133"/>
      <c r="W449" s="134">
        <f>$K$421+$I$410+$G$375+$E$303+$C$149+$A$104+$M$436+$O$448+Q451</f>
        <v>63924.390902399995</v>
      </c>
      <c r="X449" s="133">
        <f>u_ChronicResp+u_CongnitiveImpairement</f>
        <v>17.805052694763283</v>
      </c>
      <c r="Y449" s="133"/>
      <c r="Z449" s="134">
        <f>U449*W449</f>
        <v>0</v>
      </c>
      <c r="AA449" s="6">
        <f>U449*X449</f>
        <v>0</v>
      </c>
    </row>
    <row r="450" spans="1:27" x14ac:dyDescent="0.3">
      <c r="A450" s="10"/>
      <c r="B450" s="10"/>
      <c r="C450" s="10"/>
      <c r="D450" s="10"/>
      <c r="E450" s="10"/>
      <c r="F450" s="41"/>
      <c r="G450" s="64"/>
      <c r="H450" s="64"/>
      <c r="I450" s="64"/>
      <c r="J450" s="64"/>
      <c r="K450" s="64"/>
      <c r="L450" s="64"/>
      <c r="M450" s="53"/>
      <c r="N450" s="64"/>
      <c r="O450" s="64"/>
      <c r="P450" s="64"/>
      <c r="Q450" s="56">
        <f>noRDS2CLD_1*noHypo2CI_1</f>
        <v>0</v>
      </c>
      <c r="R450" s="56"/>
      <c r="S450" s="129"/>
      <c r="T450" s="105"/>
      <c r="U450" s="133"/>
      <c r="V450" s="133">
        <v>0</v>
      </c>
      <c r="W450" s="133"/>
      <c r="X450" s="133"/>
      <c r="Y450" s="133"/>
      <c r="Z450" s="134"/>
      <c r="AA450" s="6"/>
    </row>
    <row r="451" spans="1:27" x14ac:dyDescent="0.3">
      <c r="A451" s="10"/>
      <c r="B451" s="10"/>
      <c r="C451" s="10"/>
      <c r="D451" s="10"/>
      <c r="E451" s="10"/>
      <c r="F451" s="41"/>
      <c r="G451" s="64"/>
      <c r="H451" s="64"/>
      <c r="I451" s="64"/>
      <c r="J451" s="64"/>
      <c r="K451" s="64"/>
      <c r="L451" s="64"/>
      <c r="M451" s="44"/>
      <c r="N451" s="64"/>
      <c r="O451" s="64"/>
      <c r="P451" s="64"/>
      <c r="Q451" s="57">
        <f>c_cog+c_lung+c_hosp_fu+c_CSG</f>
        <v>58348.510902399998</v>
      </c>
      <c r="R451" s="57"/>
      <c r="S451" s="129"/>
      <c r="T451" s="105"/>
      <c r="U451" s="133"/>
      <c r="V451" s="133"/>
      <c r="W451" s="133"/>
      <c r="X451" s="133"/>
      <c r="Y451" s="133"/>
      <c r="Z451" s="134"/>
      <c r="AA451" s="6"/>
    </row>
    <row r="452" spans="1:27" x14ac:dyDescent="0.3">
      <c r="A452" s="10"/>
      <c r="B452" s="10"/>
      <c r="C452" s="10"/>
      <c r="D452" s="10"/>
      <c r="E452" s="10"/>
      <c r="F452" s="41"/>
      <c r="G452" s="64"/>
      <c r="H452" s="64"/>
      <c r="I452" s="64"/>
      <c r="J452" s="64"/>
      <c r="K452" s="64"/>
      <c r="L452" s="64"/>
      <c r="M452" s="65"/>
      <c r="N452" s="64"/>
      <c r="O452" s="64"/>
      <c r="P452" s="64"/>
      <c r="Q452" s="54" t="s">
        <v>370</v>
      </c>
      <c r="R452" s="54"/>
      <c r="S452" s="129"/>
      <c r="T452" s="105"/>
      <c r="U452" s="133">
        <f>$A$103*$G$374*$E$302*$C$148*$I$409*$K$420*$M$435*$O$447*Q453</f>
        <v>0.46849741302919196</v>
      </c>
      <c r="V452" s="133">
        <v>0.34244648974163461</v>
      </c>
      <c r="W452" s="134">
        <f>$K$421+$I$410+$G$375+$E$303+$C$149+$A$104+$M$436+$O$448+Q454</f>
        <v>19978.88</v>
      </c>
      <c r="X452" s="133">
        <f>u_Healthy</f>
        <v>0</v>
      </c>
      <c r="Y452" s="133"/>
      <c r="Z452" s="134">
        <f>U452*W452</f>
        <v>9360.0535952206628</v>
      </c>
      <c r="AA452" s="6">
        <f>U452*X452</f>
        <v>0</v>
      </c>
    </row>
    <row r="453" spans="1:27" x14ac:dyDescent="0.3">
      <c r="A453" s="10"/>
      <c r="B453" s="10"/>
      <c r="C453" s="10"/>
      <c r="D453" s="10"/>
      <c r="E453" s="10"/>
      <c r="F453" s="41"/>
      <c r="G453" s="64"/>
      <c r="H453" s="64"/>
      <c r="I453" s="64"/>
      <c r="J453" s="64"/>
      <c r="K453" s="64"/>
      <c r="L453" s="64"/>
      <c r="M453" s="65"/>
      <c r="N453" s="44"/>
      <c r="O453" s="64"/>
      <c r="P453" s="64"/>
      <c r="Q453" s="56">
        <f>1-Q450-Q447-Q444</f>
        <v>0.9669144234632383</v>
      </c>
      <c r="R453" s="56"/>
      <c r="T453" s="105"/>
      <c r="U453" s="133"/>
      <c r="V453" s="133"/>
      <c r="W453" s="133"/>
      <c r="X453" s="133"/>
      <c r="Y453" s="133"/>
      <c r="Z453" s="134"/>
      <c r="AA453" s="6"/>
    </row>
    <row r="454" spans="1:27" x14ac:dyDescent="0.3">
      <c r="A454" s="10"/>
      <c r="B454" s="10"/>
      <c r="C454" s="10"/>
      <c r="D454" s="10"/>
      <c r="E454" s="10"/>
      <c r="F454" s="41"/>
      <c r="G454" s="64"/>
      <c r="H454" s="64"/>
      <c r="I454" s="64"/>
      <c r="J454" s="64"/>
      <c r="K454" s="64"/>
      <c r="L454" s="64"/>
      <c r="M454" s="65"/>
      <c r="N454" s="64"/>
      <c r="O454" s="64"/>
      <c r="P454" s="64"/>
      <c r="Q454" s="57">
        <f>c_clinic_fu+c_CSG</f>
        <v>14403</v>
      </c>
      <c r="R454" s="57"/>
      <c r="S454" s="129"/>
      <c r="T454" s="105"/>
      <c r="U454" s="133"/>
      <c r="V454" s="133"/>
      <c r="W454" s="133"/>
      <c r="X454" s="133"/>
      <c r="Y454" s="133"/>
      <c r="Z454" s="134"/>
      <c r="AA454" s="6"/>
    </row>
    <row r="455" spans="1:27" x14ac:dyDescent="0.3">
      <c r="A455" s="115"/>
      <c r="B455" s="115"/>
      <c r="C455" s="115"/>
      <c r="D455" s="115"/>
      <c r="E455" s="115"/>
      <c r="F455" s="111"/>
      <c r="G455" s="112"/>
      <c r="H455" s="112"/>
      <c r="I455" s="112"/>
      <c r="J455" s="112"/>
      <c r="K455" s="112"/>
      <c r="L455" s="112"/>
      <c r="M455" s="117"/>
      <c r="N455" s="112"/>
      <c r="O455" s="112"/>
      <c r="P455" s="112"/>
      <c r="Q455" s="117"/>
      <c r="R455" s="117"/>
      <c r="S455" s="131"/>
      <c r="T455" s="105"/>
      <c r="U455" s="133"/>
      <c r="V455" s="133"/>
      <c r="W455" s="133"/>
      <c r="X455" s="133"/>
      <c r="Y455" s="133"/>
      <c r="Z455" s="134"/>
      <c r="AA455" s="6"/>
    </row>
    <row r="456" spans="1:27" x14ac:dyDescent="0.3">
      <c r="A456" s="41"/>
      <c r="B456" s="41"/>
      <c r="C456" s="54" t="s">
        <v>3</v>
      </c>
      <c r="D456" s="54"/>
      <c r="E456" s="54"/>
      <c r="F456" s="54"/>
      <c r="G456" s="54"/>
      <c r="H456" s="54"/>
      <c r="I456" s="54"/>
      <c r="J456" s="54"/>
      <c r="K456" s="54"/>
      <c r="L456" s="54"/>
      <c r="M456" s="54"/>
      <c r="N456" s="54"/>
      <c r="O456" s="54"/>
      <c r="P456" s="54"/>
      <c r="Q456" s="54"/>
      <c r="R456" s="54"/>
      <c r="S456" s="129"/>
      <c r="T456" s="105"/>
      <c r="U456" s="133">
        <f>C457*A555</f>
        <v>2.6850306525037955E-3</v>
      </c>
      <c r="V456" s="133">
        <v>5.3341426403641888E-3</v>
      </c>
      <c r="W456" s="134">
        <f>C458+A556</f>
        <v>4092</v>
      </c>
      <c r="X456" s="133">
        <f>u_Death</f>
        <v>19.181538114427529</v>
      </c>
      <c r="Y456" s="133"/>
      <c r="Z456" s="134">
        <f>U456*W456</f>
        <v>10.987145430045532</v>
      </c>
      <c r="AA456" s="6">
        <f>U456*X456</f>
        <v>5.1503017799407767E-2</v>
      </c>
    </row>
    <row r="457" spans="1:27" x14ac:dyDescent="0.3">
      <c r="A457" s="41"/>
      <c r="B457" s="41"/>
      <c r="C457" s="56">
        <f>NoANC2SB_2</f>
        <v>3.1562974203338388E-2</v>
      </c>
      <c r="D457" s="41"/>
      <c r="E457" s="41"/>
      <c r="F457" s="41"/>
      <c r="G457" s="41"/>
      <c r="H457" s="41"/>
      <c r="I457" s="41"/>
      <c r="J457" s="41"/>
      <c r="K457" s="41"/>
      <c r="L457" s="41"/>
      <c r="M457" s="41"/>
      <c r="N457" s="41"/>
      <c r="O457" s="41"/>
      <c r="P457" s="41"/>
      <c r="Q457" s="41"/>
      <c r="T457" s="105"/>
      <c r="U457" s="133"/>
      <c r="V457" s="133"/>
      <c r="W457" s="133"/>
      <c r="X457" s="133"/>
      <c r="Y457" s="133"/>
      <c r="Z457" s="134"/>
      <c r="AA457" s="6"/>
    </row>
    <row r="458" spans="1:27" x14ac:dyDescent="0.3">
      <c r="A458" s="41"/>
      <c r="B458" s="41"/>
      <c r="C458" s="57">
        <f>c_SB</f>
        <v>1792</v>
      </c>
      <c r="D458" s="41"/>
      <c r="E458" s="41"/>
      <c r="F458" s="41"/>
      <c r="G458" s="41"/>
      <c r="H458" s="41"/>
      <c r="I458" s="41"/>
      <c r="J458" s="41"/>
      <c r="K458" s="41"/>
      <c r="L458" s="41"/>
      <c r="M458" s="41"/>
      <c r="N458" s="41"/>
      <c r="O458" s="41"/>
      <c r="P458" s="41"/>
      <c r="Q458" s="41"/>
      <c r="T458" s="105"/>
      <c r="U458" s="133"/>
      <c r="V458" s="133"/>
      <c r="W458" s="133"/>
      <c r="X458" s="133"/>
      <c r="Y458" s="133"/>
      <c r="Z458" s="134"/>
      <c r="AA458" s="6"/>
    </row>
    <row r="459" spans="1:27" s="41" customFormat="1" x14ac:dyDescent="0.3">
      <c r="C459" s="57">
        <f>c_SB</f>
        <v>1792</v>
      </c>
      <c r="S459" s="25"/>
      <c r="T459" s="105"/>
      <c r="U459" s="133"/>
      <c r="V459" s="133"/>
      <c r="W459" s="133"/>
      <c r="X459" s="133"/>
      <c r="Y459" s="133"/>
      <c r="Z459" s="134"/>
      <c r="AA459" s="6"/>
    </row>
    <row r="460" spans="1:27" x14ac:dyDescent="0.3">
      <c r="A460" s="41"/>
      <c r="B460" s="41"/>
      <c r="C460" s="41"/>
      <c r="D460" s="41"/>
      <c r="E460" s="41"/>
      <c r="F460" s="41"/>
      <c r="G460" s="64"/>
      <c r="H460" s="64"/>
      <c r="I460" s="64"/>
      <c r="J460" s="64"/>
      <c r="K460" s="54" t="s">
        <v>165</v>
      </c>
      <c r="L460" s="54"/>
      <c r="M460" s="54"/>
      <c r="N460" s="54"/>
      <c r="O460" s="54"/>
      <c r="P460" s="54"/>
      <c r="Q460" s="54"/>
      <c r="R460" s="54"/>
      <c r="S460" s="129"/>
      <c r="T460" s="105"/>
      <c r="U460" s="133">
        <f>$K$461*$I$469*$G$493*$E$531*$C$600*$A$555</f>
        <v>1.570436843990721E-4</v>
      </c>
      <c r="V460" s="133">
        <v>7.2182412917313988E-4</v>
      </c>
      <c r="W460" s="134">
        <f>$K$462+$I$470+$G$494+$E$532+$C$601+$A$556</f>
        <v>203321.6673081081</v>
      </c>
      <c r="X460" s="133">
        <f>u_Death</f>
        <v>19.181538114427529</v>
      </c>
      <c r="Y460" s="133"/>
      <c r="Z460" s="134">
        <f>U460*W460</f>
        <v>31.930383752227662</v>
      </c>
      <c r="AA460" s="6">
        <f>U460*X460</f>
        <v>3.0123394179309296E-3</v>
      </c>
    </row>
    <row r="461" spans="1:27" x14ac:dyDescent="0.3">
      <c r="A461" s="41"/>
      <c r="B461" s="41"/>
      <c r="C461" s="41"/>
      <c r="D461" s="41"/>
      <c r="E461" s="41"/>
      <c r="F461" s="41"/>
      <c r="G461" s="64"/>
      <c r="H461" s="64"/>
      <c r="I461" s="64"/>
      <c r="J461" s="64"/>
      <c r="K461" s="56">
        <f>SGA_prem_2d_2</f>
        <v>7.4819333333333335E-2</v>
      </c>
      <c r="L461" s="64"/>
      <c r="M461" s="64"/>
      <c r="N461" s="64"/>
      <c r="O461" s="64"/>
      <c r="P461" s="64"/>
      <c r="Q461" s="64"/>
      <c r="R461" s="64"/>
      <c r="S461" s="129"/>
      <c r="T461" s="105"/>
      <c r="U461" s="133"/>
      <c r="V461" s="133"/>
      <c r="W461" s="133"/>
      <c r="X461" s="133"/>
      <c r="Y461" s="133"/>
      <c r="Z461" s="134"/>
      <c r="AA461" s="6"/>
    </row>
    <row r="462" spans="1:27" x14ac:dyDescent="0.3">
      <c r="A462" s="41"/>
      <c r="B462" s="41"/>
      <c r="C462" s="41"/>
      <c r="D462" s="41"/>
      <c r="E462" s="41"/>
      <c r="F462" s="41"/>
      <c r="G462" s="64"/>
      <c r="H462" s="64"/>
      <c r="I462" s="64"/>
      <c r="J462" s="64"/>
      <c r="K462" s="57">
        <f>c_SB</f>
        <v>1792</v>
      </c>
      <c r="L462" s="64"/>
      <c r="M462" s="64"/>
      <c r="N462" s="64"/>
      <c r="O462" s="64"/>
      <c r="P462" s="64"/>
      <c r="Q462" s="64"/>
      <c r="R462" s="64"/>
      <c r="S462" s="129"/>
      <c r="T462" s="105"/>
      <c r="U462" s="133"/>
      <c r="V462" s="133"/>
      <c r="W462" s="133"/>
      <c r="X462" s="133"/>
      <c r="Y462" s="133"/>
      <c r="Z462" s="134"/>
      <c r="AA462" s="6"/>
    </row>
    <row r="463" spans="1:27" x14ac:dyDescent="0.3">
      <c r="A463" s="41"/>
      <c r="B463" s="41"/>
      <c r="C463" s="41"/>
      <c r="D463" s="41"/>
      <c r="E463" s="41"/>
      <c r="F463" s="41"/>
      <c r="G463" s="53"/>
      <c r="H463" s="53"/>
      <c r="I463" s="53"/>
      <c r="J463" s="53"/>
      <c r="K463" s="53"/>
      <c r="L463" s="53"/>
      <c r="M463" s="53"/>
      <c r="N463" s="53"/>
      <c r="O463" s="53"/>
      <c r="P463" s="53"/>
      <c r="Q463" s="53"/>
      <c r="R463" s="53"/>
      <c r="S463" s="129"/>
      <c r="T463" s="105"/>
      <c r="U463" s="133"/>
      <c r="V463" s="133"/>
      <c r="W463" s="133"/>
      <c r="X463" s="133"/>
      <c r="Y463" s="133"/>
      <c r="Z463" s="134"/>
      <c r="AA463" s="6"/>
    </row>
    <row r="464" spans="1:27" x14ac:dyDescent="0.3">
      <c r="A464" s="41"/>
      <c r="B464" s="41"/>
      <c r="C464" s="41"/>
      <c r="D464" s="41"/>
      <c r="E464" s="41"/>
      <c r="F464" s="41"/>
      <c r="G464" s="53"/>
      <c r="H464" s="53"/>
      <c r="I464" s="53"/>
      <c r="J464" s="53"/>
      <c r="K464" s="53"/>
      <c r="L464" s="53"/>
      <c r="M464" s="53"/>
      <c r="N464" s="53"/>
      <c r="O464" s="53"/>
      <c r="P464" s="53"/>
      <c r="Q464" s="54" t="s">
        <v>368</v>
      </c>
      <c r="R464" s="54"/>
      <c r="S464" s="129"/>
      <c r="T464" s="105"/>
      <c r="U464" s="133">
        <f>$K$480*$I$469*$G$493*$E$531*$C$600*$A$555*$M$475*$O$470*Q465</f>
        <v>6.4493184468863627E-5</v>
      </c>
      <c r="V464" s="133">
        <v>2.6118730470040626E-4</v>
      </c>
      <c r="W464" s="134">
        <f>$K$481+$I$470+$G$494+$E$532+$C$601+$A$556+$M$476+$O$471+Q466</f>
        <v>289591.0487587137</v>
      </c>
      <c r="X464" s="133">
        <f>u_ChronicResp</f>
        <v>0.53465956747782661</v>
      </c>
      <c r="Y464" s="133"/>
      <c r="Z464" s="134">
        <f>U464*W464</f>
        <v>18.676648928127403</v>
      </c>
      <c r="AA464" s="6">
        <f>U464*X464</f>
        <v>3.4481898113390309E-5</v>
      </c>
    </row>
    <row r="465" spans="1:27" x14ac:dyDescent="0.3">
      <c r="A465" s="41"/>
      <c r="B465" s="41"/>
      <c r="C465" s="41"/>
      <c r="D465" s="41"/>
      <c r="E465" s="41"/>
      <c r="F465" s="41"/>
      <c r="G465" s="53"/>
      <c r="H465" s="53"/>
      <c r="I465" s="53"/>
      <c r="J465" s="53"/>
      <c r="K465" s="53"/>
      <c r="L465" s="53"/>
      <c r="M465" s="53"/>
      <c r="N465" s="53"/>
      <c r="O465" s="64"/>
      <c r="P465" s="64"/>
      <c r="Q465" s="56">
        <f>RDS2CLD_2-(Hypo2CI_2*RDS2CLD_2)</f>
        <v>0.34246866666666664</v>
      </c>
      <c r="R465" s="56"/>
      <c r="S465" s="129"/>
      <c r="T465" s="105"/>
      <c r="U465" s="133"/>
      <c r="V465" s="133"/>
      <c r="W465" s="133"/>
      <c r="X465" s="133"/>
      <c r="Y465" s="133"/>
      <c r="Z465" s="134"/>
      <c r="AA465" s="6"/>
    </row>
    <row r="466" spans="1:27" x14ac:dyDescent="0.3">
      <c r="A466" s="41"/>
      <c r="B466" s="41"/>
      <c r="C466" s="41"/>
      <c r="D466" s="41"/>
      <c r="E466" s="41"/>
      <c r="F466" s="41"/>
      <c r="G466" s="53"/>
      <c r="H466" s="53"/>
      <c r="I466" s="53"/>
      <c r="J466" s="53"/>
      <c r="K466" s="53"/>
      <c r="L466" s="53"/>
      <c r="M466" s="53"/>
      <c r="N466" s="53"/>
      <c r="O466" s="64"/>
      <c r="P466" s="64"/>
      <c r="Q466" s="57">
        <f>c_lung+c_hosp_fu+c_CSG</f>
        <v>54529.510902399998</v>
      </c>
      <c r="R466" s="57"/>
      <c r="S466" s="129"/>
      <c r="T466" s="105"/>
      <c r="U466" s="133"/>
      <c r="V466" s="133"/>
      <c r="W466" s="133"/>
      <c r="X466" s="133"/>
      <c r="Y466" s="133"/>
      <c r="Z466" s="134"/>
      <c r="AA466" s="6"/>
    </row>
    <row r="467" spans="1:27" x14ac:dyDescent="0.3">
      <c r="A467" s="41"/>
      <c r="B467" s="41"/>
      <c r="C467" s="41"/>
      <c r="D467" s="41"/>
      <c r="E467" s="41"/>
      <c r="F467" s="41"/>
      <c r="G467" s="53"/>
      <c r="H467" s="53"/>
      <c r="I467" s="53"/>
      <c r="J467" s="53"/>
      <c r="K467" s="53"/>
      <c r="L467" s="53"/>
      <c r="M467" s="53"/>
      <c r="N467" s="53"/>
      <c r="O467" s="64"/>
      <c r="P467" s="64"/>
      <c r="Q467" s="54" t="s">
        <v>226</v>
      </c>
      <c r="R467" s="54"/>
      <c r="S467" s="129"/>
      <c r="T467" s="105"/>
      <c r="U467" s="133">
        <f>$K$480*$I$469*$G$493*$E$531*$C$600*$A$555*$M$475*$O$470*Q468</f>
        <v>6.1772233283074008E-6</v>
      </c>
      <c r="V467" s="133">
        <v>2.501678781937051E-5</v>
      </c>
      <c r="W467" s="134">
        <f>$K$481+$I$470+$G$494+$E$532+$C$601+$A$556+$M$476+$O$471+Q469</f>
        <v>250827.53785631372</v>
      </c>
      <c r="X467" s="133">
        <f>u_CongnitiveImpairement</f>
        <v>17.270393127285455</v>
      </c>
      <c r="Y467" s="133"/>
      <c r="Z467" s="134">
        <f>U467*W467</f>
        <v>1.5494177182279287</v>
      </c>
      <c r="AA467" s="6">
        <f>U467*X467</f>
        <v>1.0668307531490752E-4</v>
      </c>
    </row>
    <row r="468" spans="1:27" x14ac:dyDescent="0.3">
      <c r="A468" s="41"/>
      <c r="B468" s="41"/>
      <c r="C468" s="41"/>
      <c r="D468" s="41"/>
      <c r="E468" s="41"/>
      <c r="F468" s="41"/>
      <c r="G468" s="64"/>
      <c r="H468" s="64"/>
      <c r="I468" s="54" t="s">
        <v>164</v>
      </c>
      <c r="J468" s="64"/>
      <c r="K468" s="64"/>
      <c r="L468" s="64"/>
      <c r="M468" s="64"/>
      <c r="N468" s="64"/>
      <c r="O468" s="64"/>
      <c r="P468" s="64"/>
      <c r="Q468" s="56">
        <f>Hypo2CI_2-(Hypo2CI_2*RDS2CLD_2)</f>
        <v>3.2801999999999998E-2</v>
      </c>
      <c r="R468" s="56"/>
      <c r="S468" s="129"/>
      <c r="T468" s="105"/>
      <c r="U468" s="133"/>
      <c r="V468" s="133"/>
      <c r="W468" s="133"/>
      <c r="X468" s="133"/>
      <c r="Y468" s="133"/>
      <c r="Z468" s="134"/>
      <c r="AA468" s="6"/>
    </row>
    <row r="469" spans="1:27" x14ac:dyDescent="0.3">
      <c r="A469" s="41"/>
      <c r="B469" s="41"/>
      <c r="C469" s="41"/>
      <c r="D469" s="41"/>
      <c r="E469" s="41"/>
      <c r="F469" s="41"/>
      <c r="G469" s="64"/>
      <c r="H469" s="64"/>
      <c r="I469" s="56">
        <f>LBW_prem_2SGA_2</f>
        <v>0.39968592964824123</v>
      </c>
      <c r="J469" s="64"/>
      <c r="K469" s="64"/>
      <c r="L469" s="64"/>
      <c r="M469" s="64"/>
      <c r="N469" s="64"/>
      <c r="O469" s="54" t="s">
        <v>161</v>
      </c>
      <c r="P469" s="64"/>
      <c r="Q469" s="57">
        <f>c_cog+c_hosp_fu+c_CSG</f>
        <v>15766</v>
      </c>
      <c r="R469" s="57"/>
      <c r="S469" s="129"/>
      <c r="T469" s="105"/>
      <c r="U469" s="133"/>
      <c r="V469" s="133"/>
      <c r="W469" s="133"/>
      <c r="X469" s="133"/>
      <c r="Y469" s="133"/>
      <c r="Z469" s="134"/>
      <c r="AA469" s="6"/>
    </row>
    <row r="470" spans="1:27" x14ac:dyDescent="0.3">
      <c r="A470" s="41"/>
      <c r="B470" s="41"/>
      <c r="C470" s="41"/>
      <c r="D470" s="41"/>
      <c r="E470" s="41"/>
      <c r="F470" s="41"/>
      <c r="G470" s="64"/>
      <c r="H470" s="64"/>
      <c r="I470" s="57"/>
      <c r="J470" s="64"/>
      <c r="K470" s="64"/>
      <c r="L470" s="64"/>
      <c r="M470" s="64"/>
      <c r="N470" s="64"/>
      <c r="O470" s="56">
        <f>SGA_prem_2hypoglycaemia_2</f>
        <v>0.2155</v>
      </c>
      <c r="P470" s="64"/>
      <c r="Q470" s="54" t="s">
        <v>369</v>
      </c>
      <c r="R470" s="54"/>
      <c r="S470" s="129"/>
      <c r="T470" s="105"/>
      <c r="U470" s="133">
        <f>$K$480*$I$469*$G$493*$E$531*$C$600*$A$555*$M$475*$O$470*Q471</f>
        <v>3.4897928349279687E-6</v>
      </c>
      <c r="V470" s="133">
        <v>1.4133114871350164E-5</v>
      </c>
      <c r="W470" s="134">
        <f>$K$481+$I$470+$G$494+$E$532+$C$601+$A$556+$M$476+$O$471+Q472</f>
        <v>293410.0487587137</v>
      </c>
      <c r="X470" s="133">
        <f>u_ChronicResp+u_CongnitiveImpairement</f>
        <v>17.805052694763283</v>
      </c>
      <c r="Y470" s="133"/>
      <c r="Z470" s="134">
        <f>U470*W470</f>
        <v>1.023940285854025</v>
      </c>
      <c r="AA470" s="6">
        <f>U470*X470</f>
        <v>6.2135945319699825E-5</v>
      </c>
    </row>
    <row r="471" spans="1:27" x14ac:dyDescent="0.3">
      <c r="A471" s="41"/>
      <c r="B471" s="41"/>
      <c r="C471" s="41"/>
      <c r="D471" s="41"/>
      <c r="E471" s="41"/>
      <c r="F471" s="41"/>
      <c r="G471" s="64"/>
      <c r="H471" s="64"/>
      <c r="I471" s="64"/>
      <c r="J471" s="64"/>
      <c r="K471" s="64"/>
      <c r="L471" s="64"/>
      <c r="M471" s="64"/>
      <c r="N471" s="64"/>
      <c r="O471" s="57">
        <f>c_hypo</f>
        <v>2936.2604000000001</v>
      </c>
      <c r="P471" s="64"/>
      <c r="Q471" s="56">
        <f>Hypo2CI_2*RDS2CLD_2</f>
        <v>1.8531333333333334E-2</v>
      </c>
      <c r="R471" s="56"/>
      <c r="S471" s="129"/>
      <c r="T471" s="105"/>
      <c r="U471" s="133"/>
      <c r="V471" s="133"/>
      <c r="W471" s="133"/>
      <c r="X471" s="133"/>
      <c r="Y471" s="133"/>
      <c r="Z471" s="134"/>
      <c r="AA471" s="6"/>
    </row>
    <row r="472" spans="1:27" x14ac:dyDescent="0.3">
      <c r="A472" s="41"/>
      <c r="B472" s="41"/>
      <c r="C472" s="41"/>
      <c r="D472" s="41"/>
      <c r="E472" s="41"/>
      <c r="F472" s="41"/>
      <c r="G472" s="64"/>
      <c r="H472" s="64"/>
      <c r="I472" s="64"/>
      <c r="J472" s="64"/>
      <c r="K472" s="64"/>
      <c r="L472" s="64"/>
      <c r="M472" s="65"/>
      <c r="N472" s="64"/>
      <c r="O472" s="53"/>
      <c r="P472" s="64"/>
      <c r="Q472" s="57">
        <f>c_lung+c_cog+c_hosp_fu+c_CSG</f>
        <v>58348.510902399998</v>
      </c>
      <c r="R472" s="57"/>
      <c r="S472" s="129"/>
      <c r="T472" s="105"/>
      <c r="U472" s="133"/>
      <c r="V472" s="133"/>
      <c r="W472" s="133"/>
      <c r="X472" s="133"/>
      <c r="Y472" s="133"/>
      <c r="Z472" s="134"/>
      <c r="AA472" s="6"/>
    </row>
    <row r="473" spans="1:27" x14ac:dyDescent="0.3">
      <c r="A473" s="41"/>
      <c r="B473" s="41"/>
      <c r="C473" s="41"/>
      <c r="D473" s="41"/>
      <c r="E473" s="41"/>
      <c r="F473" s="41"/>
      <c r="G473" s="64"/>
      <c r="H473" s="64"/>
      <c r="I473" s="64"/>
      <c r="J473" s="64"/>
      <c r="K473" s="64"/>
      <c r="L473" s="64"/>
      <c r="M473" s="64"/>
      <c r="N473" s="64"/>
      <c r="O473" s="64"/>
      <c r="P473" s="64"/>
      <c r="Q473" s="54" t="s">
        <v>370</v>
      </c>
      <c r="R473" s="54"/>
      <c r="S473" s="129"/>
      <c r="T473" s="105"/>
      <c r="U473" s="133">
        <f>$K$480*$I$469*$G$493*$E$531*$C$600*$A$555*$M$475*$O$470*Q474</f>
        <v>1.1415829605430431E-4</v>
      </c>
      <c r="V473" s="133">
        <v>4.623232346358992E-4</v>
      </c>
      <c r="W473" s="134">
        <f>$K$481+$I$470+$G$494+$E$532+$C$601+$A$556+$M$476+$O$471+Q475</f>
        <v>249464.53785631372</v>
      </c>
      <c r="X473" s="133">
        <f>u_Healthy</f>
        <v>0</v>
      </c>
      <c r="Y473" s="133"/>
      <c r="Z473" s="134">
        <f>U473*W473</f>
        <v>28.478446567651268</v>
      </c>
      <c r="AA473" s="6">
        <f>U473*X473</f>
        <v>0</v>
      </c>
    </row>
    <row r="474" spans="1:27" x14ac:dyDescent="0.3">
      <c r="A474" s="41"/>
      <c r="B474" s="41"/>
      <c r="C474" s="41"/>
      <c r="D474" s="41"/>
      <c r="E474" s="41"/>
      <c r="F474" s="41"/>
      <c r="G474" s="64"/>
      <c r="H474" s="64"/>
      <c r="I474" s="64"/>
      <c r="J474" s="64"/>
      <c r="K474" s="64"/>
      <c r="L474" s="64"/>
      <c r="M474" s="54" t="s">
        <v>9</v>
      </c>
      <c r="N474" s="64"/>
      <c r="O474" s="64"/>
      <c r="P474" s="64"/>
      <c r="Q474" s="56">
        <f>1-Q465-Q468-Q471</f>
        <v>0.60619800000000001</v>
      </c>
      <c r="R474" s="56"/>
      <c r="S474" s="129"/>
      <c r="T474" s="105"/>
      <c r="U474" s="133"/>
      <c r="V474" s="133"/>
      <c r="W474" s="133"/>
      <c r="X474" s="133"/>
      <c r="Y474" s="133"/>
      <c r="Z474" s="134"/>
      <c r="AA474" s="6"/>
    </row>
    <row r="475" spans="1:27" x14ac:dyDescent="0.3">
      <c r="A475" s="41"/>
      <c r="B475" s="41"/>
      <c r="C475" s="41"/>
      <c r="D475" s="41"/>
      <c r="E475" s="41"/>
      <c r="F475" s="41"/>
      <c r="G475" s="64"/>
      <c r="H475" s="64"/>
      <c r="I475" s="64"/>
      <c r="J475" s="64"/>
      <c r="K475" s="65"/>
      <c r="L475" s="64"/>
      <c r="M475" s="56">
        <f>S_prem_2RDS_2</f>
        <v>0.45</v>
      </c>
      <c r="N475" s="64"/>
      <c r="O475" s="64"/>
      <c r="P475" s="64"/>
      <c r="Q475" s="57">
        <f>c_clinic_fu+c_CSG</f>
        <v>14403</v>
      </c>
      <c r="R475" s="57"/>
      <c r="S475" s="129"/>
      <c r="T475" s="105"/>
      <c r="U475" s="133"/>
      <c r="V475" s="133"/>
      <c r="W475" s="133"/>
      <c r="X475" s="133"/>
      <c r="Y475" s="133"/>
      <c r="Z475" s="134"/>
      <c r="AA475" s="6"/>
    </row>
    <row r="476" spans="1:27" x14ac:dyDescent="0.3">
      <c r="A476" s="41"/>
      <c r="B476" s="41"/>
      <c r="C476" s="41"/>
      <c r="D476" s="41"/>
      <c r="E476" s="41"/>
      <c r="F476" s="41"/>
      <c r="G476" s="64"/>
      <c r="H476" s="64"/>
      <c r="I476" s="64"/>
      <c r="J476" s="64"/>
      <c r="K476" s="65"/>
      <c r="L476" s="64"/>
      <c r="M476" s="57">
        <f>c_RDS</f>
        <v>30595.610148205637</v>
      </c>
      <c r="N476" s="64"/>
      <c r="O476" s="64"/>
      <c r="P476" s="64"/>
      <c r="Q476" s="65"/>
      <c r="R476" s="65"/>
      <c r="S476" s="129"/>
      <c r="T476" s="105"/>
      <c r="U476" s="133"/>
      <c r="V476" s="133"/>
      <c r="W476" s="133"/>
      <c r="X476" s="133"/>
      <c r="Y476" s="133"/>
      <c r="Z476" s="134"/>
      <c r="AA476" s="6"/>
    </row>
    <row r="477" spans="1:27" x14ac:dyDescent="0.3">
      <c r="A477" s="41"/>
      <c r="B477" s="41"/>
      <c r="C477" s="41"/>
      <c r="D477" s="41"/>
      <c r="E477" s="41"/>
      <c r="F477" s="41"/>
      <c r="G477" s="64"/>
      <c r="H477" s="64"/>
      <c r="I477" s="64"/>
      <c r="J477" s="64"/>
      <c r="K477" s="64"/>
      <c r="L477" s="64"/>
      <c r="M477" s="64"/>
      <c r="N477" s="64"/>
      <c r="O477" s="64"/>
      <c r="P477" s="64"/>
      <c r="Q477" s="54" t="s">
        <v>368</v>
      </c>
      <c r="R477" s="54"/>
      <c r="S477" s="129"/>
      <c r="T477" s="105"/>
      <c r="U477" s="133">
        <f>$K$480*$I$469*$G$493*$E$531*$C$600*$A$555*$M$475*$O$480*Q478</f>
        <v>2.392951478597698E-4</v>
      </c>
      <c r="V477" s="133">
        <v>9.6910790205363435E-4</v>
      </c>
      <c r="W477" s="134">
        <f>$K$481+$I$470+$G$494+$E$532+$C$601+$A$556+$M$476+$O$481+Q479</f>
        <v>286654.78835871373</v>
      </c>
      <c r="X477" s="133">
        <f>u_ChronicResp</f>
        <v>0.53465956747782661</v>
      </c>
      <c r="Y477" s="133"/>
      <c r="Z477" s="134">
        <f>U477*W477</f>
        <v>68.595099965009425</v>
      </c>
      <c r="AA477" s="6">
        <f>U477*X477</f>
        <v>1.2794144025424708E-4</v>
      </c>
    </row>
    <row r="478" spans="1:27" x14ac:dyDescent="0.3">
      <c r="A478" s="41"/>
      <c r="B478" s="41"/>
      <c r="C478" s="41"/>
      <c r="D478" s="41"/>
      <c r="E478" s="41"/>
      <c r="F478" s="41"/>
      <c r="G478" s="64"/>
      <c r="H478" s="64"/>
      <c r="I478" s="64"/>
      <c r="J478" s="64"/>
      <c r="K478" s="64"/>
      <c r="L478" s="64"/>
      <c r="M478" s="64"/>
      <c r="N478" s="64"/>
      <c r="O478" s="64"/>
      <c r="P478" s="64"/>
      <c r="Q478" s="56">
        <f>RDS2CLD_2-(RDS2CLD_2*noHypo2CI_2)</f>
        <v>0.34905610687022898</v>
      </c>
      <c r="R478" s="56"/>
      <c r="S478" s="129"/>
      <c r="T478" s="105"/>
      <c r="U478" s="133"/>
      <c r="V478" s="133"/>
      <c r="W478" s="133"/>
      <c r="X478" s="133"/>
      <c r="Y478" s="133"/>
      <c r="Z478" s="134"/>
      <c r="AA478" s="6"/>
    </row>
    <row r="479" spans="1:27" x14ac:dyDescent="0.3">
      <c r="A479" s="41"/>
      <c r="B479" s="41"/>
      <c r="C479" s="41"/>
      <c r="D479" s="41"/>
      <c r="E479" s="41"/>
      <c r="F479" s="41"/>
      <c r="G479" s="64"/>
      <c r="H479" s="64"/>
      <c r="I479" s="64"/>
      <c r="J479" s="64"/>
      <c r="K479" s="54" t="s">
        <v>37</v>
      </c>
      <c r="L479" s="64"/>
      <c r="M479" s="65"/>
      <c r="N479" s="64"/>
      <c r="O479" s="54" t="s">
        <v>371</v>
      </c>
      <c r="P479" s="64"/>
      <c r="Q479" s="57">
        <f>c_lung+c_hosp_fu+c_CSG</f>
        <v>54529.510902399998</v>
      </c>
      <c r="R479" s="57"/>
      <c r="S479" s="129"/>
      <c r="T479" s="105"/>
      <c r="U479" s="133"/>
      <c r="V479" s="133"/>
      <c r="W479" s="133"/>
      <c r="X479" s="133"/>
      <c r="Y479" s="133"/>
      <c r="Z479" s="134"/>
      <c r="AA479" s="6"/>
    </row>
    <row r="480" spans="1:27" x14ac:dyDescent="0.3">
      <c r="A480" s="41"/>
      <c r="B480" s="41"/>
      <c r="C480" s="41"/>
      <c r="D480" s="41"/>
      <c r="E480" s="41"/>
      <c r="F480" s="41"/>
      <c r="G480" s="64"/>
      <c r="H480" s="64"/>
      <c r="I480" s="64"/>
      <c r="J480" s="64"/>
      <c r="K480" s="56">
        <f>SGA_prem_2s_2</f>
        <v>0.92518066666666665</v>
      </c>
      <c r="L480" s="64"/>
      <c r="M480" s="64"/>
      <c r="N480" s="64"/>
      <c r="O480" s="56">
        <f>SGA_prem_2normoglycaemia_2</f>
        <v>0.78449999999999998</v>
      </c>
      <c r="P480" s="64"/>
      <c r="Q480" s="54" t="s">
        <v>226</v>
      </c>
      <c r="R480" s="54"/>
      <c r="S480" s="129"/>
      <c r="T480" s="105"/>
      <c r="U480" s="133">
        <f>$K$480*$I$469*$G$493*$E$531*$C$600*$A$555*$M$475*$O$480*Q481</f>
        <v>1.4493664936110554E-5</v>
      </c>
      <c r="V480" s="133">
        <v>5.8697074909072222E-5</v>
      </c>
      <c r="W480" s="134">
        <f>$K$481+$I$470+$G$494+$E$532+$C$601+$A$556+$M$476+$O$481+Q482</f>
        <v>247891.27745631372</v>
      </c>
      <c r="X480" s="133">
        <f>u_CongnitiveImpairement</f>
        <v>17.270393127285455</v>
      </c>
      <c r="Y480" s="133"/>
      <c r="Z480" s="134">
        <f>U480*W480</f>
        <v>3.5928531160362267</v>
      </c>
      <c r="AA480" s="6">
        <f>U480*X480</f>
        <v>2.5031129130178187E-4</v>
      </c>
    </row>
    <row r="481" spans="1:27" x14ac:dyDescent="0.3">
      <c r="A481" s="41"/>
      <c r="B481" s="41"/>
      <c r="C481" s="41"/>
      <c r="D481" s="41"/>
      <c r="E481" s="41"/>
      <c r="F481" s="41"/>
      <c r="G481" s="41"/>
      <c r="H481" s="64"/>
      <c r="I481" s="64"/>
      <c r="J481" s="64"/>
      <c r="K481" s="57"/>
      <c r="L481" s="64"/>
      <c r="M481" s="64"/>
      <c r="N481" s="64"/>
      <c r="O481" s="57"/>
      <c r="P481" s="64"/>
      <c r="Q481" s="56">
        <f>noHypo2CI_2-(RDS2CLD_2*noHypo2CI_2)</f>
        <v>2.1141683406990762E-2</v>
      </c>
      <c r="R481" s="56"/>
      <c r="S481" s="129"/>
      <c r="T481" s="105"/>
      <c r="U481" s="133"/>
      <c r="V481" s="133"/>
      <c r="W481" s="133"/>
      <c r="X481" s="133"/>
      <c r="Y481" s="133"/>
      <c r="Z481" s="134"/>
      <c r="AA481" s="6"/>
    </row>
    <row r="482" spans="1:27" x14ac:dyDescent="0.3">
      <c r="A482" s="41"/>
      <c r="B482" s="41"/>
      <c r="C482" s="41"/>
      <c r="D482" s="41"/>
      <c r="E482" s="41"/>
      <c r="F482" s="41"/>
      <c r="G482" s="41"/>
      <c r="H482" s="64"/>
      <c r="I482" s="64"/>
      <c r="J482" s="64"/>
      <c r="K482" s="64"/>
      <c r="L482" s="64"/>
      <c r="M482" s="64"/>
      <c r="N482" s="64"/>
      <c r="O482" s="53"/>
      <c r="P482" s="64"/>
      <c r="Q482" s="57">
        <f>c_cog+c_hosp_fu+c_CSG</f>
        <v>15766</v>
      </c>
      <c r="R482" s="57"/>
      <c r="S482" s="129"/>
      <c r="T482" s="105"/>
      <c r="U482" s="133"/>
      <c r="V482" s="133"/>
      <c r="W482" s="133"/>
      <c r="X482" s="133"/>
      <c r="Y482" s="133"/>
      <c r="Z482" s="134"/>
      <c r="AA482" s="6"/>
    </row>
    <row r="483" spans="1:27" x14ac:dyDescent="0.3">
      <c r="A483" s="41"/>
      <c r="B483" s="41"/>
      <c r="C483" s="41"/>
      <c r="D483" s="41"/>
      <c r="E483" s="41"/>
      <c r="F483" s="41"/>
      <c r="G483" s="41"/>
      <c r="H483" s="64"/>
      <c r="I483" s="64"/>
      <c r="J483" s="64"/>
      <c r="K483" s="64"/>
      <c r="L483" s="64"/>
      <c r="M483" s="64"/>
      <c r="N483" s="64"/>
      <c r="O483" s="53"/>
      <c r="P483" s="64"/>
      <c r="Q483" s="54" t="s">
        <v>369</v>
      </c>
      <c r="R483" s="54"/>
      <c r="S483" s="129"/>
      <c r="T483" s="105"/>
      <c r="U483" s="133">
        <f>$K$480*$I$469*$G$493*$E$531*$C$600*$A$555*$M$475*$O$480*Q484</f>
        <v>8.1881268261907799E-6</v>
      </c>
      <c r="V483" s="133">
        <v>3.3160632303873344E-5</v>
      </c>
      <c r="W483" s="134">
        <f>$K$481+$I$470+$G$494+$E$532+$C$601+$A$556+$M$476+$O$481+Q485</f>
        <v>290473.78835871373</v>
      </c>
      <c r="X483" s="133">
        <f>u_ChronicResp+u_CongnitiveImpairement</f>
        <v>17.805052694763283</v>
      </c>
      <c r="Y483" s="133"/>
      <c r="Z483" s="134">
        <f>U483*W483</f>
        <v>2.378436218765247</v>
      </c>
      <c r="AA483" s="6">
        <f>U483*X483</f>
        <v>1.4579002961173168E-4</v>
      </c>
    </row>
    <row r="484" spans="1:27" x14ac:dyDescent="0.3">
      <c r="A484" s="41"/>
      <c r="B484" s="41"/>
      <c r="C484" s="41"/>
      <c r="D484" s="41"/>
      <c r="E484" s="41"/>
      <c r="F484" s="41"/>
      <c r="G484" s="65"/>
      <c r="H484" s="64"/>
      <c r="I484" s="64"/>
      <c r="J484" s="64"/>
      <c r="K484" s="64"/>
      <c r="L484" s="64"/>
      <c r="M484" s="64"/>
      <c r="N484" s="64"/>
      <c r="O484" s="53"/>
      <c r="P484" s="64"/>
      <c r="Q484" s="56">
        <f>RDS2CLD_2*noHypo2CI_2</f>
        <v>1.1943893129770991E-2</v>
      </c>
      <c r="R484" s="56"/>
      <c r="S484" s="129"/>
      <c r="T484" s="105"/>
      <c r="U484" s="133"/>
      <c r="V484" s="133"/>
      <c r="W484" s="133"/>
      <c r="X484" s="133"/>
      <c r="Y484" s="133"/>
      <c r="Z484" s="134"/>
      <c r="AA484" s="6"/>
    </row>
    <row r="485" spans="1:27" x14ac:dyDescent="0.3">
      <c r="A485" s="41"/>
      <c r="B485" s="41"/>
      <c r="C485" s="41"/>
      <c r="D485" s="41"/>
      <c r="E485" s="41"/>
      <c r="F485" s="41"/>
      <c r="G485" s="65"/>
      <c r="H485" s="64"/>
      <c r="I485" s="64"/>
      <c r="J485" s="64"/>
      <c r="K485" s="64"/>
      <c r="L485" s="64"/>
      <c r="M485" s="64"/>
      <c r="N485" s="64"/>
      <c r="O485" s="53"/>
      <c r="P485" s="64"/>
      <c r="Q485" s="57">
        <f>c_cog+c_lung+c_hosp_fu+c_CSG</f>
        <v>58348.510902399998</v>
      </c>
      <c r="R485" s="57"/>
      <c r="S485" s="129"/>
      <c r="T485" s="105"/>
      <c r="U485" s="133"/>
      <c r="V485" s="133"/>
      <c r="W485" s="133"/>
      <c r="X485" s="133"/>
      <c r="Y485" s="133"/>
      <c r="Z485" s="134"/>
      <c r="AA485" s="6"/>
    </row>
    <row r="486" spans="1:27" x14ac:dyDescent="0.3">
      <c r="A486" s="41"/>
      <c r="B486" s="41"/>
      <c r="C486" s="41"/>
      <c r="D486" s="41"/>
      <c r="E486" s="41"/>
      <c r="F486" s="41"/>
      <c r="G486" s="64"/>
      <c r="H486" s="64"/>
      <c r="I486" s="64"/>
      <c r="J486" s="64"/>
      <c r="K486" s="64"/>
      <c r="L486" s="64"/>
      <c r="M486" s="64"/>
      <c r="N486" s="64"/>
      <c r="O486" s="53"/>
      <c r="P486" s="64"/>
      <c r="Q486" s="54" t="s">
        <v>370</v>
      </c>
      <c r="R486" s="54"/>
      <c r="S486" s="129"/>
      <c r="T486" s="105"/>
      <c r="U486" s="133">
        <f>$K$480*$I$469*$G$493*$E$531*$C$600*$A$555*$M$475*$O$480*Q487</f>
        <v>4.2357229773516052E-4</v>
      </c>
      <c r="V486" s="133">
        <v>1.7154015219176524E-3</v>
      </c>
      <c r="W486" s="134">
        <f>$K$481+$I$470+$G$494+$E$532+$C$601+$A$556+$M$476+$O$481+Q488</f>
        <v>246528.27745631372</v>
      </c>
      <c r="X486" s="133">
        <f>u_Healthy</f>
        <v>0</v>
      </c>
      <c r="Y486" s="133"/>
      <c r="Z486" s="134">
        <f>U486*W486</f>
        <v>104.42254893886198</v>
      </c>
      <c r="AA486" s="6">
        <f>U486*X486</f>
        <v>0</v>
      </c>
    </row>
    <row r="487" spans="1:27" x14ac:dyDescent="0.3">
      <c r="A487" s="41"/>
      <c r="B487" s="41"/>
      <c r="C487" s="41"/>
      <c r="D487" s="41"/>
      <c r="E487" s="41"/>
      <c r="F487" s="41"/>
      <c r="G487" s="64"/>
      <c r="H487" s="64"/>
      <c r="I487" s="64"/>
      <c r="J487" s="64"/>
      <c r="K487" s="64"/>
      <c r="L487" s="64"/>
      <c r="M487" s="64"/>
      <c r="N487" s="64"/>
      <c r="O487" s="53"/>
      <c r="P487" s="64"/>
      <c r="Q487" s="56">
        <f>1-Q484-Q481-Q478</f>
        <v>0.61785831659300938</v>
      </c>
      <c r="R487" s="56"/>
      <c r="T487" s="105"/>
      <c r="U487" s="133"/>
      <c r="V487" s="133"/>
      <c r="W487" s="133"/>
      <c r="X487" s="133"/>
      <c r="Y487" s="133"/>
      <c r="Z487" s="134"/>
      <c r="AA487" s="6"/>
    </row>
    <row r="488" spans="1:27" x14ac:dyDescent="0.3">
      <c r="A488" s="41"/>
      <c r="B488" s="41"/>
      <c r="C488" s="41"/>
      <c r="D488" s="41"/>
      <c r="E488" s="41"/>
      <c r="F488" s="41"/>
      <c r="G488" s="64"/>
      <c r="H488" s="64"/>
      <c r="I488" s="64"/>
      <c r="J488" s="64"/>
      <c r="K488" s="64"/>
      <c r="L488" s="64"/>
      <c r="M488" s="64"/>
      <c r="N488" s="64"/>
      <c r="O488" s="64"/>
      <c r="P488" s="64"/>
      <c r="Q488" s="57">
        <f>c_clinic_fu+c_CSG</f>
        <v>14403</v>
      </c>
      <c r="R488" s="57"/>
      <c r="S488" s="129"/>
      <c r="T488" s="105"/>
      <c r="U488" s="133"/>
      <c r="V488" s="133"/>
      <c r="W488" s="133"/>
      <c r="X488" s="133"/>
      <c r="Y488" s="133"/>
      <c r="Z488" s="134"/>
      <c r="AA488" s="6"/>
    </row>
    <row r="489" spans="1:27" x14ac:dyDescent="0.3">
      <c r="A489" s="41"/>
      <c r="B489" s="41"/>
      <c r="C489" s="41"/>
      <c r="D489" s="41"/>
      <c r="E489" s="41"/>
      <c r="F489" s="41"/>
      <c r="G489" s="64"/>
      <c r="H489" s="64"/>
      <c r="I489" s="64"/>
      <c r="J489" s="64"/>
      <c r="K489" s="64"/>
      <c r="L489" s="64"/>
      <c r="M489" s="64"/>
      <c r="N489" s="64"/>
      <c r="O489" s="64"/>
      <c r="P489" s="64"/>
      <c r="Q489" s="65"/>
      <c r="R489" s="65"/>
      <c r="S489" s="129"/>
      <c r="T489" s="105"/>
      <c r="U489" s="133"/>
      <c r="V489" s="133"/>
      <c r="W489" s="133"/>
      <c r="X489" s="133"/>
      <c r="Y489" s="133"/>
      <c r="Z489" s="134"/>
      <c r="AA489" s="6"/>
    </row>
    <row r="490" spans="1:27" x14ac:dyDescent="0.3">
      <c r="A490" s="41"/>
      <c r="B490" s="41"/>
      <c r="C490" s="41"/>
      <c r="D490" s="41"/>
      <c r="E490" s="41"/>
      <c r="F490" s="41"/>
      <c r="G490" s="64"/>
      <c r="H490" s="64"/>
      <c r="I490" s="64"/>
      <c r="J490" s="64"/>
      <c r="K490" s="64"/>
      <c r="L490" s="64"/>
      <c r="M490" s="64"/>
      <c r="N490" s="64"/>
      <c r="O490" s="64"/>
      <c r="P490" s="64"/>
      <c r="Q490" s="54" t="s">
        <v>368</v>
      </c>
      <c r="R490" s="54"/>
      <c r="S490" s="129"/>
      <c r="T490" s="105"/>
      <c r="U490" s="133">
        <f>$K$480*$I$469*$G$493*$E$531*$C$600*$A$555*$M$495*$O$493*Q491</f>
        <v>7.8825003239722216E-5</v>
      </c>
      <c r="V490" s="133">
        <v>3.1922892796716319E-4</v>
      </c>
      <c r="W490" s="134">
        <f>$K$481+$I$470+$G$494+$E$532+$C$601+$A$556+$M$496+$O$494+Q492</f>
        <v>258995.43861050811</v>
      </c>
      <c r="X490" s="133">
        <f>u_ChronicResp</f>
        <v>0.53465956747782661</v>
      </c>
      <c r="Y490" s="133"/>
      <c r="Z490" s="134">
        <f>U490*W490</f>
        <v>20.415316287546577</v>
      </c>
      <c r="AA490" s="6">
        <f>U490*X490</f>
        <v>4.2144542138588161E-5</v>
      </c>
    </row>
    <row r="491" spans="1:27" x14ac:dyDescent="0.3">
      <c r="A491" s="41"/>
      <c r="B491" s="41"/>
      <c r="C491" s="41"/>
      <c r="D491" s="41"/>
      <c r="E491" s="41"/>
      <c r="F491" s="41"/>
      <c r="G491" s="64"/>
      <c r="H491" s="64"/>
      <c r="I491" s="64"/>
      <c r="J491" s="64"/>
      <c r="K491" s="64"/>
      <c r="L491" s="64"/>
      <c r="M491" s="64"/>
      <c r="N491" s="64"/>
      <c r="O491" s="64"/>
      <c r="P491" s="64"/>
      <c r="Q491" s="56">
        <f>RDS2CLD_2-(Hypo2CI_2*RDS2CLD_2)</f>
        <v>0.34246866666666664</v>
      </c>
      <c r="R491" s="56"/>
      <c r="S491" s="129"/>
      <c r="T491" s="105"/>
      <c r="U491" s="133"/>
      <c r="V491" s="133"/>
      <c r="W491" s="133"/>
      <c r="X491" s="133"/>
      <c r="Y491" s="133"/>
      <c r="Z491" s="134"/>
      <c r="AA491" s="6"/>
    </row>
    <row r="492" spans="1:27" x14ac:dyDescent="0.3">
      <c r="A492" s="41"/>
      <c r="B492" s="41"/>
      <c r="C492" s="41"/>
      <c r="D492" s="41"/>
      <c r="E492" s="41"/>
      <c r="F492" s="41"/>
      <c r="G492" s="54" t="s">
        <v>8</v>
      </c>
      <c r="H492" s="64"/>
      <c r="I492" s="64"/>
      <c r="J492" s="64"/>
      <c r="K492" s="64"/>
      <c r="L492" s="64"/>
      <c r="M492" s="64"/>
      <c r="N492" s="64"/>
      <c r="O492" s="54" t="s">
        <v>161</v>
      </c>
      <c r="P492" s="64"/>
      <c r="Q492" s="57">
        <f>c_lung+c_hosp_fu+c_CSG</f>
        <v>54529.510902399998</v>
      </c>
      <c r="R492" s="57"/>
      <c r="S492" s="129"/>
      <c r="T492" s="105"/>
      <c r="U492" s="133"/>
      <c r="V492" s="133"/>
      <c r="W492" s="133"/>
      <c r="X492" s="133"/>
      <c r="Y492" s="133"/>
      <c r="Z492" s="134"/>
      <c r="AA492" s="6"/>
    </row>
    <row r="493" spans="1:27" x14ac:dyDescent="0.3">
      <c r="A493" s="41"/>
      <c r="B493" s="41"/>
      <c r="C493" s="41"/>
      <c r="D493" s="41"/>
      <c r="E493" s="41"/>
      <c r="F493" s="41"/>
      <c r="G493" s="56">
        <f>Prem2LBW_2</f>
        <v>0.48376271186440678</v>
      </c>
      <c r="H493" s="64"/>
      <c r="I493" s="64"/>
      <c r="J493" s="64"/>
      <c r="K493" s="64"/>
      <c r="L493" s="64"/>
      <c r="M493" s="64"/>
      <c r="N493" s="64"/>
      <c r="O493" s="56">
        <f>SGA_prem_2hypoglycaemia_2</f>
        <v>0.2155</v>
      </c>
      <c r="P493" s="64"/>
      <c r="Q493" s="54" t="s">
        <v>226</v>
      </c>
      <c r="R493" s="54"/>
      <c r="S493" s="129"/>
      <c r="T493" s="105"/>
      <c r="U493" s="133">
        <f>$K$480*$I$469*$G$493*$E$531*$C$600*$A$555*$M$495*$O$493*Q494</f>
        <v>7.5499396234868243E-6</v>
      </c>
      <c r="V493" s="133">
        <v>3.0576074001452847E-5</v>
      </c>
      <c r="W493" s="134">
        <f>$K$481+$I$470+$G$494+$E$532+$C$601+$A$556+$M$496+$O$494+Q495</f>
        <v>220231.92770810809</v>
      </c>
      <c r="X493" s="133">
        <f>u_CongnitiveImpairement</f>
        <v>17.270393127285455</v>
      </c>
      <c r="Y493" s="133"/>
      <c r="Z493" s="134">
        <f>U493*W493</f>
        <v>1.6627377573603312</v>
      </c>
      <c r="AA493" s="6">
        <f>U493*X493</f>
        <v>1.3039042538488699E-4</v>
      </c>
    </row>
    <row r="494" spans="1:27" x14ac:dyDescent="0.3">
      <c r="A494" s="41"/>
      <c r="B494" s="41"/>
      <c r="C494" s="41"/>
      <c r="D494" s="41"/>
      <c r="E494" s="41"/>
      <c r="F494" s="41"/>
      <c r="G494" s="57">
        <f>c_LBW</f>
        <v>198651.76559999998</v>
      </c>
      <c r="H494" s="64"/>
      <c r="I494" s="64"/>
      <c r="J494" s="64"/>
      <c r="K494" s="64"/>
      <c r="L494" s="64"/>
      <c r="M494" s="54" t="s">
        <v>203</v>
      </c>
      <c r="N494" s="64"/>
      <c r="O494" s="57">
        <f>c_hypo</f>
        <v>2936.2604000000001</v>
      </c>
      <c r="P494" s="64"/>
      <c r="Q494" s="56">
        <f>Hypo2CI_2-(Hypo2CI_2*RDS2CLD_2)</f>
        <v>3.2801999999999998E-2</v>
      </c>
      <c r="R494" s="56"/>
      <c r="S494" s="129"/>
      <c r="T494" s="105"/>
      <c r="U494" s="133"/>
      <c r="V494" s="133"/>
      <c r="W494" s="133"/>
      <c r="X494" s="133"/>
      <c r="Y494" s="133"/>
      <c r="Z494" s="134"/>
      <c r="AA494" s="6"/>
    </row>
    <row r="495" spans="1:27" x14ac:dyDescent="0.3">
      <c r="A495" s="41"/>
      <c r="B495" s="41"/>
      <c r="C495" s="41"/>
      <c r="D495" s="41"/>
      <c r="E495" s="41"/>
      <c r="F495" s="41"/>
      <c r="G495" s="64"/>
      <c r="H495" s="64"/>
      <c r="I495" s="64"/>
      <c r="J495" s="64"/>
      <c r="K495" s="64"/>
      <c r="L495" s="64"/>
      <c r="M495" s="56">
        <f>S_prem_2noRDS_2</f>
        <v>0.55000000000000004</v>
      </c>
      <c r="N495" s="64"/>
      <c r="O495" s="53"/>
      <c r="P495" s="64"/>
      <c r="Q495" s="57">
        <f>c_cog+c_hosp_fu+c_CSG</f>
        <v>15766</v>
      </c>
      <c r="R495" s="57"/>
      <c r="S495" s="129"/>
      <c r="T495" s="105"/>
      <c r="U495" s="133"/>
      <c r="V495" s="133"/>
      <c r="W495" s="133"/>
      <c r="X495" s="133"/>
      <c r="Y495" s="133"/>
      <c r="Z495" s="134"/>
      <c r="AA495" s="6"/>
    </row>
    <row r="496" spans="1:27" x14ac:dyDescent="0.3">
      <c r="A496" s="41"/>
      <c r="B496" s="41"/>
      <c r="C496" s="41"/>
      <c r="D496" s="41"/>
      <c r="E496" s="41"/>
      <c r="F496" s="41"/>
      <c r="G496" s="64"/>
      <c r="H496" s="64"/>
      <c r="I496" s="64"/>
      <c r="J496" s="64"/>
      <c r="K496" s="64"/>
      <c r="L496" s="64"/>
      <c r="M496" s="57"/>
      <c r="N496" s="64"/>
      <c r="O496" s="65"/>
      <c r="P496" s="64"/>
      <c r="Q496" s="54" t="s">
        <v>369</v>
      </c>
      <c r="R496" s="54"/>
      <c r="S496" s="129"/>
      <c r="T496" s="105"/>
      <c r="U496" s="133">
        <f>$K$480*$I$469*$G$493*$E$531*$C$600*$A$555*$M$495*$O$493*Q497</f>
        <v>4.265302353800851E-6</v>
      </c>
      <c r="V496" s="133">
        <v>1.7273807064983534E-5</v>
      </c>
      <c r="W496" s="134">
        <f>$K$481+$I$470+$G$494+$E$532+$C$601+$A$556+$M$496+$O$494+Q498</f>
        <v>262814.43861050811</v>
      </c>
      <c r="X496" s="133">
        <f>u_ChronicResp+u_CongnitiveImpairement</f>
        <v>17.805052694763283</v>
      </c>
      <c r="Y496" s="133"/>
      <c r="Z496" s="134">
        <f>U496*W496</f>
        <v>1.1209830436182495</v>
      </c>
      <c r="AA496" s="6">
        <f>U496*X496</f>
        <v>7.5943933168522016E-5</v>
      </c>
    </row>
    <row r="497" spans="1:27" x14ac:dyDescent="0.3">
      <c r="A497" s="41"/>
      <c r="B497" s="41"/>
      <c r="C497" s="41"/>
      <c r="D497" s="41"/>
      <c r="E497" s="41"/>
      <c r="F497" s="41"/>
      <c r="G497" s="64"/>
      <c r="H497" s="64"/>
      <c r="I497" s="64"/>
      <c r="J497" s="64"/>
      <c r="K497" s="64"/>
      <c r="L497" s="64"/>
      <c r="M497" s="65"/>
      <c r="N497" s="64"/>
      <c r="O497" s="41"/>
      <c r="P497" s="64"/>
      <c r="Q497" s="56">
        <f>Hypo2CI_2*RDS2CLD_2</f>
        <v>1.8531333333333334E-2</v>
      </c>
      <c r="R497" s="56"/>
      <c r="S497" s="129"/>
      <c r="T497" s="105"/>
      <c r="U497" s="133"/>
      <c r="V497" s="133"/>
      <c r="W497" s="133"/>
      <c r="X497" s="133"/>
      <c r="Y497" s="133"/>
      <c r="Z497" s="134"/>
      <c r="AA497" s="6"/>
    </row>
    <row r="498" spans="1:27" x14ac:dyDescent="0.3">
      <c r="A498" s="41"/>
      <c r="B498" s="41"/>
      <c r="C498" s="41"/>
      <c r="D498" s="41"/>
      <c r="E498" s="41"/>
      <c r="F498" s="41"/>
      <c r="G498" s="64"/>
      <c r="H498" s="64"/>
      <c r="I498" s="64"/>
      <c r="J498" s="64"/>
      <c r="K498" s="64"/>
      <c r="L498" s="64"/>
      <c r="M498" s="65"/>
      <c r="N498" s="64"/>
      <c r="O498" s="41"/>
      <c r="P498" s="64"/>
      <c r="Q498" s="57">
        <f>c_lung+c_cog+c_hosp_fu+c_CSG</f>
        <v>58348.510902399998</v>
      </c>
      <c r="R498" s="57"/>
      <c r="S498" s="129"/>
      <c r="T498" s="105"/>
      <c r="U498" s="133"/>
      <c r="V498" s="133"/>
      <c r="W498" s="133"/>
      <c r="X498" s="133"/>
      <c r="Y498" s="133"/>
      <c r="Z498" s="134"/>
      <c r="AA498" s="6"/>
    </row>
    <row r="499" spans="1:27" x14ac:dyDescent="0.3">
      <c r="A499" s="41"/>
      <c r="B499" s="41"/>
      <c r="C499" s="41"/>
      <c r="D499" s="41"/>
      <c r="E499" s="41"/>
      <c r="F499" s="41"/>
      <c r="G499" s="64"/>
      <c r="H499" s="64"/>
      <c r="I499" s="64"/>
      <c r="J499" s="64"/>
      <c r="K499" s="64"/>
      <c r="L499" s="64"/>
      <c r="M499" s="65"/>
      <c r="N499" s="64"/>
      <c r="O499" s="41"/>
      <c r="P499" s="64"/>
      <c r="Q499" s="54" t="s">
        <v>370</v>
      </c>
      <c r="R499" s="54"/>
      <c r="S499" s="129"/>
      <c r="T499" s="105"/>
      <c r="U499" s="133">
        <f>$K$480*$I$469*$G$493*$E$531*$C$600*$A$555*$M$495*$O$493*Q500</f>
        <v>1.3952680628859419E-4</v>
      </c>
      <c r="V499" s="133">
        <v>5.6506173122165457E-4</v>
      </c>
      <c r="W499" s="134">
        <f>$K$481+$I$470+$G$494+$E$532+$C$601+$A$556+$M$496+$O$494+Q501</f>
        <v>218868.92770810809</v>
      </c>
      <c r="X499" s="133">
        <f>u_Healthy</f>
        <v>0</v>
      </c>
      <c r="Y499" s="133"/>
      <c r="Z499" s="134">
        <f>U499*W499</f>
        <v>30.538082478921524</v>
      </c>
      <c r="AA499" s="6">
        <f>U499*X499</f>
        <v>0</v>
      </c>
    </row>
    <row r="500" spans="1:27" x14ac:dyDescent="0.3">
      <c r="A500" s="41"/>
      <c r="B500" s="41"/>
      <c r="C500" s="41"/>
      <c r="D500" s="41"/>
      <c r="E500" s="41"/>
      <c r="F500" s="41"/>
      <c r="G500" s="64"/>
      <c r="H500" s="64"/>
      <c r="I500" s="64"/>
      <c r="J500" s="64"/>
      <c r="K500" s="64"/>
      <c r="L500" s="64"/>
      <c r="M500" s="65"/>
      <c r="N500" s="64"/>
      <c r="O500" s="65"/>
      <c r="P500" s="64"/>
      <c r="Q500" s="56">
        <f>1-Q491-Q494-Q497</f>
        <v>0.60619800000000001</v>
      </c>
      <c r="R500" s="56"/>
      <c r="T500" s="105"/>
      <c r="U500" s="133"/>
      <c r="V500" s="133"/>
      <c r="W500" s="133"/>
      <c r="X500" s="133"/>
      <c r="Y500" s="133"/>
      <c r="Z500" s="134"/>
      <c r="AA500" s="6"/>
    </row>
    <row r="501" spans="1:27" x14ac:dyDescent="0.3">
      <c r="A501" s="41"/>
      <c r="B501" s="41"/>
      <c r="C501" s="41"/>
      <c r="D501" s="41"/>
      <c r="E501" s="41"/>
      <c r="F501" s="41"/>
      <c r="G501" s="64"/>
      <c r="H501" s="64"/>
      <c r="I501" s="64"/>
      <c r="J501" s="64"/>
      <c r="K501" s="64"/>
      <c r="L501" s="64"/>
      <c r="M501" s="65"/>
      <c r="N501" s="64"/>
      <c r="O501" s="64"/>
      <c r="P501" s="64"/>
      <c r="Q501" s="57">
        <f>c_clinic_fu+c_CSG</f>
        <v>14403</v>
      </c>
      <c r="R501" s="57"/>
      <c r="S501" s="129"/>
      <c r="T501" s="105"/>
      <c r="U501" s="133"/>
      <c r="V501" s="133"/>
      <c r="W501" s="133"/>
      <c r="X501" s="133"/>
      <c r="Y501" s="133"/>
      <c r="Z501" s="134"/>
      <c r="AA501" s="6"/>
    </row>
    <row r="502" spans="1:27" x14ac:dyDescent="0.3">
      <c r="A502" s="41"/>
      <c r="B502" s="41"/>
      <c r="C502" s="41"/>
      <c r="D502" s="41"/>
      <c r="E502" s="41"/>
      <c r="F502" s="41"/>
      <c r="G502" s="64"/>
      <c r="H502" s="64"/>
      <c r="I502" s="64"/>
      <c r="J502" s="64"/>
      <c r="K502" s="64"/>
      <c r="L502" s="64"/>
      <c r="M502" s="65"/>
      <c r="N502" s="64"/>
      <c r="O502" s="64"/>
      <c r="P502" s="64"/>
      <c r="Q502" s="65"/>
      <c r="R502" s="65"/>
      <c r="S502" s="130"/>
      <c r="T502" s="105"/>
      <c r="U502" s="133"/>
      <c r="V502" s="133"/>
      <c r="W502" s="133"/>
      <c r="X502" s="133"/>
      <c r="Y502" s="133"/>
      <c r="Z502" s="134"/>
      <c r="AA502" s="6"/>
    </row>
    <row r="503" spans="1:27" x14ac:dyDescent="0.3">
      <c r="A503" s="41"/>
      <c r="B503" s="41"/>
      <c r="C503" s="41"/>
      <c r="D503" s="41"/>
      <c r="E503" s="41"/>
      <c r="F503" s="41"/>
      <c r="G503" s="64"/>
      <c r="H503" s="64"/>
      <c r="I503" s="64"/>
      <c r="J503" s="64"/>
      <c r="K503" s="64"/>
      <c r="L503" s="64"/>
      <c r="M503" s="65"/>
      <c r="N503" s="64"/>
      <c r="O503" s="64"/>
      <c r="P503" s="64"/>
      <c r="Q503" s="54" t="s">
        <v>368</v>
      </c>
      <c r="R503" s="54"/>
      <c r="S503" s="129"/>
      <c r="T503" s="105"/>
      <c r="U503" s="133">
        <f>$K$480*$I$469*$G$493*$E$531*$C$600*$A$555*$M$495*$O$507*Q504</f>
        <v>2.924718473841631E-4</v>
      </c>
      <c r="V503" s="133">
        <v>1.1844652136211086E-3</v>
      </c>
      <c r="W503" s="134">
        <f>$K$481+$I$470+$G$494+$E$532+$C$601+$A$556+$M$496+$O$508+Q505</f>
        <v>256059.17821050808</v>
      </c>
      <c r="X503" s="133">
        <f>u_ChronicResp</f>
        <v>0.53465956747782661</v>
      </c>
      <c r="Y503" s="133"/>
      <c r="Z503" s="134">
        <f>U503*W503</f>
        <v>74.890100890897941</v>
      </c>
      <c r="AA503" s="6">
        <f>U503*X503</f>
        <v>1.5637287142185755E-4</v>
      </c>
    </row>
    <row r="504" spans="1:27" x14ac:dyDescent="0.3">
      <c r="A504" s="41"/>
      <c r="B504" s="41"/>
      <c r="C504" s="41"/>
      <c r="D504" s="41"/>
      <c r="E504" s="41"/>
      <c r="F504" s="41"/>
      <c r="G504" s="64"/>
      <c r="H504" s="64"/>
      <c r="I504" s="64"/>
      <c r="J504" s="64"/>
      <c r="K504" s="64"/>
      <c r="L504" s="64"/>
      <c r="M504" s="65"/>
      <c r="N504" s="64"/>
      <c r="O504" s="64"/>
      <c r="P504" s="64"/>
      <c r="Q504" s="56">
        <f>RDS2CLD_2-(RDS2CLD_2*noHypo2CI_2)</f>
        <v>0.34905610687022898</v>
      </c>
      <c r="R504" s="56"/>
      <c r="S504" s="129"/>
      <c r="T504" s="105"/>
      <c r="U504" s="133"/>
      <c r="V504" s="133"/>
      <c r="W504" s="133"/>
      <c r="X504" s="133"/>
      <c r="Y504" s="133"/>
      <c r="Z504" s="134"/>
      <c r="AA504" s="6"/>
    </row>
    <row r="505" spans="1:27" x14ac:dyDescent="0.3">
      <c r="A505" s="41"/>
      <c r="B505" s="41"/>
      <c r="C505" s="41"/>
      <c r="D505" s="41"/>
      <c r="E505" s="41"/>
      <c r="F505" s="41"/>
      <c r="G505" s="64"/>
      <c r="H505" s="64"/>
      <c r="I505" s="64"/>
      <c r="J505" s="64"/>
      <c r="K505" s="64"/>
      <c r="L505" s="64"/>
      <c r="M505" s="65"/>
      <c r="N505" s="64"/>
      <c r="O505" s="64"/>
      <c r="P505" s="64"/>
      <c r="Q505" s="57">
        <f>c_lung+c_hosp_fu+c_CSG</f>
        <v>54529.510902399998</v>
      </c>
      <c r="R505" s="57"/>
      <c r="S505" s="129"/>
      <c r="T505" s="105"/>
      <c r="U505" s="133"/>
      <c r="V505" s="133"/>
      <c r="W505" s="133"/>
      <c r="X505" s="133"/>
      <c r="Y505" s="133"/>
      <c r="Z505" s="134"/>
      <c r="AA505" s="6"/>
    </row>
    <row r="506" spans="1:27" x14ac:dyDescent="0.3">
      <c r="A506" s="41"/>
      <c r="B506" s="41"/>
      <c r="C506" s="41"/>
      <c r="D506" s="41"/>
      <c r="E506" s="41"/>
      <c r="F506" s="41"/>
      <c r="G506" s="64"/>
      <c r="H506" s="64"/>
      <c r="I506" s="64"/>
      <c r="J506" s="64"/>
      <c r="K506" s="64"/>
      <c r="L506" s="64"/>
      <c r="M506" s="65"/>
      <c r="N506" s="64"/>
      <c r="O506" s="54" t="s">
        <v>371</v>
      </c>
      <c r="P506" s="64"/>
      <c r="Q506" s="54" t="s">
        <v>226</v>
      </c>
      <c r="R506" s="54"/>
      <c r="S506" s="129"/>
      <c r="T506" s="105"/>
      <c r="U506" s="133">
        <f>$K$480*$I$469*$G$493*$E$531*$C$600*$A$555*$M$495*$O$507*Q507</f>
        <v>1.7714479366357346E-5</v>
      </c>
      <c r="V506" s="133">
        <v>7.1740869333310485E-5</v>
      </c>
      <c r="W506" s="134">
        <f>$K$481+$I$470+$G$494+$E$532+$C$601+$A$556+$M$496+$O$508+Q508</f>
        <v>217295.6673081081</v>
      </c>
      <c r="X506" s="133">
        <f>u_CongnitiveImpairement</f>
        <v>17.270393127285455</v>
      </c>
      <c r="Y506" s="133"/>
      <c r="Z506" s="134">
        <f>U506*W506</f>
        <v>3.8492796149283315</v>
      </c>
      <c r="AA506" s="6">
        <f>U506*X506</f>
        <v>3.059360227021779E-4</v>
      </c>
    </row>
    <row r="507" spans="1:27" x14ac:dyDescent="0.3">
      <c r="A507" s="41"/>
      <c r="B507" s="41"/>
      <c r="C507" s="41"/>
      <c r="D507" s="41"/>
      <c r="E507" s="41"/>
      <c r="F507" s="41"/>
      <c r="G507" s="64"/>
      <c r="H507" s="64"/>
      <c r="I507" s="64"/>
      <c r="J507" s="64"/>
      <c r="K507" s="64"/>
      <c r="L507" s="64"/>
      <c r="M507" s="65"/>
      <c r="N507" s="64"/>
      <c r="O507" s="56">
        <f>SGA_prem_2normoglycaemia_2</f>
        <v>0.78449999999999998</v>
      </c>
      <c r="P507" s="64"/>
      <c r="Q507" s="56">
        <f>noHypo2CI_2-(RDS2CLD_2*noHypo2CI_2)</f>
        <v>2.1141683406990762E-2</v>
      </c>
      <c r="R507" s="56"/>
      <c r="S507" s="129"/>
      <c r="T507" s="105"/>
      <c r="U507" s="133"/>
      <c r="V507" s="133"/>
      <c r="W507" s="133"/>
      <c r="X507" s="133"/>
      <c r="Y507" s="133"/>
      <c r="Z507" s="134"/>
      <c r="AA507" s="6"/>
    </row>
    <row r="508" spans="1:27" x14ac:dyDescent="0.3">
      <c r="A508" s="41"/>
      <c r="B508" s="41"/>
      <c r="C508" s="41"/>
      <c r="D508" s="41"/>
      <c r="E508" s="41"/>
      <c r="F508" s="41"/>
      <c r="G508" s="64"/>
      <c r="H508" s="64"/>
      <c r="I508" s="64"/>
      <c r="J508" s="64"/>
      <c r="K508" s="64"/>
      <c r="L508" s="64"/>
      <c r="M508" s="65"/>
      <c r="N508" s="64"/>
      <c r="O508" s="57"/>
      <c r="P508" s="64"/>
      <c r="Q508" s="57">
        <f>c_cog+c_hosp_fu+c_CSG</f>
        <v>15766</v>
      </c>
      <c r="R508" s="57"/>
      <c r="S508" s="129"/>
      <c r="T508" s="105"/>
      <c r="U508" s="133"/>
      <c r="V508" s="133"/>
      <c r="W508" s="133"/>
      <c r="X508" s="133"/>
      <c r="Y508" s="133"/>
      <c r="Z508" s="134"/>
      <c r="AA508" s="6"/>
    </row>
    <row r="509" spans="1:27" x14ac:dyDescent="0.3">
      <c r="A509" s="41"/>
      <c r="B509" s="41"/>
      <c r="C509" s="41"/>
      <c r="D509" s="41"/>
      <c r="E509" s="41"/>
      <c r="F509" s="41"/>
      <c r="G509" s="64"/>
      <c r="H509" s="64"/>
      <c r="I509" s="64"/>
      <c r="J509" s="64"/>
      <c r="K509" s="64"/>
      <c r="L509" s="64"/>
      <c r="M509" s="65"/>
      <c r="N509" s="64"/>
      <c r="O509" s="64"/>
      <c r="P509" s="64"/>
      <c r="Q509" s="54" t="s">
        <v>369</v>
      </c>
      <c r="R509" s="54"/>
      <c r="S509" s="129"/>
      <c r="T509" s="105"/>
      <c r="U509" s="133">
        <f>$K$480*$I$469*$G$493*$E$531*$C$600*$A$555*$M$495*$O$507*Q510</f>
        <v>1.0007710565344288E-5</v>
      </c>
      <c r="V509" s="133">
        <v>4.0529661704734088E-5</v>
      </c>
      <c r="W509" s="134">
        <f>$K$481+$I$470+$G$494+$E$532+$C$601+$A$556+$M$496+$O$508+Q511</f>
        <v>259878.17821050808</v>
      </c>
      <c r="X509" s="133">
        <f>u_ChronicResp+u_CongnitiveImpairement</f>
        <v>17.805052694763283</v>
      </c>
      <c r="Y509" s="133"/>
      <c r="Z509" s="134">
        <f>U509*W509</f>
        <v>2.6007855897797274</v>
      </c>
      <c r="AA509" s="6">
        <f>U509*X509</f>
        <v>1.7818781396989431E-4</v>
      </c>
    </row>
    <row r="510" spans="1:27" x14ac:dyDescent="0.3">
      <c r="A510" s="41"/>
      <c r="B510" s="41"/>
      <c r="C510" s="41"/>
      <c r="D510" s="41"/>
      <c r="E510" s="41"/>
      <c r="F510" s="41"/>
      <c r="G510" s="64"/>
      <c r="H510" s="64"/>
      <c r="I510" s="64"/>
      <c r="J510" s="64"/>
      <c r="K510" s="64"/>
      <c r="L510" s="64"/>
      <c r="M510" s="65"/>
      <c r="N510" s="64"/>
      <c r="O510" s="64"/>
      <c r="P510" s="64"/>
      <c r="Q510" s="56">
        <f>RDS2CLD_2*noHypo2CI_2</f>
        <v>1.1943893129770991E-2</v>
      </c>
      <c r="R510" s="56"/>
      <c r="S510" s="129"/>
      <c r="T510" s="105"/>
      <c r="U510" s="133"/>
      <c r="V510" s="133"/>
      <c r="W510" s="133"/>
      <c r="X510" s="133"/>
      <c r="Y510" s="133"/>
      <c r="Z510" s="134"/>
      <c r="AA510" s="6"/>
    </row>
    <row r="511" spans="1:27" x14ac:dyDescent="0.3">
      <c r="A511" s="41"/>
      <c r="B511" s="41"/>
      <c r="C511" s="41"/>
      <c r="D511" s="41"/>
      <c r="E511" s="41"/>
      <c r="F511" s="41"/>
      <c r="G511" s="64"/>
      <c r="H511" s="64"/>
      <c r="I511" s="64"/>
      <c r="J511" s="64"/>
      <c r="K511" s="64"/>
      <c r="L511" s="64"/>
      <c r="M511" s="65"/>
      <c r="N511" s="64"/>
      <c r="O511" s="64"/>
      <c r="P511" s="64"/>
      <c r="Q511" s="57">
        <f>c_cog+c_lung+c_hosp_fu+c_CSG</f>
        <v>58348.510902399998</v>
      </c>
      <c r="R511" s="57"/>
      <c r="S511" s="129"/>
      <c r="T511" s="105"/>
      <c r="U511" s="133"/>
      <c r="V511" s="133"/>
      <c r="W511" s="133"/>
      <c r="X511" s="133"/>
      <c r="Y511" s="133"/>
      <c r="Z511" s="134"/>
      <c r="AA511" s="6"/>
    </row>
    <row r="512" spans="1:27" x14ac:dyDescent="0.3">
      <c r="A512" s="41"/>
      <c r="B512" s="41"/>
      <c r="C512" s="41"/>
      <c r="D512" s="41"/>
      <c r="E512" s="41"/>
      <c r="F512" s="41"/>
      <c r="G512" s="64"/>
      <c r="H512" s="64"/>
      <c r="I512" s="64"/>
      <c r="J512" s="64"/>
      <c r="K512" s="64"/>
      <c r="L512" s="64"/>
      <c r="M512" s="65"/>
      <c r="N512" s="64"/>
      <c r="O512" s="64"/>
      <c r="P512" s="64"/>
      <c r="Q512" s="54" t="s">
        <v>370</v>
      </c>
      <c r="R512" s="54"/>
      <c r="S512" s="129"/>
      <c r="T512" s="105"/>
      <c r="U512" s="133">
        <f>$K$480*$I$469*$G$493*$E$531*$C$600*$A$555*$M$495*$O$507*Q513</f>
        <v>5.1769947500964061E-4</v>
      </c>
      <c r="V512" s="133">
        <v>2.0966018601215751E-3</v>
      </c>
      <c r="W512" s="134">
        <f>$K$481+$I$470+$G$494+$E$532+$C$601+$A$556+$M$496+$O$508+Q514</f>
        <v>215932.6673081081</v>
      </c>
      <c r="X512" s="133">
        <f>u_Healthy</f>
        <v>0</v>
      </c>
      <c r="Y512" s="133"/>
      <c r="Z512" s="134">
        <f>U512*W512</f>
        <v>111.78822850283895</v>
      </c>
      <c r="AA512" s="6">
        <f>U512*X512</f>
        <v>0</v>
      </c>
    </row>
    <row r="513" spans="1:27" x14ac:dyDescent="0.3">
      <c r="A513" s="41"/>
      <c r="B513" s="41"/>
      <c r="C513" s="41"/>
      <c r="D513" s="41"/>
      <c r="E513" s="41"/>
      <c r="F513" s="41"/>
      <c r="G513" s="64"/>
      <c r="H513" s="64"/>
      <c r="I513" s="64"/>
      <c r="J513" s="64"/>
      <c r="K513" s="64"/>
      <c r="L513" s="64"/>
      <c r="M513" s="65"/>
      <c r="N513" s="64"/>
      <c r="O513" s="64"/>
      <c r="P513" s="64"/>
      <c r="Q513" s="56">
        <f>1-Q510-Q507-Q504</f>
        <v>0.61785831659300938</v>
      </c>
      <c r="R513" s="56"/>
      <c r="S513" s="129"/>
      <c r="T513" s="105"/>
      <c r="U513" s="133"/>
      <c r="V513" s="133"/>
      <c r="W513" s="133"/>
      <c r="X513" s="133"/>
      <c r="Y513" s="133"/>
      <c r="Z513" s="134"/>
      <c r="AA513" s="6"/>
    </row>
    <row r="514" spans="1:27" x14ac:dyDescent="0.3">
      <c r="A514" s="41"/>
      <c r="B514" s="41"/>
      <c r="C514" s="41"/>
      <c r="D514" s="41"/>
      <c r="E514" s="41"/>
      <c r="F514" s="41"/>
      <c r="G514" s="64"/>
      <c r="H514" s="64"/>
      <c r="I514" s="64"/>
      <c r="J514" s="64"/>
      <c r="K514" s="64"/>
      <c r="L514" s="64"/>
      <c r="M514" s="65"/>
      <c r="N514" s="64"/>
      <c r="O514" s="64"/>
      <c r="P514" s="64"/>
      <c r="Q514" s="57">
        <f>c_clinic_fu+c_CSG</f>
        <v>14403</v>
      </c>
      <c r="R514" s="57"/>
      <c r="T514" s="105"/>
      <c r="U514" s="133"/>
      <c r="V514" s="133"/>
      <c r="W514" s="133"/>
      <c r="X514" s="133"/>
      <c r="Y514" s="133"/>
      <c r="Z514" s="134"/>
      <c r="AA514" s="6"/>
    </row>
    <row r="515" spans="1:27" x14ac:dyDescent="0.3">
      <c r="A515" s="41"/>
      <c r="B515" s="41"/>
      <c r="C515" s="41"/>
      <c r="D515" s="41"/>
      <c r="E515" s="41"/>
      <c r="F515" s="41"/>
      <c r="G515" s="64"/>
      <c r="H515" s="64"/>
      <c r="I515" s="64"/>
      <c r="J515" s="64"/>
      <c r="K515" s="64"/>
      <c r="L515" s="64"/>
      <c r="M515" s="65"/>
      <c r="N515" s="64"/>
      <c r="O515" s="64"/>
      <c r="P515" s="64"/>
      <c r="Q515" s="65"/>
      <c r="R515" s="65"/>
      <c r="S515" s="129"/>
      <c r="T515" s="105"/>
      <c r="U515" s="133"/>
      <c r="V515" s="133"/>
      <c r="W515" s="133"/>
      <c r="X515" s="133"/>
      <c r="Y515" s="133"/>
      <c r="Z515" s="134"/>
      <c r="AA515" s="6"/>
    </row>
    <row r="516" spans="1:27" x14ac:dyDescent="0.3">
      <c r="A516" s="41"/>
      <c r="B516" s="41"/>
      <c r="C516" s="41"/>
      <c r="D516" s="41"/>
      <c r="E516" s="41"/>
      <c r="F516" s="41"/>
      <c r="G516" s="64"/>
      <c r="H516" s="64"/>
      <c r="I516" s="64"/>
      <c r="J516" s="64"/>
      <c r="K516" s="54" t="s">
        <v>165</v>
      </c>
      <c r="L516" s="54"/>
      <c r="M516" s="54"/>
      <c r="N516" s="54"/>
      <c r="O516" s="54"/>
      <c r="P516" s="54"/>
      <c r="Q516" s="54"/>
      <c r="R516" s="54"/>
      <c r="S516" s="129"/>
      <c r="T516" s="105"/>
      <c r="U516" s="133">
        <f>$G$493*$E$531*$C$600*$A$555*$I$525*K517</f>
        <v>9.8693924112100101E-5</v>
      </c>
      <c r="V516" s="133">
        <v>3.7806417943276585E-4</v>
      </c>
      <c r="W516" s="134">
        <f>$K$518+$I$526+$G$494+$E$532+$C$601+$A$556</f>
        <v>203321.6673081081</v>
      </c>
      <c r="X516" s="133">
        <f>u_Death</f>
        <v>19.181538114427529</v>
      </c>
      <c r="Y516" s="133"/>
      <c r="Z516" s="134">
        <f>U516*W516</f>
        <v>20.066613203652086</v>
      </c>
      <c r="AA516" s="6">
        <f>U516*X516</f>
        <v>1.8931012670186662E-3</v>
      </c>
    </row>
    <row r="517" spans="1:27" x14ac:dyDescent="0.3">
      <c r="A517" s="41"/>
      <c r="B517" s="41"/>
      <c r="C517" s="41"/>
      <c r="D517" s="41"/>
      <c r="E517" s="41"/>
      <c r="F517" s="41"/>
      <c r="G517" s="64"/>
      <c r="H517" s="64"/>
      <c r="I517" s="64"/>
      <c r="J517" s="64"/>
      <c r="K517" s="56">
        <f>AGA_prem_2d_2</f>
        <v>3.130575E-2</v>
      </c>
      <c r="L517" s="64"/>
      <c r="M517" s="64"/>
      <c r="N517" s="64"/>
      <c r="O517" s="64"/>
      <c r="P517" s="64"/>
      <c r="Q517" s="64"/>
      <c r="R517" s="64"/>
      <c r="S517" s="129"/>
      <c r="T517" s="105"/>
      <c r="U517" s="133"/>
      <c r="V517" s="133"/>
      <c r="W517" s="133"/>
      <c r="X517" s="133"/>
      <c r="Y517" s="133"/>
      <c r="Z517" s="134"/>
      <c r="AA517" s="6"/>
    </row>
    <row r="518" spans="1:27" x14ac:dyDescent="0.3">
      <c r="A518" s="41"/>
      <c r="B518" s="41"/>
      <c r="C518" s="41"/>
      <c r="D518" s="41"/>
      <c r="E518" s="41"/>
      <c r="F518" s="41"/>
      <c r="G518" s="64"/>
      <c r="H518" s="64"/>
      <c r="I518" s="64"/>
      <c r="J518" s="64"/>
      <c r="K518" s="57">
        <f>c_SB</f>
        <v>1792</v>
      </c>
      <c r="L518" s="64"/>
      <c r="M518" s="64"/>
      <c r="N518" s="64"/>
      <c r="O518" s="64"/>
      <c r="P518" s="64"/>
      <c r="Q518" s="64"/>
      <c r="R518" s="64"/>
      <c r="S518" s="129"/>
      <c r="T518" s="105"/>
      <c r="U518" s="133"/>
      <c r="V518" s="133"/>
      <c r="W518" s="133"/>
      <c r="X518" s="133"/>
      <c r="Y518" s="133"/>
      <c r="Z518" s="134"/>
      <c r="AA518" s="6"/>
    </row>
    <row r="519" spans="1:27" x14ac:dyDescent="0.3">
      <c r="A519" s="41"/>
      <c r="B519" s="41"/>
      <c r="C519" s="41"/>
      <c r="D519" s="41"/>
      <c r="E519" s="41"/>
      <c r="F519" s="41"/>
      <c r="G519" s="64"/>
      <c r="H519" s="64"/>
      <c r="I519" s="64"/>
      <c r="J519" s="64"/>
      <c r="K519" s="53"/>
      <c r="L519" s="53"/>
      <c r="M519" s="53"/>
      <c r="N519" s="53"/>
      <c r="O519" s="53"/>
      <c r="P519" s="53"/>
      <c r="Q519" s="53"/>
      <c r="R519" s="53"/>
      <c r="S519" s="129"/>
      <c r="T519" s="105"/>
      <c r="U519" s="133"/>
      <c r="V519" s="133"/>
      <c r="W519" s="133"/>
      <c r="X519" s="133"/>
      <c r="Y519" s="133"/>
      <c r="Z519" s="134"/>
      <c r="AA519" s="6"/>
    </row>
    <row r="520" spans="1:27" x14ac:dyDescent="0.3">
      <c r="A520" s="41"/>
      <c r="B520" s="41"/>
      <c r="C520" s="41"/>
      <c r="D520" s="41"/>
      <c r="E520" s="41"/>
      <c r="F520" s="41"/>
      <c r="G520" s="53"/>
      <c r="H520" s="53"/>
      <c r="I520" s="64"/>
      <c r="J520" s="64"/>
      <c r="K520" s="53"/>
      <c r="L520" s="53"/>
      <c r="M520" s="53"/>
      <c r="N520" s="53"/>
      <c r="O520" s="53"/>
      <c r="P520" s="53"/>
      <c r="Q520" s="54" t="s">
        <v>368</v>
      </c>
      <c r="R520" s="54"/>
      <c r="S520" s="129"/>
      <c r="T520" s="105"/>
      <c r="U520" s="133">
        <f>$G$493*$E$531*$C$600*$A$555*$I$525*$K$536*$M$531*$O$526*Q521</f>
        <v>7.0595601335134706E-5</v>
      </c>
      <c r="V520" s="133">
        <v>2.3972017654573001E-4</v>
      </c>
      <c r="W520" s="134">
        <f>$K$537+$I$526+$G$494+$E$532+$C$601+$A$556+$M$532+$O$527+Q522</f>
        <v>289591.0487587137</v>
      </c>
      <c r="X520" s="133">
        <f>u_ChronicResp</f>
        <v>0.53465956747782661</v>
      </c>
      <c r="Y520" s="133"/>
      <c r="Z520" s="134">
        <f>U520*W520</f>
        <v>20.443854228393707</v>
      </c>
      <c r="AA520" s="6">
        <f>U520*X520</f>
        <v>3.7744613675680201E-5</v>
      </c>
    </row>
    <row r="521" spans="1:27" x14ac:dyDescent="0.3">
      <c r="A521" s="41"/>
      <c r="B521" s="41"/>
      <c r="C521" s="41"/>
      <c r="D521" s="41"/>
      <c r="E521" s="41"/>
      <c r="F521" s="41"/>
      <c r="G521" s="53"/>
      <c r="H521" s="53"/>
      <c r="I521" s="64"/>
      <c r="J521" s="64"/>
      <c r="K521" s="53"/>
      <c r="L521" s="53"/>
      <c r="M521" s="53"/>
      <c r="N521" s="53"/>
      <c r="O521" s="64"/>
      <c r="P521" s="64"/>
      <c r="Q521" s="56">
        <f>RDS2CLD_2-(Hypo2CI_2*RDS2CLD_2)</f>
        <v>0.34246866666666664</v>
      </c>
      <c r="R521" s="56"/>
      <c r="S521" s="129"/>
      <c r="T521" s="105"/>
      <c r="U521" s="133"/>
      <c r="V521" s="133"/>
      <c r="W521" s="133"/>
      <c r="X521" s="133"/>
      <c r="Y521" s="133"/>
      <c r="Z521" s="134"/>
      <c r="AA521" s="6"/>
    </row>
    <row r="522" spans="1:27" x14ac:dyDescent="0.3">
      <c r="A522" s="41"/>
      <c r="B522" s="41"/>
      <c r="C522" s="41"/>
      <c r="D522" s="41"/>
      <c r="E522" s="41"/>
      <c r="F522" s="41"/>
      <c r="G522" s="53"/>
      <c r="H522" s="53"/>
      <c r="I522" s="64"/>
      <c r="J522" s="64"/>
      <c r="K522" s="53"/>
      <c r="L522" s="53"/>
      <c r="M522" s="53"/>
      <c r="N522" s="53"/>
      <c r="O522" s="64"/>
      <c r="P522" s="64"/>
      <c r="Q522" s="57">
        <f>c_lung+c_hosp_fu+c_CSG</f>
        <v>54529.510902399998</v>
      </c>
      <c r="R522" s="57"/>
      <c r="S522" s="129"/>
      <c r="T522" s="105"/>
      <c r="U522" s="133"/>
      <c r="V522" s="133"/>
      <c r="W522" s="133"/>
      <c r="X522" s="133"/>
      <c r="Y522" s="133"/>
      <c r="Z522" s="134"/>
      <c r="AA522" s="6"/>
    </row>
    <row r="523" spans="1:27" x14ac:dyDescent="0.3">
      <c r="A523" s="41"/>
      <c r="B523" s="41"/>
      <c r="C523" s="41"/>
      <c r="D523" s="41"/>
      <c r="E523" s="41"/>
      <c r="F523" s="41"/>
      <c r="G523" s="53"/>
      <c r="H523" s="53"/>
      <c r="I523" s="64"/>
      <c r="J523" s="64"/>
      <c r="K523" s="53"/>
      <c r="L523" s="53"/>
      <c r="M523" s="53"/>
      <c r="N523" s="53"/>
      <c r="O523" s="64"/>
      <c r="P523" s="64"/>
      <c r="Q523" s="54" t="s">
        <v>226</v>
      </c>
      <c r="R523" s="54"/>
      <c r="S523" s="129"/>
      <c r="T523" s="105"/>
      <c r="U523" s="133">
        <f>$G$493*$E$531*$C$600*$A$555*$I$525*$K$536*$M$531*$O$526*Q524</f>
        <v>6.7617190720954188E-6</v>
      </c>
      <c r="V523" s="133">
        <v>2.2960644276127556E-5</v>
      </c>
      <c r="W523" s="134">
        <f>$K$537+$I$526+$G$494+$E$532+$C$601+$A$556+$M$532+$O$527+Q525</f>
        <v>250827.53785631372</v>
      </c>
      <c r="X523" s="133">
        <f>u_CongnitiveImpairement</f>
        <v>17.270393127285455</v>
      </c>
      <c r="Y523" s="133"/>
      <c r="Z523" s="134">
        <f>U523*W523</f>
        <v>1.6960253465297721</v>
      </c>
      <c r="AA523" s="6">
        <f>U523*X523</f>
        <v>1.1677754659135171E-4</v>
      </c>
    </row>
    <row r="524" spans="1:27" x14ac:dyDescent="0.3">
      <c r="A524" s="41"/>
      <c r="B524" s="41"/>
      <c r="C524" s="41"/>
      <c r="D524" s="41"/>
      <c r="E524" s="41"/>
      <c r="F524" s="41"/>
      <c r="G524" s="53"/>
      <c r="H524" s="53"/>
      <c r="I524" s="54" t="s">
        <v>425</v>
      </c>
      <c r="J524" s="64"/>
      <c r="K524" s="64"/>
      <c r="L524" s="64"/>
      <c r="M524" s="64"/>
      <c r="N524" s="64"/>
      <c r="O524" s="64"/>
      <c r="P524" s="64"/>
      <c r="Q524" s="56">
        <f>Hypo2CI_2-(Hypo2CI_2*RDS2CLD_2)</f>
        <v>3.2801999999999998E-2</v>
      </c>
      <c r="R524" s="56"/>
      <c r="S524" s="129"/>
      <c r="T524" s="105"/>
      <c r="U524" s="133"/>
      <c r="V524" s="133"/>
      <c r="W524" s="133"/>
      <c r="X524" s="133"/>
      <c r="Y524" s="133"/>
      <c r="Z524" s="134"/>
      <c r="AA524" s="6"/>
    </row>
    <row r="525" spans="1:27" x14ac:dyDescent="0.3">
      <c r="A525" s="41"/>
      <c r="B525" s="41"/>
      <c r="C525" s="41"/>
      <c r="D525" s="41"/>
      <c r="E525" s="41"/>
      <c r="F525" s="41"/>
      <c r="G525" s="64"/>
      <c r="H525" s="64"/>
      <c r="I525" s="56">
        <f>LBW_prem_2AGA_2</f>
        <v>0.60031407035175877</v>
      </c>
      <c r="J525" s="64"/>
      <c r="K525" s="64"/>
      <c r="L525" s="64"/>
      <c r="M525" s="64"/>
      <c r="N525" s="64"/>
      <c r="O525" s="54" t="s">
        <v>161</v>
      </c>
      <c r="P525" s="64"/>
      <c r="Q525" s="57">
        <f>c_cog+c_hosp_fu+c_CSG</f>
        <v>15766</v>
      </c>
      <c r="R525" s="57"/>
      <c r="S525" s="129"/>
      <c r="T525" s="105"/>
      <c r="U525" s="133"/>
      <c r="V525" s="133"/>
      <c r="W525" s="133"/>
      <c r="X525" s="133"/>
      <c r="Y525" s="133"/>
      <c r="Z525" s="134"/>
      <c r="AA525" s="6"/>
    </row>
    <row r="526" spans="1:27" x14ac:dyDescent="0.3">
      <c r="A526" s="41"/>
      <c r="B526" s="41"/>
      <c r="C526" s="41"/>
      <c r="D526" s="41"/>
      <c r="E526" s="41"/>
      <c r="F526" s="41"/>
      <c r="G526" s="64"/>
      <c r="H526" s="64"/>
      <c r="I526" s="57"/>
      <c r="J526" s="64"/>
      <c r="K526" s="64"/>
      <c r="L526" s="64"/>
      <c r="M526" s="64"/>
      <c r="N526" s="64"/>
      <c r="O526" s="56">
        <f>AGA_prem_2hypoglycaemia_2</f>
        <v>0.15</v>
      </c>
      <c r="P526" s="64"/>
      <c r="Q526" s="54" t="s">
        <v>369</v>
      </c>
      <c r="R526" s="54"/>
      <c r="S526" s="129"/>
      <c r="T526" s="105"/>
      <c r="U526" s="133">
        <f>$G$493*$E$531*$C$600*$A$555*$I$525*$K$536*$M$531*$O$526*Q527</f>
        <v>3.8200009155343447E-6</v>
      </c>
      <c r="V526" s="133">
        <v>1.297150639073873E-5</v>
      </c>
      <c r="W526" s="134">
        <f>$K$537+$I$526+$G$494+$E$532+$C$601+$A$556+$M$532+$O$527+Q528</f>
        <v>293410.0487587137</v>
      </c>
      <c r="X526" s="133">
        <f>u_ChronicResp+u_CongnitiveImpairement</f>
        <v>17.805052694763283</v>
      </c>
      <c r="Y526" s="133"/>
      <c r="Z526" s="134">
        <f>U526*W526</f>
        <v>1.120826654885263</v>
      </c>
      <c r="AA526" s="6">
        <f>U526*X526</f>
        <v>6.8015317595132991E-5</v>
      </c>
    </row>
    <row r="527" spans="1:27" x14ac:dyDescent="0.3">
      <c r="A527" s="41"/>
      <c r="B527" s="41"/>
      <c r="C527" s="41"/>
      <c r="D527" s="41"/>
      <c r="E527" s="41"/>
      <c r="F527" s="41"/>
      <c r="G527" s="64"/>
      <c r="H527" s="64"/>
      <c r="I527" s="64"/>
      <c r="J527" s="64"/>
      <c r="K527" s="64"/>
      <c r="L527" s="64"/>
      <c r="M527" s="64"/>
      <c r="N527" s="64"/>
      <c r="O527" s="57">
        <f>c_hypo</f>
        <v>2936.2604000000001</v>
      </c>
      <c r="P527" s="64"/>
      <c r="Q527" s="56">
        <f>Hypo2CI_2*RDS2CLD_2</f>
        <v>1.8531333333333334E-2</v>
      </c>
      <c r="R527" s="56"/>
      <c r="S527" s="129"/>
      <c r="T527" s="105"/>
      <c r="U527" s="133"/>
      <c r="V527" s="133"/>
      <c r="W527" s="133"/>
      <c r="X527" s="133"/>
      <c r="Y527" s="133"/>
      <c r="Z527" s="134"/>
      <c r="AA527" s="6"/>
    </row>
    <row r="528" spans="1:27" x14ac:dyDescent="0.3">
      <c r="A528" s="41"/>
      <c r="B528" s="41"/>
      <c r="C528" s="41"/>
      <c r="D528" s="41"/>
      <c r="E528" s="41"/>
      <c r="F528" s="41"/>
      <c r="G528" s="64"/>
      <c r="H528" s="64"/>
      <c r="I528" s="64"/>
      <c r="J528" s="64"/>
      <c r="K528" s="64"/>
      <c r="L528" s="64"/>
      <c r="M528" s="65"/>
      <c r="N528" s="64"/>
      <c r="O528" s="53"/>
      <c r="P528" s="64"/>
      <c r="Q528" s="57">
        <f>c_lung+c_cog+c_hosp_fu+c_CSG</f>
        <v>58348.510902399998</v>
      </c>
      <c r="R528" s="57"/>
      <c r="S528" s="129"/>
      <c r="T528" s="105"/>
      <c r="U528" s="133"/>
      <c r="V528" s="133"/>
      <c r="W528" s="133"/>
      <c r="X528" s="133"/>
      <c r="Y528" s="133"/>
      <c r="Z528" s="134"/>
      <c r="AA528" s="6"/>
    </row>
    <row r="529" spans="1:90" x14ac:dyDescent="0.3">
      <c r="A529" s="41"/>
      <c r="B529" s="41"/>
      <c r="C529" s="41"/>
      <c r="D529" s="41"/>
      <c r="E529" s="41"/>
      <c r="F529" s="41"/>
      <c r="G529" s="64"/>
      <c r="H529" s="64"/>
      <c r="I529" s="64"/>
      <c r="J529" s="64"/>
      <c r="K529" s="64"/>
      <c r="L529" s="64"/>
      <c r="M529" s="64"/>
      <c r="N529" s="64"/>
      <c r="O529" s="64"/>
      <c r="P529" s="64"/>
      <c r="Q529" s="54" t="s">
        <v>370</v>
      </c>
      <c r="R529" s="54"/>
      <c r="S529" s="129"/>
      <c r="T529" s="105"/>
      <c r="U529" s="133">
        <f>$G$493*$E$531*$C$600*$A$555*$I$525*$K$536*$M$531*$O$526*Q530</f>
        <v>1.2496008103365952E-4</v>
      </c>
      <c r="V529" s="133">
        <v>4.2432463383025343E-4</v>
      </c>
      <c r="W529" s="134">
        <f>$K$537+$I$526+$G$494+$E$532+$C$601+$A$556+$M$532+$O$527+Q531</f>
        <v>249464.53785631372</v>
      </c>
      <c r="X529" s="133">
        <f>u_Healthy</f>
        <v>0</v>
      </c>
      <c r="Y529" s="133"/>
      <c r="Z529" s="134">
        <f>U529*W529</f>
        <v>31.173108865549384</v>
      </c>
      <c r="AA529" s="6">
        <f>U529*X529</f>
        <v>0</v>
      </c>
    </row>
    <row r="530" spans="1:90" x14ac:dyDescent="0.3">
      <c r="A530" s="41"/>
      <c r="B530" s="41"/>
      <c r="C530" s="41"/>
      <c r="D530" s="41"/>
      <c r="E530" s="54" t="s">
        <v>10</v>
      </c>
      <c r="F530" s="41"/>
      <c r="G530" s="64"/>
      <c r="H530" s="64"/>
      <c r="I530" s="64"/>
      <c r="J530" s="64"/>
      <c r="K530" s="64"/>
      <c r="L530" s="64"/>
      <c r="M530" s="54" t="s">
        <v>9</v>
      </c>
      <c r="N530" s="64"/>
      <c r="O530" s="64"/>
      <c r="P530" s="64"/>
      <c r="Q530" s="56">
        <f>1-Q521-Q524-Q527</f>
        <v>0.60619800000000001</v>
      </c>
      <c r="R530" s="56"/>
      <c r="S530" s="129"/>
      <c r="T530" s="105"/>
      <c r="U530" s="133"/>
      <c r="V530" s="133"/>
      <c r="W530" s="133"/>
      <c r="X530" s="133"/>
      <c r="Y530" s="133"/>
      <c r="Z530" s="134"/>
      <c r="AA530" s="6"/>
      <c r="AK530" t="s">
        <v>10</v>
      </c>
      <c r="AS530" t="s">
        <v>9</v>
      </c>
      <c r="AW530">
        <v>0.60619800000000001</v>
      </c>
      <c r="BF530">
        <f t="shared" ref="BF530:BF561" si="16">IF(A530=AG530,0,1)</f>
        <v>0</v>
      </c>
      <c r="BG530" s="41">
        <f t="shared" ref="BG530:BG561" si="17">IF(B530=AH530,0,1)</f>
        <v>0</v>
      </c>
      <c r="BH530" s="41">
        <f t="shared" ref="BH530:BH561" si="18">IF(C530=AI530,0,1)</f>
        <v>0</v>
      </c>
      <c r="BI530" s="41">
        <f t="shared" ref="BI530:BI561" si="19">IF(D530=AJ530,0,1)</f>
        <v>0</v>
      </c>
      <c r="BJ530" s="41">
        <f t="shared" ref="BJ530:BJ561" si="20">IF(E530=AK530,0,1)</f>
        <v>0</v>
      </c>
      <c r="BK530" s="41">
        <f t="shared" ref="BK530:BK561" si="21">IF(F530=AL530,0,1)</f>
        <v>0</v>
      </c>
      <c r="BL530" s="41">
        <f t="shared" ref="BL530:BL561" si="22">IF(G530=AM530,0,1)</f>
        <v>0</v>
      </c>
      <c r="BM530" s="41">
        <f t="shared" ref="BM530:BM561" si="23">IF(H530=AN530,0,1)</f>
        <v>0</v>
      </c>
      <c r="BN530" s="41">
        <f t="shared" ref="BN530:BN561" si="24">IF(I530=AO530,0,1)</f>
        <v>0</v>
      </c>
      <c r="BO530" s="41">
        <f t="shared" ref="BO530:BO561" si="25">IF(J530=AP530,0,1)</f>
        <v>0</v>
      </c>
      <c r="BP530" s="41">
        <f t="shared" ref="BP530:BP561" si="26">IF(K530=AQ530,0,1)</f>
        <v>0</v>
      </c>
      <c r="BQ530" s="41">
        <f t="shared" ref="BQ530:BQ561" si="27">IF(L530=AR530,0,1)</f>
        <v>0</v>
      </c>
      <c r="BR530" s="41">
        <f t="shared" ref="BR530:BR561" si="28">IF(M530=AS530,0,1)</f>
        <v>0</v>
      </c>
      <c r="BS530" s="41">
        <f t="shared" ref="BS530:BS561" si="29">IF(N530=AT530,0,1)</f>
        <v>0</v>
      </c>
      <c r="BT530" s="41">
        <f t="shared" ref="BT530:BT561" si="30">IF(O530=AU530,0,1)</f>
        <v>0</v>
      </c>
      <c r="BU530" s="41">
        <f t="shared" ref="BU530:BU561" si="31">IF(P530=AV530,0,1)</f>
        <v>0</v>
      </c>
      <c r="BV530" s="41">
        <f t="shared" ref="BV530:BV561" si="32">IF(Q530=AW530,0,1)</f>
        <v>0</v>
      </c>
      <c r="BW530" s="41">
        <f t="shared" ref="BW530:BW561" si="33">IF(S530=AX530,0,1)</f>
        <v>0</v>
      </c>
      <c r="BX530" s="41">
        <f t="shared" ref="BX530:BX561" si="34">IF(T530=AY530,0,1)</f>
        <v>0</v>
      </c>
      <c r="BY530" s="41">
        <f t="shared" ref="BY530:BY561" si="35">IF(U530=AZ530,0,1)</f>
        <v>0</v>
      </c>
      <c r="BZ530" s="41">
        <f t="shared" ref="BZ530:BZ561" si="36">IF(V531=BA530,0,1)</f>
        <v>0</v>
      </c>
      <c r="CA530" s="41" t="e">
        <f>IF(#REF!=BB530,0,1)</f>
        <v>#REF!</v>
      </c>
      <c r="CB530" s="41">
        <f t="shared" ref="CB530:CB561" si="37">IF(W530=BC530,0,1)</f>
        <v>0</v>
      </c>
      <c r="CC530" s="41" t="e">
        <f>IF(#REF!=BD530,0,1)</f>
        <v>#REF!</v>
      </c>
      <c r="CD530" s="41" t="e">
        <f>IF(#REF!=BE530,0,1)</f>
        <v>#REF!</v>
      </c>
      <c r="CE530" s="41" t="e">
        <f>IF(#REF!=BF530,0,1)</f>
        <v>#REF!</v>
      </c>
      <c r="CF530" s="41">
        <f t="shared" ref="CF530:CF561" si="38">IF(X530=BG530,0,1)</f>
        <v>0</v>
      </c>
      <c r="CG530" s="41">
        <f t="shared" ref="CG530:CG561" si="39">IF(Z530=BH530,0,1)</f>
        <v>0</v>
      </c>
      <c r="CH530" s="41">
        <f t="shared" ref="CH530:CH561" si="40">IF(AA530=BI530,0,1)</f>
        <v>0</v>
      </c>
      <c r="CI530" s="41">
        <f t="shared" ref="CI530:CI561" si="41">IF(AB530=BJ530,0,1)</f>
        <v>0</v>
      </c>
      <c r="CJ530" s="41">
        <f t="shared" ref="CJ530:CJ561" si="42">IF(AC530=BK530,0,1)</f>
        <v>0</v>
      </c>
      <c r="CK530" s="41">
        <f t="shared" ref="CK530:CK561" si="43">IF(AD530=BL530,0,1)</f>
        <v>0</v>
      </c>
      <c r="CL530" s="41">
        <f t="shared" ref="CL530:CL561" si="44">IF(AE530=BM530,0,1)</f>
        <v>0</v>
      </c>
    </row>
    <row r="531" spans="1:90" x14ac:dyDescent="0.3">
      <c r="A531" s="41"/>
      <c r="B531" s="41"/>
      <c r="C531" s="41"/>
      <c r="D531" s="41"/>
      <c r="E531" s="56">
        <f>LB2prem_2</f>
        <v>0.13176882661996497</v>
      </c>
      <c r="F531" s="41"/>
      <c r="G531" s="64"/>
      <c r="H531" s="64"/>
      <c r="I531" s="64"/>
      <c r="J531" s="64"/>
      <c r="K531" s="65"/>
      <c r="L531" s="64"/>
      <c r="M531" s="56">
        <f>S_prem_2RDS_2</f>
        <v>0.45</v>
      </c>
      <c r="N531" s="64"/>
      <c r="O531" s="64"/>
      <c r="P531" s="64"/>
      <c r="Q531" s="57">
        <f>c_clinic_fu+c_CSG</f>
        <v>14403</v>
      </c>
      <c r="R531" s="57"/>
      <c r="S531" s="129"/>
      <c r="T531" s="105"/>
      <c r="U531" s="133"/>
      <c r="V531" s="133"/>
      <c r="W531" s="133"/>
      <c r="X531" s="133"/>
      <c r="Y531" s="133"/>
      <c r="Z531" s="134"/>
      <c r="AA531" s="6"/>
      <c r="AK531">
        <v>0.1733800350262697</v>
      </c>
      <c r="AS531">
        <v>0.45</v>
      </c>
      <c r="AW531">
        <v>3230</v>
      </c>
      <c r="BF531" s="41">
        <f t="shared" si="16"/>
        <v>0</v>
      </c>
      <c r="BG531" s="41">
        <f t="shared" si="17"/>
        <v>0</v>
      </c>
      <c r="BH531" s="41">
        <f t="shared" si="18"/>
        <v>0</v>
      </c>
      <c r="BI531" s="41">
        <f t="shared" si="19"/>
        <v>0</v>
      </c>
      <c r="BJ531" s="41">
        <f t="shared" si="20"/>
        <v>1</v>
      </c>
      <c r="BK531" s="41">
        <f t="shared" si="21"/>
        <v>0</v>
      </c>
      <c r="BL531" s="41">
        <f t="shared" si="22"/>
        <v>0</v>
      </c>
      <c r="BM531" s="41">
        <f t="shared" si="23"/>
        <v>0</v>
      </c>
      <c r="BN531" s="41">
        <f t="shared" si="24"/>
        <v>0</v>
      </c>
      <c r="BO531" s="41">
        <f t="shared" si="25"/>
        <v>0</v>
      </c>
      <c r="BP531" s="41">
        <f t="shared" si="26"/>
        <v>0</v>
      </c>
      <c r="BQ531" s="41">
        <f t="shared" si="27"/>
        <v>0</v>
      </c>
      <c r="BR531" s="41">
        <f t="shared" si="28"/>
        <v>0</v>
      </c>
      <c r="BS531" s="41">
        <f t="shared" si="29"/>
        <v>0</v>
      </c>
      <c r="BT531" s="41">
        <f t="shared" si="30"/>
        <v>0</v>
      </c>
      <c r="BU531" s="41">
        <f t="shared" si="31"/>
        <v>0</v>
      </c>
      <c r="BV531" s="41">
        <f t="shared" si="32"/>
        <v>1</v>
      </c>
      <c r="BW531" s="41">
        <f t="shared" si="33"/>
        <v>0</v>
      </c>
      <c r="BX531" s="41">
        <f t="shared" si="34"/>
        <v>0</v>
      </c>
      <c r="BY531" s="41">
        <f t="shared" si="35"/>
        <v>0</v>
      </c>
      <c r="BZ531" s="41">
        <f t="shared" si="36"/>
        <v>0</v>
      </c>
      <c r="CA531" s="41" t="e">
        <f>IF(#REF!=BB531,0,1)</f>
        <v>#REF!</v>
      </c>
      <c r="CB531" s="41">
        <f t="shared" si="37"/>
        <v>0</v>
      </c>
      <c r="CC531" s="41" t="e">
        <f>IF(#REF!=BD531,0,1)</f>
        <v>#REF!</v>
      </c>
      <c r="CD531" s="41" t="e">
        <f>IF(#REF!=BE531,0,1)</f>
        <v>#REF!</v>
      </c>
      <c r="CE531" s="41" t="e">
        <f>IF(#REF!=BF531,0,1)</f>
        <v>#REF!</v>
      </c>
      <c r="CF531" s="41">
        <f t="shared" si="38"/>
        <v>0</v>
      </c>
      <c r="CG531" s="41">
        <f t="shared" si="39"/>
        <v>0</v>
      </c>
      <c r="CH531" s="41">
        <f t="shared" si="40"/>
        <v>0</v>
      </c>
      <c r="CI531" s="41">
        <f t="shared" si="41"/>
        <v>1</v>
      </c>
      <c r="CJ531" s="41">
        <f t="shared" si="42"/>
        <v>0</v>
      </c>
      <c r="CK531" s="41">
        <f t="shared" si="43"/>
        <v>0</v>
      </c>
      <c r="CL531" s="41">
        <f t="shared" si="44"/>
        <v>0</v>
      </c>
    </row>
    <row r="532" spans="1:90" x14ac:dyDescent="0.3">
      <c r="A532" s="41"/>
      <c r="B532" s="41"/>
      <c r="C532" s="41"/>
      <c r="D532" s="41"/>
      <c r="E532" s="57">
        <f>c_prem</f>
        <v>577.9017081081081</v>
      </c>
      <c r="F532" s="41"/>
      <c r="G532" s="64"/>
      <c r="H532" s="64"/>
      <c r="I532" s="64"/>
      <c r="J532" s="64"/>
      <c r="K532" s="65"/>
      <c r="L532" s="64"/>
      <c r="M532" s="57">
        <f>c_RDS</f>
        <v>30595.610148205637</v>
      </c>
      <c r="N532" s="64"/>
      <c r="O532" s="64"/>
      <c r="P532" s="64"/>
      <c r="Q532" s="65"/>
      <c r="R532" s="65"/>
      <c r="S532" s="129"/>
      <c r="T532" s="105"/>
      <c r="U532" s="133"/>
      <c r="V532" s="133"/>
      <c r="W532" s="133"/>
      <c r="X532" s="133"/>
      <c r="Y532" s="133"/>
      <c r="Z532" s="134"/>
      <c r="AA532" s="6"/>
      <c r="AK532">
        <v>1653.34</v>
      </c>
      <c r="AS532">
        <v>23624</v>
      </c>
      <c r="BF532" s="41">
        <f t="shared" si="16"/>
        <v>0</v>
      </c>
      <c r="BG532" s="41">
        <f t="shared" si="17"/>
        <v>0</v>
      </c>
      <c r="BH532" s="41">
        <f t="shared" si="18"/>
        <v>0</v>
      </c>
      <c r="BI532" s="41">
        <f t="shared" si="19"/>
        <v>0</v>
      </c>
      <c r="BJ532" s="41">
        <f t="shared" si="20"/>
        <v>1</v>
      </c>
      <c r="BK532" s="41">
        <f t="shared" si="21"/>
        <v>0</v>
      </c>
      <c r="BL532" s="41">
        <f t="shared" si="22"/>
        <v>0</v>
      </c>
      <c r="BM532" s="41">
        <f t="shared" si="23"/>
        <v>0</v>
      </c>
      <c r="BN532" s="41">
        <f t="shared" si="24"/>
        <v>0</v>
      </c>
      <c r="BO532" s="41">
        <f t="shared" si="25"/>
        <v>0</v>
      </c>
      <c r="BP532" s="41">
        <f t="shared" si="26"/>
        <v>0</v>
      </c>
      <c r="BQ532" s="41">
        <f t="shared" si="27"/>
        <v>0</v>
      </c>
      <c r="BR532" s="41">
        <f t="shared" si="28"/>
        <v>1</v>
      </c>
      <c r="BS532" s="41">
        <f t="shared" si="29"/>
        <v>0</v>
      </c>
      <c r="BT532" s="41">
        <f t="shared" si="30"/>
        <v>0</v>
      </c>
      <c r="BU532" s="41">
        <f t="shared" si="31"/>
        <v>0</v>
      </c>
      <c r="BV532" s="41">
        <f t="shared" si="32"/>
        <v>0</v>
      </c>
      <c r="BW532" s="41">
        <f t="shared" si="33"/>
        <v>0</v>
      </c>
      <c r="BX532" s="41">
        <f t="shared" si="34"/>
        <v>0</v>
      </c>
      <c r="BY532" s="41">
        <f t="shared" si="35"/>
        <v>0</v>
      </c>
      <c r="BZ532" s="41">
        <f t="shared" si="36"/>
        <v>1</v>
      </c>
      <c r="CA532" s="41" t="e">
        <f>IF(#REF!=BB532,0,1)</f>
        <v>#REF!</v>
      </c>
      <c r="CB532" s="41">
        <f t="shared" si="37"/>
        <v>0</v>
      </c>
      <c r="CC532" s="41" t="e">
        <f>IF(#REF!=BD532,0,1)</f>
        <v>#REF!</v>
      </c>
      <c r="CD532" s="41" t="e">
        <f>IF(#REF!=BE532,0,1)</f>
        <v>#REF!</v>
      </c>
      <c r="CE532" s="41" t="e">
        <f>IF(#REF!=BF532,0,1)</f>
        <v>#REF!</v>
      </c>
      <c r="CF532" s="41">
        <f t="shared" si="38"/>
        <v>0</v>
      </c>
      <c r="CG532" s="41">
        <f t="shared" si="39"/>
        <v>0</v>
      </c>
      <c r="CH532" s="41">
        <f t="shared" si="40"/>
        <v>0</v>
      </c>
      <c r="CI532" s="41">
        <f t="shared" si="41"/>
        <v>1</v>
      </c>
      <c r="CJ532" s="41">
        <f t="shared" si="42"/>
        <v>0</v>
      </c>
      <c r="CK532" s="41">
        <f t="shared" si="43"/>
        <v>0</v>
      </c>
      <c r="CL532" s="41">
        <f t="shared" si="44"/>
        <v>0</v>
      </c>
    </row>
    <row r="533" spans="1:90" x14ac:dyDescent="0.3">
      <c r="A533" s="41"/>
      <c r="B533" s="41"/>
      <c r="C533" s="41"/>
      <c r="D533" s="41"/>
      <c r="E533" s="41"/>
      <c r="F533" s="41"/>
      <c r="G533" s="64"/>
      <c r="H533" s="64"/>
      <c r="I533" s="64"/>
      <c r="J533" s="64"/>
      <c r="K533" s="64"/>
      <c r="L533" s="64"/>
      <c r="M533" s="64"/>
      <c r="N533" s="64"/>
      <c r="O533" s="64"/>
      <c r="P533" s="64"/>
      <c r="Q533" s="54" t="s">
        <v>368</v>
      </c>
      <c r="R533" s="54"/>
      <c r="S533" s="129"/>
      <c r="T533" s="105"/>
      <c r="U533" s="133">
        <f>$G$493*$E$531*$C$600*$A$555*$I$525*$K$536*$M$531*$O$536*Q534</f>
        <v>4.0773660849896016E-4</v>
      </c>
      <c r="V533" s="133">
        <v>1.3845436532160028E-3</v>
      </c>
      <c r="W533" s="134">
        <f>$K$537+$I$526+$G$494+$E$532+$C$601+$A$556+$M$532+$O$537+Q535</f>
        <v>286654.78835871373</v>
      </c>
      <c r="X533" s="133">
        <f>u_ChronicResp</f>
        <v>0.53465956747782661</v>
      </c>
      <c r="Y533" s="133"/>
      <c r="Z533" s="134">
        <f>U533*W533</f>
        <v>116.87965121536915</v>
      </c>
      <c r="AA533" s="6">
        <f>U533*X533</f>
        <v>2.1800027874492996E-4</v>
      </c>
      <c r="AW533" t="s">
        <v>368</v>
      </c>
      <c r="AZ533">
        <v>1.3845436532160024E-3</v>
      </c>
      <c r="BF533" s="41">
        <f t="shared" si="16"/>
        <v>0</v>
      </c>
      <c r="BG533" s="41">
        <f t="shared" si="17"/>
        <v>0</v>
      </c>
      <c r="BH533" s="41">
        <f t="shared" si="18"/>
        <v>0</v>
      </c>
      <c r="BI533" s="41">
        <f t="shared" si="19"/>
        <v>0</v>
      </c>
      <c r="BJ533" s="41">
        <f t="shared" si="20"/>
        <v>0</v>
      </c>
      <c r="BK533" s="41">
        <f t="shared" si="21"/>
        <v>0</v>
      </c>
      <c r="BL533" s="41">
        <f t="shared" si="22"/>
        <v>0</v>
      </c>
      <c r="BM533" s="41">
        <f t="shared" si="23"/>
        <v>0</v>
      </c>
      <c r="BN533" s="41">
        <f t="shared" si="24"/>
        <v>0</v>
      </c>
      <c r="BO533" s="41">
        <f t="shared" si="25"/>
        <v>0</v>
      </c>
      <c r="BP533" s="41">
        <f t="shared" si="26"/>
        <v>0</v>
      </c>
      <c r="BQ533" s="41">
        <f t="shared" si="27"/>
        <v>0</v>
      </c>
      <c r="BR533" s="41">
        <f t="shared" si="28"/>
        <v>0</v>
      </c>
      <c r="BS533" s="41">
        <f t="shared" si="29"/>
        <v>0</v>
      </c>
      <c r="BT533" s="41">
        <f t="shared" si="30"/>
        <v>0</v>
      </c>
      <c r="BU533" s="41">
        <f t="shared" si="31"/>
        <v>0</v>
      </c>
      <c r="BV533" s="41">
        <f t="shared" si="32"/>
        <v>0</v>
      </c>
      <c r="BW533" s="41">
        <f t="shared" si="33"/>
        <v>0</v>
      </c>
      <c r="BX533" s="41">
        <f t="shared" si="34"/>
        <v>0</v>
      </c>
      <c r="BY533" s="41">
        <f t="shared" si="35"/>
        <v>1</v>
      </c>
      <c r="BZ533" s="41">
        <f t="shared" si="36"/>
        <v>0</v>
      </c>
      <c r="CA533" s="41" t="e">
        <f>IF(#REF!=BB533,0,1)</f>
        <v>#REF!</v>
      </c>
      <c r="CB533" s="41">
        <f t="shared" si="37"/>
        <v>1</v>
      </c>
      <c r="CC533" s="41" t="e">
        <f>IF(#REF!=BD533,0,1)</f>
        <v>#REF!</v>
      </c>
      <c r="CD533" s="41" t="e">
        <f>IF(#REF!=BE533,0,1)</f>
        <v>#REF!</v>
      </c>
      <c r="CE533" s="41" t="e">
        <f>IF(#REF!=BF533,0,1)</f>
        <v>#REF!</v>
      </c>
      <c r="CF533" s="41">
        <f t="shared" si="38"/>
        <v>1</v>
      </c>
      <c r="CG533" s="41">
        <f t="shared" si="39"/>
        <v>1</v>
      </c>
      <c r="CH533" s="41">
        <f t="shared" si="40"/>
        <v>1</v>
      </c>
      <c r="CI533" s="41">
        <f t="shared" si="41"/>
        <v>0</v>
      </c>
      <c r="CJ533" s="41">
        <f t="shared" si="42"/>
        <v>0</v>
      </c>
      <c r="CK533" s="41">
        <f t="shared" si="43"/>
        <v>0</v>
      </c>
      <c r="CL533" s="41">
        <f t="shared" si="44"/>
        <v>0</v>
      </c>
    </row>
    <row r="534" spans="1:90" x14ac:dyDescent="0.3">
      <c r="A534" s="41"/>
      <c r="B534" s="41"/>
      <c r="C534" s="41"/>
      <c r="D534" s="41"/>
      <c r="E534" s="41"/>
      <c r="F534" s="41"/>
      <c r="G534" s="64"/>
      <c r="H534" s="64"/>
      <c r="I534" s="64"/>
      <c r="J534" s="64"/>
      <c r="K534" s="64"/>
      <c r="L534" s="64"/>
      <c r="M534" s="64"/>
      <c r="N534" s="64"/>
      <c r="O534" s="64"/>
      <c r="P534" s="64"/>
      <c r="Q534" s="56">
        <f>RDS2CLD_2-(RDS2CLD_2*noHypo2CI_2)</f>
        <v>0.34905610687022898</v>
      </c>
      <c r="R534" s="56"/>
      <c r="S534" s="129"/>
      <c r="T534" s="105"/>
      <c r="U534" s="133"/>
      <c r="V534" s="133"/>
      <c r="W534" s="133"/>
      <c r="X534" s="133"/>
      <c r="Y534" s="133"/>
      <c r="Z534" s="134"/>
      <c r="AA534" s="6"/>
      <c r="AW534">
        <v>0.34905610687022898</v>
      </c>
      <c r="BF534" s="41">
        <f t="shared" si="16"/>
        <v>0</v>
      </c>
      <c r="BG534" s="41">
        <f t="shared" si="17"/>
        <v>0</v>
      </c>
      <c r="BH534" s="41">
        <f t="shared" si="18"/>
        <v>0</v>
      </c>
      <c r="BI534" s="41">
        <f t="shared" si="19"/>
        <v>0</v>
      </c>
      <c r="BJ534" s="41">
        <f t="shared" si="20"/>
        <v>0</v>
      </c>
      <c r="BK534" s="41">
        <f t="shared" si="21"/>
        <v>0</v>
      </c>
      <c r="BL534" s="41">
        <f t="shared" si="22"/>
        <v>0</v>
      </c>
      <c r="BM534" s="41">
        <f t="shared" si="23"/>
        <v>0</v>
      </c>
      <c r="BN534" s="41">
        <f t="shared" si="24"/>
        <v>0</v>
      </c>
      <c r="BO534" s="41">
        <f t="shared" si="25"/>
        <v>0</v>
      </c>
      <c r="BP534" s="41">
        <f t="shared" si="26"/>
        <v>0</v>
      </c>
      <c r="BQ534" s="41">
        <f t="shared" si="27"/>
        <v>0</v>
      </c>
      <c r="BR534" s="41">
        <f t="shared" si="28"/>
        <v>0</v>
      </c>
      <c r="BS534" s="41">
        <f t="shared" si="29"/>
        <v>0</v>
      </c>
      <c r="BT534" s="41">
        <f t="shared" si="30"/>
        <v>0</v>
      </c>
      <c r="BU534" s="41">
        <f t="shared" si="31"/>
        <v>0</v>
      </c>
      <c r="BV534" s="41">
        <f t="shared" si="32"/>
        <v>0</v>
      </c>
      <c r="BW534" s="41">
        <f t="shared" si="33"/>
        <v>0</v>
      </c>
      <c r="BX534" s="41">
        <f t="shared" si="34"/>
        <v>0</v>
      </c>
      <c r="BY534" s="41">
        <f t="shared" si="35"/>
        <v>0</v>
      </c>
      <c r="BZ534" s="41">
        <f t="shared" si="36"/>
        <v>0</v>
      </c>
      <c r="CA534" s="41" t="e">
        <f>IF(#REF!=BB534,0,1)</f>
        <v>#REF!</v>
      </c>
      <c r="CB534" s="41">
        <f t="shared" si="37"/>
        <v>0</v>
      </c>
      <c r="CC534" s="41" t="e">
        <f>IF(#REF!=BD534,0,1)</f>
        <v>#REF!</v>
      </c>
      <c r="CD534" s="41" t="e">
        <f>IF(#REF!=BE534,0,1)</f>
        <v>#REF!</v>
      </c>
      <c r="CE534" s="41" t="e">
        <f>IF(#REF!=BF534,0,1)</f>
        <v>#REF!</v>
      </c>
      <c r="CF534" s="41">
        <f t="shared" si="38"/>
        <v>0</v>
      </c>
      <c r="CG534" s="41">
        <f t="shared" si="39"/>
        <v>0</v>
      </c>
      <c r="CH534" s="41">
        <f t="shared" si="40"/>
        <v>0</v>
      </c>
      <c r="CI534" s="41">
        <f t="shared" si="41"/>
        <v>0</v>
      </c>
      <c r="CJ534" s="41">
        <f t="shared" si="42"/>
        <v>0</v>
      </c>
      <c r="CK534" s="41">
        <f t="shared" si="43"/>
        <v>0</v>
      </c>
      <c r="CL534" s="41">
        <f t="shared" si="44"/>
        <v>0</v>
      </c>
    </row>
    <row r="535" spans="1:90" x14ac:dyDescent="0.3">
      <c r="A535" s="41"/>
      <c r="B535" s="41"/>
      <c r="C535" s="41"/>
      <c r="D535" s="41"/>
      <c r="E535" s="41"/>
      <c r="F535" s="41"/>
      <c r="G535" s="64"/>
      <c r="H535" s="64"/>
      <c r="I535" s="64"/>
      <c r="J535" s="64"/>
      <c r="K535" s="54" t="s">
        <v>37</v>
      </c>
      <c r="L535" s="64"/>
      <c r="M535" s="65"/>
      <c r="N535" s="64"/>
      <c r="O535" s="54" t="s">
        <v>371</v>
      </c>
      <c r="P535" s="64"/>
      <c r="Q535" s="57">
        <f>c_lung+c_hosp_fu+c_CSG</f>
        <v>54529.510902399998</v>
      </c>
      <c r="R535" s="57"/>
      <c r="S535" s="129"/>
      <c r="T535" s="105"/>
      <c r="U535" s="133"/>
      <c r="V535" s="133"/>
      <c r="W535" s="133"/>
      <c r="X535" s="133"/>
      <c r="Y535" s="133"/>
      <c r="Z535" s="134"/>
      <c r="AA535" s="6"/>
      <c r="AQ535" t="s">
        <v>37</v>
      </c>
      <c r="AU535" t="s">
        <v>371</v>
      </c>
      <c r="AW535">
        <v>42323.200000000004</v>
      </c>
      <c r="BF535" s="41">
        <f t="shared" si="16"/>
        <v>0</v>
      </c>
      <c r="BG535" s="41">
        <f t="shared" si="17"/>
        <v>0</v>
      </c>
      <c r="BH535" s="41">
        <f t="shared" si="18"/>
        <v>0</v>
      </c>
      <c r="BI535" s="41">
        <f t="shared" si="19"/>
        <v>0</v>
      </c>
      <c r="BJ535" s="41">
        <f t="shared" si="20"/>
        <v>0</v>
      </c>
      <c r="BK535" s="41">
        <f t="shared" si="21"/>
        <v>0</v>
      </c>
      <c r="BL535" s="41">
        <f t="shared" si="22"/>
        <v>0</v>
      </c>
      <c r="BM535" s="41">
        <f t="shared" si="23"/>
        <v>0</v>
      </c>
      <c r="BN535" s="41">
        <f t="shared" si="24"/>
        <v>0</v>
      </c>
      <c r="BO535" s="41">
        <f t="shared" si="25"/>
        <v>0</v>
      </c>
      <c r="BP535" s="41">
        <f t="shared" si="26"/>
        <v>0</v>
      </c>
      <c r="BQ535" s="41">
        <f t="shared" si="27"/>
        <v>0</v>
      </c>
      <c r="BR535" s="41">
        <f t="shared" si="28"/>
        <v>0</v>
      </c>
      <c r="BS535" s="41">
        <f t="shared" si="29"/>
        <v>0</v>
      </c>
      <c r="BT535" s="41">
        <f t="shared" si="30"/>
        <v>0</v>
      </c>
      <c r="BU535" s="41">
        <f t="shared" si="31"/>
        <v>0</v>
      </c>
      <c r="BV535" s="41">
        <f t="shared" si="32"/>
        <v>1</v>
      </c>
      <c r="BW535" s="41">
        <f t="shared" si="33"/>
        <v>0</v>
      </c>
      <c r="BX535" s="41">
        <f t="shared" si="34"/>
        <v>0</v>
      </c>
      <c r="BY535" s="41">
        <f t="shared" si="35"/>
        <v>0</v>
      </c>
      <c r="BZ535" s="41">
        <f t="shared" si="36"/>
        <v>1</v>
      </c>
      <c r="CA535" s="41" t="e">
        <f>IF(#REF!=BB535,0,1)</f>
        <v>#REF!</v>
      </c>
      <c r="CB535" s="41">
        <f t="shared" si="37"/>
        <v>0</v>
      </c>
      <c r="CC535" s="41" t="e">
        <f>IF(#REF!=BD535,0,1)</f>
        <v>#REF!</v>
      </c>
      <c r="CD535" s="41" t="e">
        <f>IF(#REF!=BE535,0,1)</f>
        <v>#REF!</v>
      </c>
      <c r="CE535" s="41" t="e">
        <f>IF(#REF!=BF535,0,1)</f>
        <v>#REF!</v>
      </c>
      <c r="CF535" s="41">
        <f t="shared" si="38"/>
        <v>0</v>
      </c>
      <c r="CG535" s="41">
        <f t="shared" si="39"/>
        <v>0</v>
      </c>
      <c r="CH535" s="41">
        <f t="shared" si="40"/>
        <v>0</v>
      </c>
      <c r="CI535" s="41">
        <f t="shared" si="41"/>
        <v>0</v>
      </c>
      <c r="CJ535" s="41">
        <f t="shared" si="42"/>
        <v>0</v>
      </c>
      <c r="CK535" s="41">
        <f t="shared" si="43"/>
        <v>0</v>
      </c>
      <c r="CL535" s="41">
        <f t="shared" si="44"/>
        <v>0</v>
      </c>
    </row>
    <row r="536" spans="1:90" x14ac:dyDescent="0.3">
      <c r="A536" s="41"/>
      <c r="B536" s="41"/>
      <c r="C536" s="41"/>
      <c r="D536" s="41"/>
      <c r="E536" s="41"/>
      <c r="F536" s="41"/>
      <c r="G536" s="64"/>
      <c r="H536" s="64"/>
      <c r="I536" s="64"/>
      <c r="J536" s="64"/>
      <c r="K536" s="56">
        <f>AGA_prem_2s_2</f>
        <v>0.96869424999999998</v>
      </c>
      <c r="L536" s="64"/>
      <c r="M536" s="64"/>
      <c r="N536" s="64"/>
      <c r="O536" s="56">
        <f>AGA_prem_2normoglycaemia_2</f>
        <v>0.85</v>
      </c>
      <c r="P536" s="64"/>
      <c r="Q536" s="54" t="s">
        <v>226</v>
      </c>
      <c r="R536" s="54"/>
      <c r="S536" s="129"/>
      <c r="T536" s="105"/>
      <c r="U536" s="133">
        <f>$G$493*$E$531*$C$600*$A$555*$I$525*$K$536*$M$531*$O$536*Q537</f>
        <v>2.4695852960767595E-5</v>
      </c>
      <c r="V536" s="133">
        <v>8.3859250714480804E-5</v>
      </c>
      <c r="W536" s="134">
        <f>$K$537+$I$526+$G$494+$E$532+$C$601+$A$556+$M$532+$O$537+Q538</f>
        <v>247891.27745631372</v>
      </c>
      <c r="X536" s="133">
        <f>u_CongnitiveImpairement</f>
        <v>17.270393127285455</v>
      </c>
      <c r="Y536" s="133"/>
      <c r="Z536" s="134">
        <f>U536*W536</f>
        <v>6.121886538317967</v>
      </c>
      <c r="AA536" s="6">
        <f>U536*X536</f>
        <v>4.2650708924609284E-4</v>
      </c>
      <c r="AQ536">
        <v>0.96482500000000004</v>
      </c>
      <c r="AU536">
        <v>0.85</v>
      </c>
      <c r="AW536" t="s">
        <v>226</v>
      </c>
      <c r="AZ536">
        <v>8.3859250714480777E-5</v>
      </c>
      <c r="BF536" s="41">
        <f t="shared" si="16"/>
        <v>0</v>
      </c>
      <c r="BG536" s="41">
        <f t="shared" si="17"/>
        <v>0</v>
      </c>
      <c r="BH536" s="41">
        <f t="shared" si="18"/>
        <v>0</v>
      </c>
      <c r="BI536" s="41">
        <f t="shared" si="19"/>
        <v>0</v>
      </c>
      <c r="BJ536" s="41">
        <f t="shared" si="20"/>
        <v>0</v>
      </c>
      <c r="BK536" s="41">
        <f t="shared" si="21"/>
        <v>0</v>
      </c>
      <c r="BL536" s="41">
        <f t="shared" si="22"/>
        <v>0</v>
      </c>
      <c r="BM536" s="41">
        <f t="shared" si="23"/>
        <v>0</v>
      </c>
      <c r="BN536" s="41">
        <f t="shared" si="24"/>
        <v>0</v>
      </c>
      <c r="BO536" s="41">
        <f t="shared" si="25"/>
        <v>0</v>
      </c>
      <c r="BP536" s="41">
        <f t="shared" si="26"/>
        <v>1</v>
      </c>
      <c r="BQ536" s="41">
        <f t="shared" si="27"/>
        <v>0</v>
      </c>
      <c r="BR536" s="41">
        <f t="shared" si="28"/>
        <v>0</v>
      </c>
      <c r="BS536" s="41">
        <f t="shared" si="29"/>
        <v>0</v>
      </c>
      <c r="BT536" s="41">
        <f t="shared" si="30"/>
        <v>0</v>
      </c>
      <c r="BU536" s="41">
        <f t="shared" si="31"/>
        <v>0</v>
      </c>
      <c r="BV536" s="41">
        <f t="shared" si="32"/>
        <v>0</v>
      </c>
      <c r="BW536" s="41">
        <f t="shared" si="33"/>
        <v>0</v>
      </c>
      <c r="BX536" s="41">
        <f t="shared" si="34"/>
        <v>0</v>
      </c>
      <c r="BY536" s="41">
        <f t="shared" si="35"/>
        <v>1</v>
      </c>
      <c r="BZ536" s="41">
        <f t="shared" si="36"/>
        <v>0</v>
      </c>
      <c r="CA536" s="41" t="e">
        <f>IF(#REF!=BB536,0,1)</f>
        <v>#REF!</v>
      </c>
      <c r="CB536" s="41">
        <f t="shared" si="37"/>
        <v>1</v>
      </c>
      <c r="CC536" s="41" t="e">
        <f>IF(#REF!=BD536,0,1)</f>
        <v>#REF!</v>
      </c>
      <c r="CD536" s="41" t="e">
        <f>IF(#REF!=BE536,0,1)</f>
        <v>#REF!</v>
      </c>
      <c r="CE536" s="41" t="e">
        <f>IF(#REF!=BF536,0,1)</f>
        <v>#REF!</v>
      </c>
      <c r="CF536" s="41">
        <f t="shared" si="38"/>
        <v>1</v>
      </c>
      <c r="CG536" s="41">
        <f t="shared" si="39"/>
        <v>1</v>
      </c>
      <c r="CH536" s="41">
        <f t="shared" si="40"/>
        <v>1</v>
      </c>
      <c r="CI536" s="41">
        <f t="shared" si="41"/>
        <v>0</v>
      </c>
      <c r="CJ536" s="41">
        <f t="shared" si="42"/>
        <v>0</v>
      </c>
      <c r="CK536" s="41">
        <f t="shared" si="43"/>
        <v>0</v>
      </c>
      <c r="CL536" s="41">
        <f t="shared" si="44"/>
        <v>0</v>
      </c>
    </row>
    <row r="537" spans="1:90" x14ac:dyDescent="0.3">
      <c r="A537" s="41"/>
      <c r="B537" s="41"/>
      <c r="C537" s="41"/>
      <c r="D537" s="41"/>
      <c r="E537" s="41"/>
      <c r="F537" s="41"/>
      <c r="G537" s="64"/>
      <c r="H537" s="64"/>
      <c r="I537" s="64"/>
      <c r="J537" s="64"/>
      <c r="K537" s="57"/>
      <c r="L537" s="64"/>
      <c r="M537" s="64"/>
      <c r="N537" s="64"/>
      <c r="O537" s="57"/>
      <c r="P537" s="64"/>
      <c r="Q537" s="56">
        <f>noHypo2CI_2-(RDS2CLD_2*noHypo2CI_2)</f>
        <v>2.1141683406990762E-2</v>
      </c>
      <c r="R537" s="56"/>
      <c r="S537" s="129"/>
      <c r="T537" s="105"/>
      <c r="U537" s="133"/>
      <c r="V537" s="133"/>
      <c r="W537" s="133"/>
      <c r="X537" s="133"/>
      <c r="Y537" s="133"/>
      <c r="Z537" s="134"/>
      <c r="AA537" s="6"/>
      <c r="AW537">
        <v>2.1141683406990762E-2</v>
      </c>
      <c r="BF537" s="41">
        <f t="shared" si="16"/>
        <v>0</v>
      </c>
      <c r="BG537" s="41">
        <f t="shared" si="17"/>
        <v>0</v>
      </c>
      <c r="BH537" s="41">
        <f t="shared" si="18"/>
        <v>0</v>
      </c>
      <c r="BI537" s="41">
        <f t="shared" si="19"/>
        <v>0</v>
      </c>
      <c r="BJ537" s="41">
        <f t="shared" si="20"/>
        <v>0</v>
      </c>
      <c r="BK537" s="41">
        <f t="shared" si="21"/>
        <v>0</v>
      </c>
      <c r="BL537" s="41">
        <f t="shared" si="22"/>
        <v>0</v>
      </c>
      <c r="BM537" s="41">
        <f t="shared" si="23"/>
        <v>0</v>
      </c>
      <c r="BN537" s="41">
        <f t="shared" si="24"/>
        <v>0</v>
      </c>
      <c r="BO537" s="41">
        <f t="shared" si="25"/>
        <v>0</v>
      </c>
      <c r="BP537" s="41">
        <f t="shared" si="26"/>
        <v>0</v>
      </c>
      <c r="BQ537" s="41">
        <f t="shared" si="27"/>
        <v>0</v>
      </c>
      <c r="BR537" s="41">
        <f t="shared" si="28"/>
        <v>0</v>
      </c>
      <c r="BS537" s="41">
        <f t="shared" si="29"/>
        <v>0</v>
      </c>
      <c r="BT537" s="41">
        <f t="shared" si="30"/>
        <v>0</v>
      </c>
      <c r="BU537" s="41">
        <f t="shared" si="31"/>
        <v>0</v>
      </c>
      <c r="BV537" s="41">
        <f t="shared" si="32"/>
        <v>0</v>
      </c>
      <c r="BW537" s="41">
        <f t="shared" si="33"/>
        <v>0</v>
      </c>
      <c r="BX537" s="41">
        <f t="shared" si="34"/>
        <v>0</v>
      </c>
      <c r="BY537" s="41">
        <f t="shared" si="35"/>
        <v>0</v>
      </c>
      <c r="BZ537" s="41">
        <f t="shared" si="36"/>
        <v>0</v>
      </c>
      <c r="CA537" s="41" t="e">
        <f>IF(#REF!=BB537,0,1)</f>
        <v>#REF!</v>
      </c>
      <c r="CB537" s="41">
        <f t="shared" si="37"/>
        <v>0</v>
      </c>
      <c r="CC537" s="41" t="e">
        <f>IF(#REF!=BD537,0,1)</f>
        <v>#REF!</v>
      </c>
      <c r="CD537" s="41" t="e">
        <f>IF(#REF!=BE537,0,1)</f>
        <v>#REF!</v>
      </c>
      <c r="CE537" s="41" t="e">
        <f>IF(#REF!=BF537,0,1)</f>
        <v>#REF!</v>
      </c>
      <c r="CF537" s="41">
        <f t="shared" si="38"/>
        <v>0</v>
      </c>
      <c r="CG537" s="41">
        <f t="shared" si="39"/>
        <v>0</v>
      </c>
      <c r="CH537" s="41">
        <f t="shared" si="40"/>
        <v>0</v>
      </c>
      <c r="CI537" s="41">
        <f t="shared" si="41"/>
        <v>0</v>
      </c>
      <c r="CJ537" s="41">
        <f t="shared" si="42"/>
        <v>0</v>
      </c>
      <c r="CK537" s="41">
        <f t="shared" si="43"/>
        <v>0</v>
      </c>
      <c r="CL537" s="41">
        <f t="shared" si="44"/>
        <v>0</v>
      </c>
    </row>
    <row r="538" spans="1:90" x14ac:dyDescent="0.3">
      <c r="A538" s="41"/>
      <c r="B538" s="41"/>
      <c r="C538" s="41"/>
      <c r="D538" s="41"/>
      <c r="E538" s="41"/>
      <c r="F538" s="41"/>
      <c r="G538" s="41"/>
      <c r="H538" s="64"/>
      <c r="I538" s="64"/>
      <c r="J538" s="64"/>
      <c r="K538" s="64"/>
      <c r="L538" s="64"/>
      <c r="M538" s="64"/>
      <c r="N538" s="64"/>
      <c r="O538" s="53"/>
      <c r="P538" s="64"/>
      <c r="Q538" s="57">
        <f>c_cog+c_hosp_fu+c_CSG</f>
        <v>15766</v>
      </c>
      <c r="R538" s="57"/>
      <c r="S538" s="129"/>
      <c r="T538" s="105"/>
      <c r="U538" s="133"/>
      <c r="V538" s="133"/>
      <c r="W538" s="133"/>
      <c r="X538" s="133"/>
      <c r="Y538" s="133"/>
      <c r="Z538" s="134"/>
      <c r="AA538" s="6"/>
      <c r="AW538">
        <v>4840</v>
      </c>
      <c r="BF538" s="41">
        <f t="shared" si="16"/>
        <v>0</v>
      </c>
      <c r="BG538" s="41">
        <f t="shared" si="17"/>
        <v>0</v>
      </c>
      <c r="BH538" s="41">
        <f t="shared" si="18"/>
        <v>0</v>
      </c>
      <c r="BI538" s="41">
        <f t="shared" si="19"/>
        <v>0</v>
      </c>
      <c r="BJ538" s="41">
        <f t="shared" si="20"/>
        <v>0</v>
      </c>
      <c r="BK538" s="41">
        <f t="shared" si="21"/>
        <v>0</v>
      </c>
      <c r="BL538" s="41">
        <f t="shared" si="22"/>
        <v>0</v>
      </c>
      <c r="BM538" s="41">
        <f t="shared" si="23"/>
        <v>0</v>
      </c>
      <c r="BN538" s="41">
        <f t="shared" si="24"/>
        <v>0</v>
      </c>
      <c r="BO538" s="41">
        <f t="shared" si="25"/>
        <v>0</v>
      </c>
      <c r="BP538" s="41">
        <f t="shared" si="26"/>
        <v>0</v>
      </c>
      <c r="BQ538" s="41">
        <f t="shared" si="27"/>
        <v>0</v>
      </c>
      <c r="BR538" s="41">
        <f t="shared" si="28"/>
        <v>0</v>
      </c>
      <c r="BS538" s="41">
        <f t="shared" si="29"/>
        <v>0</v>
      </c>
      <c r="BT538" s="41">
        <f t="shared" si="30"/>
        <v>0</v>
      </c>
      <c r="BU538" s="41">
        <f t="shared" si="31"/>
        <v>0</v>
      </c>
      <c r="BV538" s="41">
        <f t="shared" si="32"/>
        <v>1</v>
      </c>
      <c r="BW538" s="41">
        <f t="shared" si="33"/>
        <v>0</v>
      </c>
      <c r="BX538" s="41">
        <f t="shared" si="34"/>
        <v>0</v>
      </c>
      <c r="BY538" s="41">
        <f t="shared" si="35"/>
        <v>0</v>
      </c>
      <c r="BZ538" s="41">
        <f t="shared" si="36"/>
        <v>1</v>
      </c>
      <c r="CA538" s="41" t="e">
        <f>IF(#REF!=BB538,0,1)</f>
        <v>#REF!</v>
      </c>
      <c r="CB538" s="41">
        <f t="shared" si="37"/>
        <v>0</v>
      </c>
      <c r="CC538" s="41" t="e">
        <f>IF(#REF!=BD538,0,1)</f>
        <v>#REF!</v>
      </c>
      <c r="CD538" s="41" t="e">
        <f>IF(#REF!=BE538,0,1)</f>
        <v>#REF!</v>
      </c>
      <c r="CE538" s="41" t="e">
        <f>IF(#REF!=BF538,0,1)</f>
        <v>#REF!</v>
      </c>
      <c r="CF538" s="41">
        <f t="shared" si="38"/>
        <v>0</v>
      </c>
      <c r="CG538" s="41">
        <f t="shared" si="39"/>
        <v>0</v>
      </c>
      <c r="CH538" s="41">
        <f t="shared" si="40"/>
        <v>0</v>
      </c>
      <c r="CI538" s="41">
        <f t="shared" si="41"/>
        <v>0</v>
      </c>
      <c r="CJ538" s="41">
        <f t="shared" si="42"/>
        <v>0</v>
      </c>
      <c r="CK538" s="41">
        <f t="shared" si="43"/>
        <v>0</v>
      </c>
      <c r="CL538" s="41">
        <f t="shared" si="44"/>
        <v>0</v>
      </c>
    </row>
    <row r="539" spans="1:90" x14ac:dyDescent="0.3">
      <c r="A539" s="41"/>
      <c r="B539" s="41"/>
      <c r="C539" s="41"/>
      <c r="D539" s="41"/>
      <c r="E539" s="41"/>
      <c r="F539" s="41"/>
      <c r="G539" s="41"/>
      <c r="H539" s="64"/>
      <c r="I539" s="64"/>
      <c r="J539" s="64"/>
      <c r="K539" s="64"/>
      <c r="L539" s="64"/>
      <c r="M539" s="64"/>
      <c r="N539" s="64"/>
      <c r="O539" s="53"/>
      <c r="P539" s="64"/>
      <c r="Q539" s="54" t="s">
        <v>369</v>
      </c>
      <c r="R539" s="54"/>
      <c r="S539" s="129"/>
      <c r="T539" s="105"/>
      <c r="U539" s="133">
        <f>$G$493*$E$531*$C$600*$A$555*$I$525*$K$536*$M$531*$O$536*Q540</f>
        <v>1.3951804254831141E-5</v>
      </c>
      <c r="V539" s="133">
        <v>4.7375883423986795E-5</v>
      </c>
      <c r="W539" s="134">
        <f>$K$537+$I$526+$G$494+$E$532+$C$601+$A$556+$M$532+$O$537+Q541</f>
        <v>290473.78835871373</v>
      </c>
      <c r="X539" s="133">
        <f>u_ChronicResp+u_CongnitiveImpairement</f>
        <v>17.805052694763283</v>
      </c>
      <c r="Y539" s="133"/>
      <c r="Z539" s="134">
        <f>U539*W539</f>
        <v>4.0526334363400229</v>
      </c>
      <c r="AA539" s="6">
        <f>U539*X539</f>
        <v>2.4841260994429103E-4</v>
      </c>
      <c r="AW539" t="s">
        <v>369</v>
      </c>
      <c r="AZ539">
        <v>4.7375883423986789E-5</v>
      </c>
      <c r="BF539" s="41">
        <f t="shared" si="16"/>
        <v>0</v>
      </c>
      <c r="BG539" s="41">
        <f t="shared" si="17"/>
        <v>0</v>
      </c>
      <c r="BH539" s="41">
        <f t="shared" si="18"/>
        <v>0</v>
      </c>
      <c r="BI539" s="41">
        <f t="shared" si="19"/>
        <v>0</v>
      </c>
      <c r="BJ539" s="41">
        <f t="shared" si="20"/>
        <v>0</v>
      </c>
      <c r="BK539" s="41">
        <f t="shared" si="21"/>
        <v>0</v>
      </c>
      <c r="BL539" s="41">
        <f t="shared" si="22"/>
        <v>0</v>
      </c>
      <c r="BM539" s="41">
        <f t="shared" si="23"/>
        <v>0</v>
      </c>
      <c r="BN539" s="41">
        <f t="shared" si="24"/>
        <v>0</v>
      </c>
      <c r="BO539" s="41">
        <f t="shared" si="25"/>
        <v>0</v>
      </c>
      <c r="BP539" s="41">
        <f t="shared" si="26"/>
        <v>0</v>
      </c>
      <c r="BQ539" s="41">
        <f t="shared" si="27"/>
        <v>0</v>
      </c>
      <c r="BR539" s="41">
        <f t="shared" si="28"/>
        <v>0</v>
      </c>
      <c r="BS539" s="41">
        <f t="shared" si="29"/>
        <v>0</v>
      </c>
      <c r="BT539" s="41">
        <f t="shared" si="30"/>
        <v>0</v>
      </c>
      <c r="BU539" s="41">
        <f t="shared" si="31"/>
        <v>0</v>
      </c>
      <c r="BV539" s="41">
        <f t="shared" si="32"/>
        <v>0</v>
      </c>
      <c r="BW539" s="41">
        <f t="shared" si="33"/>
        <v>0</v>
      </c>
      <c r="BX539" s="41">
        <f t="shared" si="34"/>
        <v>0</v>
      </c>
      <c r="BY539" s="41">
        <f t="shared" si="35"/>
        <v>1</v>
      </c>
      <c r="BZ539" s="41">
        <f t="shared" si="36"/>
        <v>0</v>
      </c>
      <c r="CA539" s="41" t="e">
        <f>IF(#REF!=BB539,0,1)</f>
        <v>#REF!</v>
      </c>
      <c r="CB539" s="41">
        <f t="shared" si="37"/>
        <v>1</v>
      </c>
      <c r="CC539" s="41" t="e">
        <f>IF(#REF!=BD539,0,1)</f>
        <v>#REF!</v>
      </c>
      <c r="CD539" s="41" t="e">
        <f>IF(#REF!=BE539,0,1)</f>
        <v>#REF!</v>
      </c>
      <c r="CE539" s="41" t="e">
        <f>IF(#REF!=BF539,0,1)</f>
        <v>#REF!</v>
      </c>
      <c r="CF539" s="41">
        <f t="shared" si="38"/>
        <v>1</v>
      </c>
      <c r="CG539" s="41">
        <f t="shared" si="39"/>
        <v>1</v>
      </c>
      <c r="CH539" s="41">
        <f t="shared" si="40"/>
        <v>1</v>
      </c>
      <c r="CI539" s="41">
        <f t="shared" si="41"/>
        <v>0</v>
      </c>
      <c r="CJ539" s="41">
        <f t="shared" si="42"/>
        <v>0</v>
      </c>
      <c r="CK539" s="41">
        <f t="shared" si="43"/>
        <v>0</v>
      </c>
      <c r="CL539" s="41">
        <f t="shared" si="44"/>
        <v>0</v>
      </c>
    </row>
    <row r="540" spans="1:90" x14ac:dyDescent="0.3">
      <c r="A540" s="41"/>
      <c r="B540" s="41"/>
      <c r="C540" s="41"/>
      <c r="D540" s="41"/>
      <c r="E540" s="41"/>
      <c r="F540" s="41"/>
      <c r="G540" s="41"/>
      <c r="H540" s="64"/>
      <c r="I540" s="64"/>
      <c r="J540" s="64"/>
      <c r="K540" s="64"/>
      <c r="L540" s="64"/>
      <c r="M540" s="64"/>
      <c r="N540" s="64"/>
      <c r="O540" s="53"/>
      <c r="P540" s="64"/>
      <c r="Q540" s="56">
        <f>RDS2CLD_2*noHypo2CI_2</f>
        <v>1.1943893129770991E-2</v>
      </c>
      <c r="R540" s="56"/>
      <c r="S540" s="129"/>
      <c r="T540" s="105"/>
      <c r="U540" s="133"/>
      <c r="V540" s="133"/>
      <c r="W540" s="133"/>
      <c r="X540" s="133"/>
      <c r="Y540" s="133"/>
      <c r="Z540" s="134"/>
      <c r="AA540" s="6"/>
      <c r="AW540">
        <v>1.1943893129770991E-2</v>
      </c>
      <c r="BF540" s="41">
        <f t="shared" si="16"/>
        <v>0</v>
      </c>
      <c r="BG540" s="41">
        <f t="shared" si="17"/>
        <v>0</v>
      </c>
      <c r="BH540" s="41">
        <f t="shared" si="18"/>
        <v>0</v>
      </c>
      <c r="BI540" s="41">
        <f t="shared" si="19"/>
        <v>0</v>
      </c>
      <c r="BJ540" s="41">
        <f t="shared" si="20"/>
        <v>0</v>
      </c>
      <c r="BK540" s="41">
        <f t="shared" si="21"/>
        <v>0</v>
      </c>
      <c r="BL540" s="41">
        <f t="shared" si="22"/>
        <v>0</v>
      </c>
      <c r="BM540" s="41">
        <f t="shared" si="23"/>
        <v>0</v>
      </c>
      <c r="BN540" s="41">
        <f t="shared" si="24"/>
        <v>0</v>
      </c>
      <c r="BO540" s="41">
        <f t="shared" si="25"/>
        <v>0</v>
      </c>
      <c r="BP540" s="41">
        <f t="shared" si="26"/>
        <v>0</v>
      </c>
      <c r="BQ540" s="41">
        <f t="shared" si="27"/>
        <v>0</v>
      </c>
      <c r="BR540" s="41">
        <f t="shared" si="28"/>
        <v>0</v>
      </c>
      <c r="BS540" s="41">
        <f t="shared" si="29"/>
        <v>0</v>
      </c>
      <c r="BT540" s="41">
        <f t="shared" si="30"/>
        <v>0</v>
      </c>
      <c r="BU540" s="41">
        <f t="shared" si="31"/>
        <v>0</v>
      </c>
      <c r="BV540" s="41">
        <f t="shared" si="32"/>
        <v>0</v>
      </c>
      <c r="BW540" s="41">
        <f t="shared" si="33"/>
        <v>0</v>
      </c>
      <c r="BX540" s="41">
        <f t="shared" si="34"/>
        <v>0</v>
      </c>
      <c r="BY540" s="41">
        <f t="shared" si="35"/>
        <v>0</v>
      </c>
      <c r="BZ540" s="41">
        <f t="shared" si="36"/>
        <v>0</v>
      </c>
      <c r="CA540" s="41" t="e">
        <f>IF(#REF!=BB540,0,1)</f>
        <v>#REF!</v>
      </c>
      <c r="CB540" s="41">
        <f t="shared" si="37"/>
        <v>0</v>
      </c>
      <c r="CC540" s="41" t="e">
        <f>IF(#REF!=BD540,0,1)</f>
        <v>#REF!</v>
      </c>
      <c r="CD540" s="41" t="e">
        <f>IF(#REF!=BE540,0,1)</f>
        <v>#REF!</v>
      </c>
      <c r="CE540" s="41" t="e">
        <f>IF(#REF!=BF540,0,1)</f>
        <v>#REF!</v>
      </c>
      <c r="CF540" s="41">
        <f t="shared" si="38"/>
        <v>0</v>
      </c>
      <c r="CG540" s="41">
        <f t="shared" si="39"/>
        <v>0</v>
      </c>
      <c r="CH540" s="41">
        <f t="shared" si="40"/>
        <v>0</v>
      </c>
      <c r="CI540" s="41">
        <f t="shared" si="41"/>
        <v>0</v>
      </c>
      <c r="CJ540" s="41">
        <f t="shared" si="42"/>
        <v>0</v>
      </c>
      <c r="CK540" s="41">
        <f t="shared" si="43"/>
        <v>0</v>
      </c>
      <c r="CL540" s="41">
        <f t="shared" si="44"/>
        <v>0</v>
      </c>
    </row>
    <row r="541" spans="1:90" x14ac:dyDescent="0.3">
      <c r="A541" s="41"/>
      <c r="B541" s="41"/>
      <c r="C541" s="41"/>
      <c r="D541" s="41"/>
      <c r="E541" s="41"/>
      <c r="F541" s="41"/>
      <c r="G541" s="64"/>
      <c r="H541" s="64"/>
      <c r="I541" s="64"/>
      <c r="J541" s="64"/>
      <c r="K541" s="64"/>
      <c r="L541" s="64"/>
      <c r="M541" s="64"/>
      <c r="N541" s="64"/>
      <c r="O541" s="53"/>
      <c r="P541" s="64"/>
      <c r="Q541" s="57">
        <f>c_cog+c_lung+c_hosp_fu+c_CSG</f>
        <v>58348.510902399998</v>
      </c>
      <c r="R541" s="57"/>
      <c r="S541" s="129"/>
      <c r="T541" s="105"/>
      <c r="U541" s="133"/>
      <c r="V541" s="133"/>
      <c r="W541" s="133"/>
      <c r="X541" s="133"/>
      <c r="Y541" s="133"/>
      <c r="Z541" s="134"/>
      <c r="AA541" s="6"/>
      <c r="AW541">
        <v>45990.200000000004</v>
      </c>
      <c r="BF541" s="41">
        <f t="shared" si="16"/>
        <v>0</v>
      </c>
      <c r="BG541" s="41">
        <f t="shared" si="17"/>
        <v>0</v>
      </c>
      <c r="BH541" s="41">
        <f t="shared" si="18"/>
        <v>0</v>
      </c>
      <c r="BI541" s="41">
        <f t="shared" si="19"/>
        <v>0</v>
      </c>
      <c r="BJ541" s="41">
        <f t="shared" si="20"/>
        <v>0</v>
      </c>
      <c r="BK541" s="41">
        <f t="shared" si="21"/>
        <v>0</v>
      </c>
      <c r="BL541" s="41">
        <f t="shared" si="22"/>
        <v>0</v>
      </c>
      <c r="BM541" s="41">
        <f t="shared" si="23"/>
        <v>0</v>
      </c>
      <c r="BN541" s="41">
        <f t="shared" si="24"/>
        <v>0</v>
      </c>
      <c r="BO541" s="41">
        <f t="shared" si="25"/>
        <v>0</v>
      </c>
      <c r="BP541" s="41">
        <f t="shared" si="26"/>
        <v>0</v>
      </c>
      <c r="BQ541" s="41">
        <f t="shared" si="27"/>
        <v>0</v>
      </c>
      <c r="BR541" s="41">
        <f t="shared" si="28"/>
        <v>0</v>
      </c>
      <c r="BS541" s="41">
        <f t="shared" si="29"/>
        <v>0</v>
      </c>
      <c r="BT541" s="41">
        <f t="shared" si="30"/>
        <v>0</v>
      </c>
      <c r="BU541" s="41">
        <f t="shared" si="31"/>
        <v>0</v>
      </c>
      <c r="BV541" s="41">
        <f t="shared" si="32"/>
        <v>1</v>
      </c>
      <c r="BW541" s="41">
        <f t="shared" si="33"/>
        <v>0</v>
      </c>
      <c r="BX541" s="41">
        <f t="shared" si="34"/>
        <v>0</v>
      </c>
      <c r="BY541" s="41">
        <f t="shared" si="35"/>
        <v>0</v>
      </c>
      <c r="BZ541" s="41">
        <f t="shared" si="36"/>
        <v>1</v>
      </c>
      <c r="CA541" s="41" t="e">
        <f>IF(#REF!=BB541,0,1)</f>
        <v>#REF!</v>
      </c>
      <c r="CB541" s="41">
        <f t="shared" si="37"/>
        <v>0</v>
      </c>
      <c r="CC541" s="41" t="e">
        <f>IF(#REF!=BD541,0,1)</f>
        <v>#REF!</v>
      </c>
      <c r="CD541" s="41" t="e">
        <f>IF(#REF!=BE541,0,1)</f>
        <v>#REF!</v>
      </c>
      <c r="CE541" s="41" t="e">
        <f>IF(#REF!=BF541,0,1)</f>
        <v>#REF!</v>
      </c>
      <c r="CF541" s="41">
        <f t="shared" si="38"/>
        <v>0</v>
      </c>
      <c r="CG541" s="41">
        <f t="shared" si="39"/>
        <v>0</v>
      </c>
      <c r="CH541" s="41">
        <f t="shared" si="40"/>
        <v>0</v>
      </c>
      <c r="CI541" s="41">
        <f t="shared" si="41"/>
        <v>0</v>
      </c>
      <c r="CJ541" s="41">
        <f t="shared" si="42"/>
        <v>0</v>
      </c>
      <c r="CK541" s="41">
        <f t="shared" si="43"/>
        <v>0</v>
      </c>
      <c r="CL541" s="41">
        <f t="shared" si="44"/>
        <v>0</v>
      </c>
    </row>
    <row r="542" spans="1:90" x14ac:dyDescent="0.3">
      <c r="A542" s="41"/>
      <c r="B542" s="41"/>
      <c r="C542" s="41"/>
      <c r="D542" s="41"/>
      <c r="E542" s="41"/>
      <c r="F542" s="41"/>
      <c r="G542" s="64"/>
      <c r="H542" s="64"/>
      <c r="I542" s="64"/>
      <c r="J542" s="64"/>
      <c r="K542" s="64"/>
      <c r="L542" s="64"/>
      <c r="M542" s="64"/>
      <c r="N542" s="64"/>
      <c r="O542" s="53"/>
      <c r="P542" s="64"/>
      <c r="Q542" s="54" t="s">
        <v>370</v>
      </c>
      <c r="R542" s="54"/>
      <c r="S542" s="129"/>
      <c r="T542" s="105"/>
      <c r="U542" s="133">
        <f>$G$493*$E$531*$C$600*$A$555*$I$525*$K$536*$M$531*$O$536*Q543</f>
        <v>7.2172768097184382E-4</v>
      </c>
      <c r="V542" s="133">
        <v>2.4507573252216786E-3</v>
      </c>
      <c r="W542" s="134">
        <f>$K$537+$I$526+$G$494+$E$532+$C$601+$A$556+$M$532+$O$537+Q544</f>
        <v>246528.27745631372</v>
      </c>
      <c r="X542" s="133">
        <f>u_Healthy</f>
        <v>0</v>
      </c>
      <c r="Y542" s="133"/>
      <c r="Z542" s="134">
        <f>U542*W542</f>
        <v>177.92628198252859</v>
      </c>
      <c r="AA542" s="6">
        <f>U542*X542</f>
        <v>0</v>
      </c>
      <c r="AW542" t="s">
        <v>370</v>
      </c>
      <c r="AZ542">
        <v>2.4507573252216782E-3</v>
      </c>
      <c r="BF542" s="41">
        <f t="shared" si="16"/>
        <v>0</v>
      </c>
      <c r="BG542" s="41">
        <f t="shared" si="17"/>
        <v>0</v>
      </c>
      <c r="BH542" s="41">
        <f t="shared" si="18"/>
        <v>0</v>
      </c>
      <c r="BI542" s="41">
        <f t="shared" si="19"/>
        <v>0</v>
      </c>
      <c r="BJ542" s="41">
        <f t="shared" si="20"/>
        <v>0</v>
      </c>
      <c r="BK542" s="41">
        <f t="shared" si="21"/>
        <v>0</v>
      </c>
      <c r="BL542" s="41">
        <f t="shared" si="22"/>
        <v>0</v>
      </c>
      <c r="BM542" s="41">
        <f t="shared" si="23"/>
        <v>0</v>
      </c>
      <c r="BN542" s="41">
        <f t="shared" si="24"/>
        <v>0</v>
      </c>
      <c r="BO542" s="41">
        <f t="shared" si="25"/>
        <v>0</v>
      </c>
      <c r="BP542" s="41">
        <f t="shared" si="26"/>
        <v>0</v>
      </c>
      <c r="BQ542" s="41">
        <f t="shared" si="27"/>
        <v>0</v>
      </c>
      <c r="BR542" s="41">
        <f t="shared" si="28"/>
        <v>0</v>
      </c>
      <c r="BS542" s="41">
        <f t="shared" si="29"/>
        <v>0</v>
      </c>
      <c r="BT542" s="41">
        <f t="shared" si="30"/>
        <v>0</v>
      </c>
      <c r="BU542" s="41">
        <f t="shared" si="31"/>
        <v>0</v>
      </c>
      <c r="BV542" s="41">
        <f t="shared" si="32"/>
        <v>0</v>
      </c>
      <c r="BW542" s="41">
        <f t="shared" si="33"/>
        <v>0</v>
      </c>
      <c r="BX542" s="41">
        <f t="shared" si="34"/>
        <v>0</v>
      </c>
      <c r="BY542" s="41">
        <f t="shared" si="35"/>
        <v>1</v>
      </c>
      <c r="BZ542" s="41">
        <f t="shared" si="36"/>
        <v>0</v>
      </c>
      <c r="CA542" s="41" t="e">
        <f>IF(#REF!=BB542,0,1)</f>
        <v>#REF!</v>
      </c>
      <c r="CB542" s="41">
        <f t="shared" si="37"/>
        <v>1</v>
      </c>
      <c r="CC542" s="41" t="e">
        <f>IF(#REF!=BD542,0,1)</f>
        <v>#REF!</v>
      </c>
      <c r="CD542" s="41" t="e">
        <f>IF(#REF!=BE542,0,1)</f>
        <v>#REF!</v>
      </c>
      <c r="CE542" s="41" t="e">
        <f>IF(#REF!=BF542,0,1)</f>
        <v>#REF!</v>
      </c>
      <c r="CF542" s="41">
        <f t="shared" si="38"/>
        <v>0</v>
      </c>
      <c r="CG542" s="41">
        <f t="shared" si="39"/>
        <v>1</v>
      </c>
      <c r="CH542" s="41">
        <f t="shared" si="40"/>
        <v>0</v>
      </c>
      <c r="CI542" s="41">
        <f t="shared" si="41"/>
        <v>0</v>
      </c>
      <c r="CJ542" s="41">
        <f t="shared" si="42"/>
        <v>0</v>
      </c>
      <c r="CK542" s="41">
        <f t="shared" si="43"/>
        <v>0</v>
      </c>
      <c r="CL542" s="41">
        <f t="shared" si="44"/>
        <v>0</v>
      </c>
    </row>
    <row r="543" spans="1:90" x14ac:dyDescent="0.3">
      <c r="A543" s="41"/>
      <c r="B543" s="41"/>
      <c r="C543" s="41"/>
      <c r="D543" s="41"/>
      <c r="E543" s="41"/>
      <c r="F543" s="41"/>
      <c r="G543" s="64"/>
      <c r="H543" s="64"/>
      <c r="I543" s="64"/>
      <c r="J543" s="64"/>
      <c r="K543" s="64"/>
      <c r="L543" s="64"/>
      <c r="M543" s="64"/>
      <c r="N543" s="64"/>
      <c r="O543" s="53"/>
      <c r="P543" s="64"/>
      <c r="Q543" s="56">
        <f>1-Q540-Q537-Q534</f>
        <v>0.61785831659300938</v>
      </c>
      <c r="R543" s="56"/>
      <c r="T543" s="105"/>
      <c r="U543" s="133"/>
      <c r="V543" s="133"/>
      <c r="W543" s="133"/>
      <c r="X543" s="133"/>
      <c r="Y543" s="133"/>
      <c r="Z543" s="134"/>
      <c r="AA543" s="6"/>
      <c r="AW543">
        <v>0.61785831659300938</v>
      </c>
      <c r="BF543" s="41">
        <f t="shared" si="16"/>
        <v>0</v>
      </c>
      <c r="BG543" s="41">
        <f t="shared" si="17"/>
        <v>0</v>
      </c>
      <c r="BH543" s="41">
        <f t="shared" si="18"/>
        <v>0</v>
      </c>
      <c r="BI543" s="41">
        <f t="shared" si="19"/>
        <v>0</v>
      </c>
      <c r="BJ543" s="41">
        <f t="shared" si="20"/>
        <v>0</v>
      </c>
      <c r="BK543" s="41">
        <f t="shared" si="21"/>
        <v>0</v>
      </c>
      <c r="BL543" s="41">
        <f t="shared" si="22"/>
        <v>0</v>
      </c>
      <c r="BM543" s="41">
        <f t="shared" si="23"/>
        <v>0</v>
      </c>
      <c r="BN543" s="41">
        <f t="shared" si="24"/>
        <v>0</v>
      </c>
      <c r="BO543" s="41">
        <f t="shared" si="25"/>
        <v>0</v>
      </c>
      <c r="BP543" s="41">
        <f t="shared" si="26"/>
        <v>0</v>
      </c>
      <c r="BQ543" s="41">
        <f t="shared" si="27"/>
        <v>0</v>
      </c>
      <c r="BR543" s="41">
        <f t="shared" si="28"/>
        <v>0</v>
      </c>
      <c r="BS543" s="41">
        <f t="shared" si="29"/>
        <v>0</v>
      </c>
      <c r="BT543" s="41">
        <f t="shared" si="30"/>
        <v>0</v>
      </c>
      <c r="BU543" s="41">
        <f t="shared" si="31"/>
        <v>0</v>
      </c>
      <c r="BV543" s="41">
        <f t="shared" si="32"/>
        <v>0</v>
      </c>
      <c r="BW543" s="41">
        <f t="shared" si="33"/>
        <v>0</v>
      </c>
      <c r="BX543" s="41">
        <f t="shared" si="34"/>
        <v>0</v>
      </c>
      <c r="BY543" s="41">
        <f t="shared" si="35"/>
        <v>0</v>
      </c>
      <c r="BZ543" s="41">
        <f t="shared" si="36"/>
        <v>0</v>
      </c>
      <c r="CA543" s="41" t="e">
        <f>IF(#REF!=BB543,0,1)</f>
        <v>#REF!</v>
      </c>
      <c r="CB543" s="41">
        <f t="shared" si="37"/>
        <v>0</v>
      </c>
      <c r="CC543" s="41" t="e">
        <f>IF(#REF!=BD543,0,1)</f>
        <v>#REF!</v>
      </c>
      <c r="CD543" s="41" t="e">
        <f>IF(#REF!=BE543,0,1)</f>
        <v>#REF!</v>
      </c>
      <c r="CE543" s="41" t="e">
        <f>IF(#REF!=BF543,0,1)</f>
        <v>#REF!</v>
      </c>
      <c r="CF543" s="41">
        <f t="shared" si="38"/>
        <v>0</v>
      </c>
      <c r="CG543" s="41">
        <f t="shared" si="39"/>
        <v>0</v>
      </c>
      <c r="CH543" s="41">
        <f t="shared" si="40"/>
        <v>0</v>
      </c>
      <c r="CI543" s="41">
        <f t="shared" si="41"/>
        <v>0</v>
      </c>
      <c r="CJ543" s="41">
        <f t="shared" si="42"/>
        <v>0</v>
      </c>
      <c r="CK543" s="41">
        <f t="shared" si="43"/>
        <v>0</v>
      </c>
      <c r="CL543" s="41">
        <f t="shared" si="44"/>
        <v>0</v>
      </c>
    </row>
    <row r="544" spans="1:90" x14ac:dyDescent="0.3">
      <c r="A544" s="41"/>
      <c r="B544" s="41"/>
      <c r="C544" s="41"/>
      <c r="D544" s="41"/>
      <c r="E544" s="41"/>
      <c r="F544" s="41"/>
      <c r="G544" s="64"/>
      <c r="H544" s="64"/>
      <c r="I544" s="64"/>
      <c r="J544" s="64"/>
      <c r="K544" s="64"/>
      <c r="L544" s="64"/>
      <c r="M544" s="64"/>
      <c r="N544" s="64"/>
      <c r="O544" s="64"/>
      <c r="P544" s="64"/>
      <c r="Q544" s="57">
        <f>c_clinic_fu+c_CSG</f>
        <v>14403</v>
      </c>
      <c r="R544" s="57"/>
      <c r="S544" s="129"/>
      <c r="T544" s="105"/>
      <c r="U544" s="133"/>
      <c r="V544" s="133"/>
      <c r="W544" s="133"/>
      <c r="X544" s="133"/>
      <c r="Y544" s="133"/>
      <c r="Z544" s="134"/>
      <c r="AA544" s="6"/>
      <c r="AW544">
        <v>3230</v>
      </c>
      <c r="BF544" s="41">
        <f t="shared" si="16"/>
        <v>0</v>
      </c>
      <c r="BG544" s="41">
        <f t="shared" si="17"/>
        <v>0</v>
      </c>
      <c r="BH544" s="41">
        <f t="shared" si="18"/>
        <v>0</v>
      </c>
      <c r="BI544" s="41">
        <f t="shared" si="19"/>
        <v>0</v>
      </c>
      <c r="BJ544" s="41">
        <f t="shared" si="20"/>
        <v>0</v>
      </c>
      <c r="BK544" s="41">
        <f t="shared" si="21"/>
        <v>0</v>
      </c>
      <c r="BL544" s="41">
        <f t="shared" si="22"/>
        <v>0</v>
      </c>
      <c r="BM544" s="41">
        <f t="shared" si="23"/>
        <v>0</v>
      </c>
      <c r="BN544" s="41">
        <f t="shared" si="24"/>
        <v>0</v>
      </c>
      <c r="BO544" s="41">
        <f t="shared" si="25"/>
        <v>0</v>
      </c>
      <c r="BP544" s="41">
        <f t="shared" si="26"/>
        <v>0</v>
      </c>
      <c r="BQ544" s="41">
        <f t="shared" si="27"/>
        <v>0</v>
      </c>
      <c r="BR544" s="41">
        <f t="shared" si="28"/>
        <v>0</v>
      </c>
      <c r="BS544" s="41">
        <f t="shared" si="29"/>
        <v>0</v>
      </c>
      <c r="BT544" s="41">
        <f t="shared" si="30"/>
        <v>0</v>
      </c>
      <c r="BU544" s="41">
        <f t="shared" si="31"/>
        <v>0</v>
      </c>
      <c r="BV544" s="41">
        <f t="shared" si="32"/>
        <v>1</v>
      </c>
      <c r="BW544" s="41">
        <f t="shared" si="33"/>
        <v>0</v>
      </c>
      <c r="BX544" s="41">
        <f t="shared" si="34"/>
        <v>0</v>
      </c>
      <c r="BY544" s="41">
        <f t="shared" si="35"/>
        <v>0</v>
      </c>
      <c r="BZ544" s="41">
        <f t="shared" si="36"/>
        <v>0</v>
      </c>
      <c r="CA544" s="41" t="e">
        <f>IF(#REF!=BB544,0,1)</f>
        <v>#REF!</v>
      </c>
      <c r="CB544" s="41">
        <f t="shared" si="37"/>
        <v>0</v>
      </c>
      <c r="CC544" s="41" t="e">
        <f>IF(#REF!=BD544,0,1)</f>
        <v>#REF!</v>
      </c>
      <c r="CD544" s="41" t="e">
        <f>IF(#REF!=BE544,0,1)</f>
        <v>#REF!</v>
      </c>
      <c r="CE544" s="41" t="e">
        <f>IF(#REF!=BF544,0,1)</f>
        <v>#REF!</v>
      </c>
      <c r="CF544" s="41">
        <f t="shared" si="38"/>
        <v>0</v>
      </c>
      <c r="CG544" s="41">
        <f t="shared" si="39"/>
        <v>0</v>
      </c>
      <c r="CH544" s="41">
        <f t="shared" si="40"/>
        <v>0</v>
      </c>
      <c r="CI544" s="41">
        <f t="shared" si="41"/>
        <v>0</v>
      </c>
      <c r="CJ544" s="41">
        <f t="shared" si="42"/>
        <v>0</v>
      </c>
      <c r="CK544" s="41">
        <f t="shared" si="43"/>
        <v>0</v>
      </c>
      <c r="CL544" s="41">
        <f t="shared" si="44"/>
        <v>0</v>
      </c>
    </row>
    <row r="545" spans="1:90" x14ac:dyDescent="0.3">
      <c r="A545" s="41"/>
      <c r="B545" s="41"/>
      <c r="C545" s="41"/>
      <c r="D545" s="41"/>
      <c r="E545" s="41"/>
      <c r="F545" s="41"/>
      <c r="G545" s="64"/>
      <c r="H545" s="64"/>
      <c r="I545" s="64"/>
      <c r="J545" s="64"/>
      <c r="K545" s="64"/>
      <c r="L545" s="64"/>
      <c r="M545" s="64"/>
      <c r="N545" s="64"/>
      <c r="O545" s="64"/>
      <c r="P545" s="64"/>
      <c r="Q545" s="65"/>
      <c r="R545" s="65"/>
      <c r="S545" s="129"/>
      <c r="T545" s="105"/>
      <c r="U545" s="133"/>
      <c r="V545" s="133"/>
      <c r="W545" s="133"/>
      <c r="X545" s="133"/>
      <c r="Y545" s="133"/>
      <c r="Z545" s="134"/>
      <c r="AA545" s="6"/>
      <c r="BF545" s="41">
        <f t="shared" si="16"/>
        <v>0</v>
      </c>
      <c r="BG545" s="41">
        <f t="shared" si="17"/>
        <v>0</v>
      </c>
      <c r="BH545" s="41">
        <f t="shared" si="18"/>
        <v>0</v>
      </c>
      <c r="BI545" s="41">
        <f t="shared" si="19"/>
        <v>0</v>
      </c>
      <c r="BJ545" s="41">
        <f t="shared" si="20"/>
        <v>0</v>
      </c>
      <c r="BK545" s="41">
        <f t="shared" si="21"/>
        <v>0</v>
      </c>
      <c r="BL545" s="41">
        <f t="shared" si="22"/>
        <v>0</v>
      </c>
      <c r="BM545" s="41">
        <f t="shared" si="23"/>
        <v>0</v>
      </c>
      <c r="BN545" s="41">
        <f t="shared" si="24"/>
        <v>0</v>
      </c>
      <c r="BO545" s="41">
        <f t="shared" si="25"/>
        <v>0</v>
      </c>
      <c r="BP545" s="41">
        <f t="shared" si="26"/>
        <v>0</v>
      </c>
      <c r="BQ545" s="41">
        <f t="shared" si="27"/>
        <v>0</v>
      </c>
      <c r="BR545" s="41">
        <f t="shared" si="28"/>
        <v>0</v>
      </c>
      <c r="BS545" s="41">
        <f t="shared" si="29"/>
        <v>0</v>
      </c>
      <c r="BT545" s="41">
        <f t="shared" si="30"/>
        <v>0</v>
      </c>
      <c r="BU545" s="41">
        <f t="shared" si="31"/>
        <v>0</v>
      </c>
      <c r="BV545" s="41">
        <f t="shared" si="32"/>
        <v>0</v>
      </c>
      <c r="BW545" s="41">
        <f t="shared" si="33"/>
        <v>0</v>
      </c>
      <c r="BX545" s="41">
        <f t="shared" si="34"/>
        <v>0</v>
      </c>
      <c r="BY545" s="41">
        <f t="shared" si="35"/>
        <v>0</v>
      </c>
      <c r="BZ545" s="41">
        <f t="shared" si="36"/>
        <v>1</v>
      </c>
      <c r="CA545" s="41" t="e">
        <f>IF(#REF!=BB545,0,1)</f>
        <v>#REF!</v>
      </c>
      <c r="CB545" s="41">
        <f t="shared" si="37"/>
        <v>0</v>
      </c>
      <c r="CC545" s="41" t="e">
        <f>IF(#REF!=BD545,0,1)</f>
        <v>#REF!</v>
      </c>
      <c r="CD545" s="41" t="e">
        <f>IF(#REF!=BE545,0,1)</f>
        <v>#REF!</v>
      </c>
      <c r="CE545" s="41" t="e">
        <f>IF(#REF!=BF545,0,1)</f>
        <v>#REF!</v>
      </c>
      <c r="CF545" s="41">
        <f t="shared" si="38"/>
        <v>0</v>
      </c>
      <c r="CG545" s="41">
        <f t="shared" si="39"/>
        <v>0</v>
      </c>
      <c r="CH545" s="41">
        <f t="shared" si="40"/>
        <v>0</v>
      </c>
      <c r="CI545" s="41">
        <f t="shared" si="41"/>
        <v>0</v>
      </c>
      <c r="CJ545" s="41">
        <f t="shared" si="42"/>
        <v>0</v>
      </c>
      <c r="CK545" s="41">
        <f t="shared" si="43"/>
        <v>0</v>
      </c>
      <c r="CL545" s="41">
        <f t="shared" si="44"/>
        <v>0</v>
      </c>
    </row>
    <row r="546" spans="1:90" x14ac:dyDescent="0.3">
      <c r="A546" s="41"/>
      <c r="B546" s="41"/>
      <c r="C546" s="41"/>
      <c r="D546" s="41"/>
      <c r="E546" s="41"/>
      <c r="F546" s="41"/>
      <c r="G546" s="64"/>
      <c r="H546" s="64"/>
      <c r="I546" s="64"/>
      <c r="J546" s="64"/>
      <c r="K546" s="64"/>
      <c r="L546" s="64"/>
      <c r="M546" s="64"/>
      <c r="N546" s="64"/>
      <c r="O546" s="64"/>
      <c r="P546" s="64"/>
      <c r="Q546" s="54" t="s">
        <v>368</v>
      </c>
      <c r="R546" s="54"/>
      <c r="S546" s="129"/>
      <c r="T546" s="105"/>
      <c r="U546" s="133">
        <f>$G$493*$E$531*$C$600*$A$555*$I$525*$K$536*$M$551*$O$549*Q547</f>
        <v>8.6283512742942438E-5</v>
      </c>
      <c r="V546" s="133">
        <v>2.9299132688922564E-4</v>
      </c>
      <c r="W546" s="134">
        <f>$K$537+$I$526+$G$494+$E$532+$C$601+$A$556+$M$552+$O$550+Q548</f>
        <v>258995.43861050811</v>
      </c>
      <c r="X546" s="133">
        <f>u_ChronicResp</f>
        <v>0.53465956747782661</v>
      </c>
      <c r="Y546" s="133"/>
      <c r="Z546" s="134">
        <f>U546*W546</f>
        <v>22.34703622771374</v>
      </c>
      <c r="AA546" s="6">
        <f>U546*X546</f>
        <v>4.6132305603609142E-5</v>
      </c>
      <c r="AW546" t="s">
        <v>368</v>
      </c>
      <c r="AZ546">
        <v>2.9299132688922553E-4</v>
      </c>
      <c r="BF546" s="41">
        <f t="shared" si="16"/>
        <v>0</v>
      </c>
      <c r="BG546" s="41">
        <f t="shared" si="17"/>
        <v>0</v>
      </c>
      <c r="BH546" s="41">
        <f t="shared" si="18"/>
        <v>0</v>
      </c>
      <c r="BI546" s="41">
        <f t="shared" si="19"/>
        <v>0</v>
      </c>
      <c r="BJ546" s="41">
        <f t="shared" si="20"/>
        <v>0</v>
      </c>
      <c r="BK546" s="41">
        <f t="shared" si="21"/>
        <v>0</v>
      </c>
      <c r="BL546" s="41">
        <f t="shared" si="22"/>
        <v>0</v>
      </c>
      <c r="BM546" s="41">
        <f t="shared" si="23"/>
        <v>0</v>
      </c>
      <c r="BN546" s="41">
        <f t="shared" si="24"/>
        <v>0</v>
      </c>
      <c r="BO546" s="41">
        <f t="shared" si="25"/>
        <v>0</v>
      </c>
      <c r="BP546" s="41">
        <f t="shared" si="26"/>
        <v>0</v>
      </c>
      <c r="BQ546" s="41">
        <f t="shared" si="27"/>
        <v>0</v>
      </c>
      <c r="BR546" s="41">
        <f t="shared" si="28"/>
        <v>0</v>
      </c>
      <c r="BS546" s="41">
        <f t="shared" si="29"/>
        <v>0</v>
      </c>
      <c r="BT546" s="41">
        <f t="shared" si="30"/>
        <v>0</v>
      </c>
      <c r="BU546" s="41">
        <f t="shared" si="31"/>
        <v>0</v>
      </c>
      <c r="BV546" s="41">
        <f t="shared" si="32"/>
        <v>0</v>
      </c>
      <c r="BW546" s="41">
        <f t="shared" si="33"/>
        <v>0</v>
      </c>
      <c r="BX546" s="41">
        <f t="shared" si="34"/>
        <v>0</v>
      </c>
      <c r="BY546" s="41">
        <f t="shared" si="35"/>
        <v>1</v>
      </c>
      <c r="BZ546" s="41">
        <f t="shared" si="36"/>
        <v>0</v>
      </c>
      <c r="CA546" s="41" t="e">
        <f>IF(#REF!=BB546,0,1)</f>
        <v>#REF!</v>
      </c>
      <c r="CB546" s="41">
        <f t="shared" si="37"/>
        <v>1</v>
      </c>
      <c r="CC546" s="41" t="e">
        <f>IF(#REF!=BD546,0,1)</f>
        <v>#REF!</v>
      </c>
      <c r="CD546" s="41" t="e">
        <f>IF(#REF!=BE546,0,1)</f>
        <v>#REF!</v>
      </c>
      <c r="CE546" s="41" t="e">
        <f>IF(#REF!=BF546,0,1)</f>
        <v>#REF!</v>
      </c>
      <c r="CF546" s="41">
        <f t="shared" si="38"/>
        <v>1</v>
      </c>
      <c r="CG546" s="41">
        <f t="shared" si="39"/>
        <v>1</v>
      </c>
      <c r="CH546" s="41">
        <f t="shared" si="40"/>
        <v>1</v>
      </c>
      <c r="CI546" s="41">
        <f t="shared" si="41"/>
        <v>0</v>
      </c>
      <c r="CJ546" s="41">
        <f t="shared" si="42"/>
        <v>0</v>
      </c>
      <c r="CK546" s="41">
        <f t="shared" si="43"/>
        <v>0</v>
      </c>
      <c r="CL546" s="41">
        <f t="shared" si="44"/>
        <v>0</v>
      </c>
    </row>
    <row r="547" spans="1:90" x14ac:dyDescent="0.3">
      <c r="A547" s="41"/>
      <c r="B547" s="41"/>
      <c r="C547" s="41"/>
      <c r="D547" s="41"/>
      <c r="E547" s="41"/>
      <c r="F547" s="41"/>
      <c r="G547" s="64"/>
      <c r="H547" s="64"/>
      <c r="I547" s="64"/>
      <c r="J547" s="64"/>
      <c r="K547" s="64"/>
      <c r="L547" s="64"/>
      <c r="M547" s="64"/>
      <c r="N547" s="64"/>
      <c r="O547" s="64"/>
      <c r="P547" s="64"/>
      <c r="Q547" s="56">
        <f>RDS2CLD_2-(Hypo2CI_2*RDS2CLD_2)</f>
        <v>0.34246866666666664</v>
      </c>
      <c r="R547" s="56"/>
      <c r="S547" s="129"/>
      <c r="T547" s="105"/>
      <c r="U547" s="133"/>
      <c r="V547" s="133"/>
      <c r="W547" s="133"/>
      <c r="X547" s="133"/>
      <c r="Y547" s="133"/>
      <c r="Z547" s="134"/>
      <c r="AA547" s="6"/>
      <c r="AW547">
        <v>0.34246866666666664</v>
      </c>
      <c r="BF547" s="41">
        <f t="shared" si="16"/>
        <v>0</v>
      </c>
      <c r="BG547" s="41">
        <f t="shared" si="17"/>
        <v>0</v>
      </c>
      <c r="BH547" s="41">
        <f t="shared" si="18"/>
        <v>0</v>
      </c>
      <c r="BI547" s="41">
        <f t="shared" si="19"/>
        <v>0</v>
      </c>
      <c r="BJ547" s="41">
        <f t="shared" si="20"/>
        <v>0</v>
      </c>
      <c r="BK547" s="41">
        <f t="shared" si="21"/>
        <v>0</v>
      </c>
      <c r="BL547" s="41">
        <f t="shared" si="22"/>
        <v>0</v>
      </c>
      <c r="BM547" s="41">
        <f t="shared" si="23"/>
        <v>0</v>
      </c>
      <c r="BN547" s="41">
        <f t="shared" si="24"/>
        <v>0</v>
      </c>
      <c r="BO547" s="41">
        <f t="shared" si="25"/>
        <v>0</v>
      </c>
      <c r="BP547" s="41">
        <f t="shared" si="26"/>
        <v>0</v>
      </c>
      <c r="BQ547" s="41">
        <f t="shared" si="27"/>
        <v>0</v>
      </c>
      <c r="BR547" s="41">
        <f t="shared" si="28"/>
        <v>0</v>
      </c>
      <c r="BS547" s="41">
        <f t="shared" si="29"/>
        <v>0</v>
      </c>
      <c r="BT547" s="41">
        <f t="shared" si="30"/>
        <v>0</v>
      </c>
      <c r="BU547" s="41">
        <f t="shared" si="31"/>
        <v>0</v>
      </c>
      <c r="BV547" s="41">
        <f t="shared" si="32"/>
        <v>0</v>
      </c>
      <c r="BW547" s="41">
        <f t="shared" si="33"/>
        <v>0</v>
      </c>
      <c r="BX547" s="41">
        <f t="shared" si="34"/>
        <v>0</v>
      </c>
      <c r="BY547" s="41">
        <f t="shared" si="35"/>
        <v>0</v>
      </c>
      <c r="BZ547" s="41">
        <f t="shared" si="36"/>
        <v>0</v>
      </c>
      <c r="CA547" s="41" t="e">
        <f>IF(#REF!=BB547,0,1)</f>
        <v>#REF!</v>
      </c>
      <c r="CB547" s="41">
        <f t="shared" si="37"/>
        <v>0</v>
      </c>
      <c r="CC547" s="41" t="e">
        <f>IF(#REF!=BD547,0,1)</f>
        <v>#REF!</v>
      </c>
      <c r="CD547" s="41" t="e">
        <f>IF(#REF!=BE547,0,1)</f>
        <v>#REF!</v>
      </c>
      <c r="CE547" s="41" t="e">
        <f>IF(#REF!=BF547,0,1)</f>
        <v>#REF!</v>
      </c>
      <c r="CF547" s="41">
        <f t="shared" si="38"/>
        <v>0</v>
      </c>
      <c r="CG547" s="41">
        <f t="shared" si="39"/>
        <v>0</v>
      </c>
      <c r="CH547" s="41">
        <f t="shared" si="40"/>
        <v>0</v>
      </c>
      <c r="CI547" s="41">
        <f t="shared" si="41"/>
        <v>0</v>
      </c>
      <c r="CJ547" s="41">
        <f t="shared" si="42"/>
        <v>0</v>
      </c>
      <c r="CK547" s="41">
        <f t="shared" si="43"/>
        <v>0</v>
      </c>
      <c r="CL547" s="41">
        <f t="shared" si="44"/>
        <v>0</v>
      </c>
    </row>
    <row r="548" spans="1:90" x14ac:dyDescent="0.3">
      <c r="A548" s="41"/>
      <c r="B548" s="41"/>
      <c r="C548" s="41"/>
      <c r="D548" s="41"/>
      <c r="E548" s="41"/>
      <c r="F548" s="41"/>
      <c r="G548" s="64"/>
      <c r="H548" s="64"/>
      <c r="I548" s="64"/>
      <c r="J548" s="64"/>
      <c r="K548" s="64"/>
      <c r="L548" s="64"/>
      <c r="M548" s="64"/>
      <c r="N548" s="64"/>
      <c r="O548" s="54" t="s">
        <v>161</v>
      </c>
      <c r="P548" s="64"/>
      <c r="Q548" s="57">
        <f>c_lung+c_hosp_fu+c_CSG</f>
        <v>54529.510902399998</v>
      </c>
      <c r="R548" s="57"/>
      <c r="S548" s="129"/>
      <c r="T548" s="105"/>
      <c r="U548" s="133"/>
      <c r="V548" s="133"/>
      <c r="W548" s="133"/>
      <c r="X548" s="133"/>
      <c r="Y548" s="133"/>
      <c r="Z548" s="134"/>
      <c r="AA548" s="6"/>
      <c r="AU548" t="s">
        <v>161</v>
      </c>
      <c r="AW548">
        <v>42323.200000000004</v>
      </c>
      <c r="BF548" s="41">
        <f t="shared" si="16"/>
        <v>0</v>
      </c>
      <c r="BG548" s="41">
        <f t="shared" si="17"/>
        <v>0</v>
      </c>
      <c r="BH548" s="41">
        <f t="shared" si="18"/>
        <v>0</v>
      </c>
      <c r="BI548" s="41">
        <f t="shared" si="19"/>
        <v>0</v>
      </c>
      <c r="BJ548" s="41">
        <f t="shared" si="20"/>
        <v>0</v>
      </c>
      <c r="BK548" s="41">
        <f t="shared" si="21"/>
        <v>0</v>
      </c>
      <c r="BL548" s="41">
        <f t="shared" si="22"/>
        <v>0</v>
      </c>
      <c r="BM548" s="41">
        <f t="shared" si="23"/>
        <v>0</v>
      </c>
      <c r="BN548" s="41">
        <f t="shared" si="24"/>
        <v>0</v>
      </c>
      <c r="BO548" s="41">
        <f t="shared" si="25"/>
        <v>0</v>
      </c>
      <c r="BP548" s="41">
        <f t="shared" si="26"/>
        <v>0</v>
      </c>
      <c r="BQ548" s="41">
        <f t="shared" si="27"/>
        <v>0</v>
      </c>
      <c r="BR548" s="41">
        <f t="shared" si="28"/>
        <v>0</v>
      </c>
      <c r="BS548" s="41">
        <f t="shared" si="29"/>
        <v>0</v>
      </c>
      <c r="BT548" s="41">
        <f t="shared" si="30"/>
        <v>0</v>
      </c>
      <c r="BU548" s="41">
        <f t="shared" si="31"/>
        <v>0</v>
      </c>
      <c r="BV548" s="41">
        <f t="shared" si="32"/>
        <v>1</v>
      </c>
      <c r="BW548" s="41">
        <f t="shared" si="33"/>
        <v>0</v>
      </c>
      <c r="BX548" s="41">
        <f t="shared" si="34"/>
        <v>0</v>
      </c>
      <c r="BY548" s="41">
        <f t="shared" si="35"/>
        <v>0</v>
      </c>
      <c r="BZ548" s="41">
        <f t="shared" si="36"/>
        <v>1</v>
      </c>
      <c r="CA548" s="41" t="e">
        <f>IF(#REF!=BB548,0,1)</f>
        <v>#REF!</v>
      </c>
      <c r="CB548" s="41">
        <f t="shared" si="37"/>
        <v>0</v>
      </c>
      <c r="CC548" s="41" t="e">
        <f>IF(#REF!=BD548,0,1)</f>
        <v>#REF!</v>
      </c>
      <c r="CD548" s="41" t="e">
        <f>IF(#REF!=BE548,0,1)</f>
        <v>#REF!</v>
      </c>
      <c r="CE548" s="41" t="e">
        <f>IF(#REF!=BF548,0,1)</f>
        <v>#REF!</v>
      </c>
      <c r="CF548" s="41">
        <f t="shared" si="38"/>
        <v>0</v>
      </c>
      <c r="CG548" s="41">
        <f t="shared" si="39"/>
        <v>0</v>
      </c>
      <c r="CH548" s="41">
        <f t="shared" si="40"/>
        <v>0</v>
      </c>
      <c r="CI548" s="41">
        <f t="shared" si="41"/>
        <v>0</v>
      </c>
      <c r="CJ548" s="41">
        <f t="shared" si="42"/>
        <v>0</v>
      </c>
      <c r="CK548" s="41">
        <f t="shared" si="43"/>
        <v>0</v>
      </c>
      <c r="CL548" s="41">
        <f t="shared" si="44"/>
        <v>0</v>
      </c>
    </row>
    <row r="549" spans="1:90" x14ac:dyDescent="0.3">
      <c r="A549" s="41"/>
      <c r="B549" s="41"/>
      <c r="C549" s="41"/>
      <c r="D549" s="41"/>
      <c r="E549" s="41"/>
      <c r="F549" s="41"/>
      <c r="G549" s="64"/>
      <c r="H549" s="64"/>
      <c r="I549" s="64"/>
      <c r="J549" s="64"/>
      <c r="K549" s="64"/>
      <c r="L549" s="64"/>
      <c r="M549" s="64"/>
      <c r="N549" s="64"/>
      <c r="O549" s="56">
        <f>AGA_prem_2hypoglycaemia_2</f>
        <v>0.15</v>
      </c>
      <c r="P549" s="64"/>
      <c r="Q549" s="54" t="s">
        <v>226</v>
      </c>
      <c r="R549" s="54"/>
      <c r="S549" s="129"/>
      <c r="T549" s="105"/>
      <c r="U549" s="133">
        <f>$G$493*$E$531*$C$600*$A$555*$I$525*$K$536*$M$551*$O$549*Q550</f>
        <v>8.2643233103388478E-6</v>
      </c>
      <c r="V549" s="133">
        <v>2.8063009670822573E-5</v>
      </c>
      <c r="W549" s="134">
        <f>$K$537+$I$526+$G$494+$E$532+$C$601+$A$556+$M$552+$O$550+Q551</f>
        <v>220231.92770810809</v>
      </c>
      <c r="X549" s="133">
        <f>u_CongnitiveImpairement</f>
        <v>17.270393127285455</v>
      </c>
      <c r="Y549" s="133"/>
      <c r="Z549" s="134">
        <f>U549*W549</f>
        <v>1.8200678538389776</v>
      </c>
      <c r="AA549" s="6">
        <f>U549*X549</f>
        <v>1.4272811250054101E-4</v>
      </c>
      <c r="AU549">
        <v>0.15</v>
      </c>
      <c r="AW549" t="s">
        <v>226</v>
      </c>
      <c r="AZ549">
        <v>2.8063009670822566E-5</v>
      </c>
      <c r="BF549" s="41">
        <f t="shared" si="16"/>
        <v>0</v>
      </c>
      <c r="BG549" s="41">
        <f t="shared" si="17"/>
        <v>0</v>
      </c>
      <c r="BH549" s="41">
        <f t="shared" si="18"/>
        <v>0</v>
      </c>
      <c r="BI549" s="41">
        <f t="shared" si="19"/>
        <v>0</v>
      </c>
      <c r="BJ549" s="41">
        <f t="shared" si="20"/>
        <v>0</v>
      </c>
      <c r="BK549" s="41">
        <f t="shared" si="21"/>
        <v>0</v>
      </c>
      <c r="BL549" s="41">
        <f t="shared" si="22"/>
        <v>0</v>
      </c>
      <c r="BM549" s="41">
        <f t="shared" si="23"/>
        <v>0</v>
      </c>
      <c r="BN549" s="41">
        <f t="shared" si="24"/>
        <v>0</v>
      </c>
      <c r="BO549" s="41">
        <f t="shared" si="25"/>
        <v>0</v>
      </c>
      <c r="BP549" s="41">
        <f t="shared" si="26"/>
        <v>0</v>
      </c>
      <c r="BQ549" s="41">
        <f t="shared" si="27"/>
        <v>0</v>
      </c>
      <c r="BR549" s="41">
        <f t="shared" si="28"/>
        <v>0</v>
      </c>
      <c r="BS549" s="41">
        <f t="shared" si="29"/>
        <v>0</v>
      </c>
      <c r="BT549" s="41">
        <f t="shared" si="30"/>
        <v>0</v>
      </c>
      <c r="BU549" s="41">
        <f t="shared" si="31"/>
        <v>0</v>
      </c>
      <c r="BV549" s="41">
        <f t="shared" si="32"/>
        <v>0</v>
      </c>
      <c r="BW549" s="41">
        <f t="shared" si="33"/>
        <v>0</v>
      </c>
      <c r="BX549" s="41">
        <f t="shared" si="34"/>
        <v>0</v>
      </c>
      <c r="BY549" s="41">
        <f t="shared" si="35"/>
        <v>1</v>
      </c>
      <c r="BZ549" s="41">
        <f t="shared" si="36"/>
        <v>0</v>
      </c>
      <c r="CA549" s="41" t="e">
        <f>IF(#REF!=BB549,0,1)</f>
        <v>#REF!</v>
      </c>
      <c r="CB549" s="41">
        <f t="shared" si="37"/>
        <v>1</v>
      </c>
      <c r="CC549" s="41" t="e">
        <f>IF(#REF!=BD549,0,1)</f>
        <v>#REF!</v>
      </c>
      <c r="CD549" s="41" t="e">
        <f>IF(#REF!=BE549,0,1)</f>
        <v>#REF!</v>
      </c>
      <c r="CE549" s="41" t="e">
        <f>IF(#REF!=BF549,0,1)</f>
        <v>#REF!</v>
      </c>
      <c r="CF549" s="41">
        <f t="shared" si="38"/>
        <v>1</v>
      </c>
      <c r="CG549" s="41">
        <f t="shared" si="39"/>
        <v>1</v>
      </c>
      <c r="CH549" s="41">
        <f t="shared" si="40"/>
        <v>1</v>
      </c>
      <c r="CI549" s="41">
        <f t="shared" si="41"/>
        <v>0</v>
      </c>
      <c r="CJ549" s="41">
        <f t="shared" si="42"/>
        <v>0</v>
      </c>
      <c r="CK549" s="41">
        <f t="shared" si="43"/>
        <v>0</v>
      </c>
      <c r="CL549" s="41">
        <f t="shared" si="44"/>
        <v>0</v>
      </c>
    </row>
    <row r="550" spans="1:90" x14ac:dyDescent="0.3">
      <c r="A550" s="41"/>
      <c r="B550" s="41"/>
      <c r="C550" s="41"/>
      <c r="D550" s="41"/>
      <c r="E550" s="41"/>
      <c r="F550" s="41"/>
      <c r="G550" s="64"/>
      <c r="H550" s="64"/>
      <c r="I550" s="64"/>
      <c r="J550" s="64"/>
      <c r="K550" s="64"/>
      <c r="L550" s="64"/>
      <c r="M550" s="54" t="s">
        <v>203</v>
      </c>
      <c r="N550" s="64"/>
      <c r="O550" s="57">
        <f>c_hypo</f>
        <v>2936.2604000000001</v>
      </c>
      <c r="P550" s="64"/>
      <c r="Q550" s="56">
        <f>Hypo2CI_2-(Hypo2CI_2*RDS2CLD_2)</f>
        <v>3.2801999999999998E-2</v>
      </c>
      <c r="R550" s="56"/>
      <c r="S550" s="129"/>
      <c r="T550" s="105"/>
      <c r="U550" s="133"/>
      <c r="V550" s="133"/>
      <c r="W550" s="133"/>
      <c r="X550" s="133"/>
      <c r="Y550" s="133"/>
      <c r="Z550" s="134"/>
      <c r="AA550" s="6"/>
      <c r="AS550" t="s">
        <v>203</v>
      </c>
      <c r="AU550">
        <v>2728.1</v>
      </c>
      <c r="AW550">
        <v>3.2801999999999998E-2</v>
      </c>
      <c r="BF550" s="41">
        <f t="shared" si="16"/>
        <v>0</v>
      </c>
      <c r="BG550" s="41">
        <f t="shared" si="17"/>
        <v>0</v>
      </c>
      <c r="BH550" s="41">
        <f t="shared" si="18"/>
        <v>0</v>
      </c>
      <c r="BI550" s="41">
        <f t="shared" si="19"/>
        <v>0</v>
      </c>
      <c r="BJ550" s="41">
        <f t="shared" si="20"/>
        <v>0</v>
      </c>
      <c r="BK550" s="41">
        <f t="shared" si="21"/>
        <v>0</v>
      </c>
      <c r="BL550" s="41">
        <f t="shared" si="22"/>
        <v>0</v>
      </c>
      <c r="BM550" s="41">
        <f t="shared" si="23"/>
        <v>0</v>
      </c>
      <c r="BN550" s="41">
        <f t="shared" si="24"/>
        <v>0</v>
      </c>
      <c r="BO550" s="41">
        <f t="shared" si="25"/>
        <v>0</v>
      </c>
      <c r="BP550" s="41">
        <f t="shared" si="26"/>
        <v>0</v>
      </c>
      <c r="BQ550" s="41">
        <f t="shared" si="27"/>
        <v>0</v>
      </c>
      <c r="BR550" s="41">
        <f t="shared" si="28"/>
        <v>0</v>
      </c>
      <c r="BS550" s="41">
        <f t="shared" si="29"/>
        <v>0</v>
      </c>
      <c r="BT550" s="41">
        <f t="shared" si="30"/>
        <v>1</v>
      </c>
      <c r="BU550" s="41">
        <f t="shared" si="31"/>
        <v>0</v>
      </c>
      <c r="BV550" s="41">
        <f t="shared" si="32"/>
        <v>0</v>
      </c>
      <c r="BW550" s="41">
        <f t="shared" si="33"/>
        <v>0</v>
      </c>
      <c r="BX550" s="41">
        <f t="shared" si="34"/>
        <v>0</v>
      </c>
      <c r="BY550" s="41">
        <f t="shared" si="35"/>
        <v>0</v>
      </c>
      <c r="BZ550" s="41">
        <f t="shared" si="36"/>
        <v>0</v>
      </c>
      <c r="CA550" s="41" t="e">
        <f>IF(#REF!=BB550,0,1)</f>
        <v>#REF!</v>
      </c>
      <c r="CB550" s="41">
        <f t="shared" si="37"/>
        <v>0</v>
      </c>
      <c r="CC550" s="41" t="e">
        <f>IF(#REF!=BD550,0,1)</f>
        <v>#REF!</v>
      </c>
      <c r="CD550" s="41" t="e">
        <f>IF(#REF!=BE550,0,1)</f>
        <v>#REF!</v>
      </c>
      <c r="CE550" s="41" t="e">
        <f>IF(#REF!=BF550,0,1)</f>
        <v>#REF!</v>
      </c>
      <c r="CF550" s="41">
        <f t="shared" si="38"/>
        <v>0</v>
      </c>
      <c r="CG550" s="41">
        <f t="shared" si="39"/>
        <v>0</v>
      </c>
      <c r="CH550" s="41">
        <f t="shared" si="40"/>
        <v>0</v>
      </c>
      <c r="CI550" s="41">
        <f t="shared" si="41"/>
        <v>0</v>
      </c>
      <c r="CJ550" s="41">
        <f t="shared" si="42"/>
        <v>0</v>
      </c>
      <c r="CK550" s="41">
        <f t="shared" si="43"/>
        <v>0</v>
      </c>
      <c r="CL550" s="41">
        <f t="shared" si="44"/>
        <v>0</v>
      </c>
    </row>
    <row r="551" spans="1:90" x14ac:dyDescent="0.3">
      <c r="A551" s="41"/>
      <c r="B551" s="41"/>
      <c r="C551" s="41"/>
      <c r="D551" s="41"/>
      <c r="E551" s="41"/>
      <c r="F551" s="41"/>
      <c r="G551" s="64"/>
      <c r="H551" s="64"/>
      <c r="I551" s="64"/>
      <c r="J551" s="64"/>
      <c r="K551" s="64"/>
      <c r="L551" s="64"/>
      <c r="M551" s="56">
        <f>S_prem_2noRDS_2</f>
        <v>0.55000000000000004</v>
      </c>
      <c r="N551" s="64"/>
      <c r="O551" s="53"/>
      <c r="P551" s="64"/>
      <c r="Q551" s="57">
        <f>c_cog+c_hosp_fu+c_CSG</f>
        <v>15766</v>
      </c>
      <c r="R551" s="57"/>
      <c r="S551" s="129"/>
      <c r="T551" s="105"/>
      <c r="U551" s="133"/>
      <c r="V551" s="133"/>
      <c r="W551" s="133"/>
      <c r="X551" s="133"/>
      <c r="Y551" s="133"/>
      <c r="Z551" s="134"/>
      <c r="AA551" s="6"/>
      <c r="AS551">
        <v>0.55000000000000004</v>
      </c>
      <c r="AW551">
        <v>4840</v>
      </c>
      <c r="BF551" s="41">
        <f t="shared" si="16"/>
        <v>0</v>
      </c>
      <c r="BG551" s="41">
        <f t="shared" si="17"/>
        <v>0</v>
      </c>
      <c r="BH551" s="41">
        <f t="shared" si="18"/>
        <v>0</v>
      </c>
      <c r="BI551" s="41">
        <f t="shared" si="19"/>
        <v>0</v>
      </c>
      <c r="BJ551" s="41">
        <f t="shared" si="20"/>
        <v>0</v>
      </c>
      <c r="BK551" s="41">
        <f t="shared" si="21"/>
        <v>0</v>
      </c>
      <c r="BL551" s="41">
        <f t="shared" si="22"/>
        <v>0</v>
      </c>
      <c r="BM551" s="41">
        <f t="shared" si="23"/>
        <v>0</v>
      </c>
      <c r="BN551" s="41">
        <f t="shared" si="24"/>
        <v>0</v>
      </c>
      <c r="BO551" s="41">
        <f t="shared" si="25"/>
        <v>0</v>
      </c>
      <c r="BP551" s="41">
        <f t="shared" si="26"/>
        <v>0</v>
      </c>
      <c r="BQ551" s="41">
        <f t="shared" si="27"/>
        <v>0</v>
      </c>
      <c r="BR551" s="41">
        <f t="shared" si="28"/>
        <v>0</v>
      </c>
      <c r="BS551" s="41">
        <f t="shared" si="29"/>
        <v>0</v>
      </c>
      <c r="BT551" s="41">
        <f t="shared" si="30"/>
        <v>0</v>
      </c>
      <c r="BU551" s="41">
        <f t="shared" si="31"/>
        <v>0</v>
      </c>
      <c r="BV551" s="41">
        <f t="shared" si="32"/>
        <v>1</v>
      </c>
      <c r="BW551" s="41">
        <f t="shared" si="33"/>
        <v>0</v>
      </c>
      <c r="BX551" s="41">
        <f t="shared" si="34"/>
        <v>0</v>
      </c>
      <c r="BY551" s="41">
        <f t="shared" si="35"/>
        <v>0</v>
      </c>
      <c r="BZ551" s="41">
        <f t="shared" si="36"/>
        <v>1</v>
      </c>
      <c r="CA551" s="41" t="e">
        <f>IF(#REF!=BB551,0,1)</f>
        <v>#REF!</v>
      </c>
      <c r="CB551" s="41">
        <f t="shared" si="37"/>
        <v>0</v>
      </c>
      <c r="CC551" s="41" t="e">
        <f>IF(#REF!=BD551,0,1)</f>
        <v>#REF!</v>
      </c>
      <c r="CD551" s="41" t="e">
        <f>IF(#REF!=BE551,0,1)</f>
        <v>#REF!</v>
      </c>
      <c r="CE551" s="41" t="e">
        <f>IF(#REF!=BF551,0,1)</f>
        <v>#REF!</v>
      </c>
      <c r="CF551" s="41">
        <f t="shared" si="38"/>
        <v>0</v>
      </c>
      <c r="CG551" s="41">
        <f t="shared" si="39"/>
        <v>0</v>
      </c>
      <c r="CH551" s="41">
        <f t="shared" si="40"/>
        <v>0</v>
      </c>
      <c r="CI551" s="41">
        <f t="shared" si="41"/>
        <v>0</v>
      </c>
      <c r="CJ551" s="41">
        <f t="shared" si="42"/>
        <v>0</v>
      </c>
      <c r="CK551" s="41">
        <f t="shared" si="43"/>
        <v>0</v>
      </c>
      <c r="CL551" s="41">
        <f t="shared" si="44"/>
        <v>0</v>
      </c>
    </row>
    <row r="552" spans="1:90" x14ac:dyDescent="0.3">
      <c r="A552" s="41"/>
      <c r="B552" s="41"/>
      <c r="C552" s="41"/>
      <c r="D552" s="41"/>
      <c r="E552" s="41"/>
      <c r="F552" s="41"/>
      <c r="G552" s="64"/>
      <c r="H552" s="64"/>
      <c r="I552" s="64"/>
      <c r="J552" s="64"/>
      <c r="K552" s="64"/>
      <c r="L552" s="64"/>
      <c r="M552" s="57"/>
      <c r="N552" s="64"/>
      <c r="O552" s="65"/>
      <c r="P552" s="64"/>
      <c r="Q552" s="54" t="s">
        <v>369</v>
      </c>
      <c r="R552" s="54"/>
      <c r="S552" s="129"/>
      <c r="T552" s="105"/>
      <c r="U552" s="136">
        <f>G493*E531*C600*A555*I525*K536*M551*O549*Q553</f>
        <v>4.6688900078753113E-6</v>
      </c>
      <c r="V552" s="133">
        <v>1.585406336645845E-5</v>
      </c>
      <c r="W552" s="134">
        <f>$K$537+$I$526+$G$494+$E$532+$C$601+$A$556+$M$552+$O$550+Q554</f>
        <v>262814.43861050811</v>
      </c>
      <c r="X552" s="133">
        <f>u_ChronicResp+u_CongnitiveImpairement</f>
        <v>17.805052694763283</v>
      </c>
      <c r="Y552" s="133"/>
      <c r="Z552" s="134">
        <f>U552*W552</f>
        <v>1.2270517063539608</v>
      </c>
      <c r="AA552" s="6">
        <f>U552*X552</f>
        <v>8.312983261627368E-5</v>
      </c>
      <c r="AW552" t="s">
        <v>369</v>
      </c>
      <c r="AZ552">
        <v>1.5854063366458447E-5</v>
      </c>
      <c r="BF552" s="41">
        <f t="shared" si="16"/>
        <v>0</v>
      </c>
      <c r="BG552" s="41">
        <f t="shared" si="17"/>
        <v>0</v>
      </c>
      <c r="BH552" s="41">
        <f t="shared" si="18"/>
        <v>0</v>
      </c>
      <c r="BI552" s="41">
        <f t="shared" si="19"/>
        <v>0</v>
      </c>
      <c r="BJ552" s="41">
        <f t="shared" si="20"/>
        <v>0</v>
      </c>
      <c r="BK552" s="41">
        <f t="shared" si="21"/>
        <v>0</v>
      </c>
      <c r="BL552" s="41">
        <f t="shared" si="22"/>
        <v>0</v>
      </c>
      <c r="BM552" s="41">
        <f t="shared" si="23"/>
        <v>0</v>
      </c>
      <c r="BN552" s="41">
        <f t="shared" si="24"/>
        <v>0</v>
      </c>
      <c r="BO552" s="41">
        <f t="shared" si="25"/>
        <v>0</v>
      </c>
      <c r="BP552" s="41">
        <f t="shared" si="26"/>
        <v>0</v>
      </c>
      <c r="BQ552" s="41">
        <f t="shared" si="27"/>
        <v>0</v>
      </c>
      <c r="BR552" s="41">
        <f t="shared" si="28"/>
        <v>0</v>
      </c>
      <c r="BS552" s="41">
        <f t="shared" si="29"/>
        <v>0</v>
      </c>
      <c r="BT552" s="41">
        <f t="shared" si="30"/>
        <v>0</v>
      </c>
      <c r="BU552" s="41">
        <f t="shared" si="31"/>
        <v>0</v>
      </c>
      <c r="BV552" s="41">
        <f t="shared" si="32"/>
        <v>0</v>
      </c>
      <c r="BW552" s="41">
        <f t="shared" si="33"/>
        <v>0</v>
      </c>
      <c r="BX552" s="41">
        <f t="shared" si="34"/>
        <v>0</v>
      </c>
      <c r="BY552" s="41">
        <f t="shared" si="35"/>
        <v>1</v>
      </c>
      <c r="BZ552" s="41">
        <f t="shared" si="36"/>
        <v>0</v>
      </c>
      <c r="CA552" s="41" t="e">
        <f>IF(#REF!=BB552,0,1)</f>
        <v>#REF!</v>
      </c>
      <c r="CB552" s="41">
        <f t="shared" si="37"/>
        <v>1</v>
      </c>
      <c r="CC552" s="41" t="e">
        <f>IF(#REF!=BD552,0,1)</f>
        <v>#REF!</v>
      </c>
      <c r="CD552" s="41" t="e">
        <f>IF(#REF!=BE552,0,1)</f>
        <v>#REF!</v>
      </c>
      <c r="CE552" s="41" t="e">
        <f>IF(#REF!=BF552,0,1)</f>
        <v>#REF!</v>
      </c>
      <c r="CF552" s="41">
        <f t="shared" si="38"/>
        <v>1</v>
      </c>
      <c r="CG552" s="41">
        <f t="shared" si="39"/>
        <v>1</v>
      </c>
      <c r="CH552" s="41">
        <f t="shared" si="40"/>
        <v>1</v>
      </c>
      <c r="CI552" s="41">
        <f t="shared" si="41"/>
        <v>0</v>
      </c>
      <c r="CJ552" s="41">
        <f t="shared" si="42"/>
        <v>0</v>
      </c>
      <c r="CK552" s="41">
        <f t="shared" si="43"/>
        <v>0</v>
      </c>
      <c r="CL552" s="41">
        <f t="shared" si="44"/>
        <v>0</v>
      </c>
    </row>
    <row r="553" spans="1:90" x14ac:dyDescent="0.3">
      <c r="A553" s="41" t="s">
        <v>295</v>
      </c>
      <c r="B553" s="41"/>
      <c r="C553" s="41"/>
      <c r="D553" s="41"/>
      <c r="E553" s="41"/>
      <c r="F553" s="41"/>
      <c r="G553" s="64"/>
      <c r="H553" s="64"/>
      <c r="I553" s="53"/>
      <c r="J553" s="53"/>
      <c r="K553" s="64"/>
      <c r="L553" s="64"/>
      <c r="M553" s="65"/>
      <c r="N553" s="64"/>
      <c r="O553" s="41"/>
      <c r="P553" s="64"/>
      <c r="Q553" s="56">
        <f>Hypo2CI_2*RDS2CLD_2</f>
        <v>1.8531333333333334E-2</v>
      </c>
      <c r="R553" s="56"/>
      <c r="S553" s="129"/>
      <c r="T553" s="105"/>
      <c r="U553" s="133"/>
      <c r="V553" s="133"/>
      <c r="W553" s="133"/>
      <c r="X553" s="133"/>
      <c r="Y553" s="133"/>
      <c r="Z553" s="134"/>
      <c r="AA553" s="6"/>
      <c r="AG553" t="s">
        <v>300</v>
      </c>
      <c r="AW553">
        <v>1.8531333333333334E-2</v>
      </c>
      <c r="BF553" s="41">
        <f t="shared" si="16"/>
        <v>1</v>
      </c>
      <c r="BG553" s="41">
        <f t="shared" si="17"/>
        <v>0</v>
      </c>
      <c r="BH553" s="41">
        <f t="shared" si="18"/>
        <v>0</v>
      </c>
      <c r="BI553" s="41">
        <f t="shared" si="19"/>
        <v>0</v>
      </c>
      <c r="BJ553" s="41">
        <f t="shared" si="20"/>
        <v>0</v>
      </c>
      <c r="BK553" s="41">
        <f t="shared" si="21"/>
        <v>0</v>
      </c>
      <c r="BL553" s="41">
        <f t="shared" si="22"/>
        <v>0</v>
      </c>
      <c r="BM553" s="41">
        <f t="shared" si="23"/>
        <v>0</v>
      </c>
      <c r="BN553" s="41">
        <f t="shared" si="24"/>
        <v>0</v>
      </c>
      <c r="BO553" s="41">
        <f t="shared" si="25"/>
        <v>0</v>
      </c>
      <c r="BP553" s="41">
        <f t="shared" si="26"/>
        <v>0</v>
      </c>
      <c r="BQ553" s="41">
        <f t="shared" si="27"/>
        <v>0</v>
      </c>
      <c r="BR553" s="41">
        <f t="shared" si="28"/>
        <v>0</v>
      </c>
      <c r="BS553" s="41">
        <f t="shared" si="29"/>
        <v>0</v>
      </c>
      <c r="BT553" s="41">
        <f t="shared" si="30"/>
        <v>0</v>
      </c>
      <c r="BU553" s="41">
        <f t="shared" si="31"/>
        <v>0</v>
      </c>
      <c r="BV553" s="41">
        <f t="shared" si="32"/>
        <v>0</v>
      </c>
      <c r="BW553" s="41">
        <f t="shared" si="33"/>
        <v>0</v>
      </c>
      <c r="BX553" s="41">
        <f t="shared" si="34"/>
        <v>0</v>
      </c>
      <c r="BY553" s="41">
        <f t="shared" si="35"/>
        <v>0</v>
      </c>
      <c r="BZ553" s="41">
        <f t="shared" si="36"/>
        <v>0</v>
      </c>
      <c r="CA553" s="41" t="e">
        <f>IF(#REF!=BB553,0,1)</f>
        <v>#REF!</v>
      </c>
      <c r="CB553" s="41">
        <f t="shared" si="37"/>
        <v>0</v>
      </c>
      <c r="CC553" s="41" t="e">
        <f>IF(#REF!=BD553,0,1)</f>
        <v>#REF!</v>
      </c>
      <c r="CD553" s="41" t="e">
        <f>IF(#REF!=BE553,0,1)</f>
        <v>#REF!</v>
      </c>
      <c r="CE553" s="41" t="e">
        <f>IF(#REF!=BF553,0,1)</f>
        <v>#REF!</v>
      </c>
      <c r="CF553" s="41">
        <f t="shared" si="38"/>
        <v>0</v>
      </c>
      <c r="CG553" s="41">
        <f t="shared" si="39"/>
        <v>0</v>
      </c>
      <c r="CH553" s="41">
        <f t="shared" si="40"/>
        <v>0</v>
      </c>
      <c r="CI553" s="41">
        <f t="shared" si="41"/>
        <v>0</v>
      </c>
      <c r="CJ553" s="41">
        <f t="shared" si="42"/>
        <v>0</v>
      </c>
      <c r="CK553" s="41">
        <f t="shared" si="43"/>
        <v>0</v>
      </c>
      <c r="CL553" s="41">
        <f t="shared" si="44"/>
        <v>0</v>
      </c>
    </row>
    <row r="554" spans="1:90" x14ac:dyDescent="0.3">
      <c r="A554" s="54" t="s">
        <v>23</v>
      </c>
      <c r="B554" s="41"/>
      <c r="C554" s="41"/>
      <c r="D554" s="41"/>
      <c r="E554" s="41"/>
      <c r="F554" s="41"/>
      <c r="G554" s="64"/>
      <c r="H554" s="64"/>
      <c r="I554" s="53"/>
      <c r="J554" s="53"/>
      <c r="K554" s="64"/>
      <c r="L554" s="64"/>
      <c r="M554" s="65"/>
      <c r="N554" s="64"/>
      <c r="O554" s="41"/>
      <c r="P554" s="64"/>
      <c r="Q554" s="57">
        <f>c_lung+c_cog+c_hosp_fu+c_CSG</f>
        <v>58348.510902399998</v>
      </c>
      <c r="R554" s="57"/>
      <c r="S554" s="129"/>
      <c r="T554" s="105"/>
      <c r="U554" s="133"/>
      <c r="V554" s="133"/>
      <c r="W554" s="133"/>
      <c r="X554" s="133"/>
      <c r="Y554" s="133"/>
      <c r="Z554" s="134"/>
      <c r="AA554" s="6"/>
      <c r="AG554" t="s">
        <v>23</v>
      </c>
      <c r="AW554">
        <v>45990.200000000004</v>
      </c>
      <c r="BF554" s="41">
        <f t="shared" si="16"/>
        <v>0</v>
      </c>
      <c r="BG554" s="41">
        <f t="shared" si="17"/>
        <v>0</v>
      </c>
      <c r="BH554" s="41">
        <f t="shared" si="18"/>
        <v>0</v>
      </c>
      <c r="BI554" s="41">
        <f t="shared" si="19"/>
        <v>0</v>
      </c>
      <c r="BJ554" s="41">
        <f t="shared" si="20"/>
        <v>0</v>
      </c>
      <c r="BK554" s="41">
        <f t="shared" si="21"/>
        <v>0</v>
      </c>
      <c r="BL554" s="41">
        <f t="shared" si="22"/>
        <v>0</v>
      </c>
      <c r="BM554" s="41">
        <f t="shared" si="23"/>
        <v>0</v>
      </c>
      <c r="BN554" s="41">
        <f t="shared" si="24"/>
        <v>0</v>
      </c>
      <c r="BO554" s="41">
        <f t="shared" si="25"/>
        <v>0</v>
      </c>
      <c r="BP554" s="41">
        <f t="shared" si="26"/>
        <v>0</v>
      </c>
      <c r="BQ554" s="41">
        <f t="shared" si="27"/>
        <v>0</v>
      </c>
      <c r="BR554" s="41">
        <f t="shared" si="28"/>
        <v>0</v>
      </c>
      <c r="BS554" s="41">
        <f t="shared" si="29"/>
        <v>0</v>
      </c>
      <c r="BT554" s="41">
        <f t="shared" si="30"/>
        <v>0</v>
      </c>
      <c r="BU554" s="41">
        <f t="shared" si="31"/>
        <v>0</v>
      </c>
      <c r="BV554" s="41">
        <f t="shared" si="32"/>
        <v>1</v>
      </c>
      <c r="BW554" s="41">
        <f t="shared" si="33"/>
        <v>0</v>
      </c>
      <c r="BX554" s="41">
        <f t="shared" si="34"/>
        <v>0</v>
      </c>
      <c r="BY554" s="41">
        <f t="shared" si="35"/>
        <v>0</v>
      </c>
      <c r="BZ554" s="41">
        <f t="shared" si="36"/>
        <v>1</v>
      </c>
      <c r="CA554" s="41" t="e">
        <f>IF(#REF!=BB554,0,1)</f>
        <v>#REF!</v>
      </c>
      <c r="CB554" s="41">
        <f t="shared" si="37"/>
        <v>0</v>
      </c>
      <c r="CC554" s="41" t="e">
        <f>IF(#REF!=BD554,0,1)</f>
        <v>#REF!</v>
      </c>
      <c r="CD554" s="41" t="e">
        <f>IF(#REF!=BE554,0,1)</f>
        <v>#REF!</v>
      </c>
      <c r="CE554" s="41" t="e">
        <f>IF(#REF!=BF554,0,1)</f>
        <v>#REF!</v>
      </c>
      <c r="CF554" s="41">
        <f t="shared" si="38"/>
        <v>0</v>
      </c>
      <c r="CG554" s="41">
        <f t="shared" si="39"/>
        <v>0</v>
      </c>
      <c r="CH554" s="41">
        <f t="shared" si="40"/>
        <v>0</v>
      </c>
      <c r="CI554" s="41">
        <f t="shared" si="41"/>
        <v>0</v>
      </c>
      <c r="CJ554" s="41">
        <f t="shared" si="42"/>
        <v>0</v>
      </c>
      <c r="CK554" s="41">
        <f t="shared" si="43"/>
        <v>0</v>
      </c>
      <c r="CL554" s="41">
        <f t="shared" si="44"/>
        <v>0</v>
      </c>
    </row>
    <row r="555" spans="1:90" x14ac:dyDescent="0.3">
      <c r="A555" s="56">
        <f>G2noANC</f>
        <v>8.5069000000000061E-2</v>
      </c>
      <c r="B555" s="41"/>
      <c r="C555" s="41"/>
      <c r="D555" s="41"/>
      <c r="E555" s="41"/>
      <c r="F555" s="41"/>
      <c r="G555" s="64"/>
      <c r="H555" s="64"/>
      <c r="I555" s="53"/>
      <c r="J555" s="53"/>
      <c r="K555" s="64"/>
      <c r="L555" s="64"/>
      <c r="M555" s="65"/>
      <c r="N555" s="64"/>
      <c r="O555" s="41"/>
      <c r="P555" s="64"/>
      <c r="Q555" s="54" t="s">
        <v>370</v>
      </c>
      <c r="R555" s="54"/>
      <c r="S555" s="129"/>
      <c r="T555" s="105"/>
      <c r="U555" s="133">
        <f>$G$493*$E$531*$C$600*$A$555*$I$525*$K$536*$M$551*$O$549*Q556</f>
        <v>1.5272898793002832E-4</v>
      </c>
      <c r="V555" s="133">
        <v>5.1861899690364317E-4</v>
      </c>
      <c r="W555" s="134">
        <f>$K$537+$I$526+$G$494+$E$532+$C$601+$A$556+$M$552+$O$550+Q557</f>
        <v>218868.92770810809</v>
      </c>
      <c r="X555" s="133">
        <f>u_Healthy</f>
        <v>0</v>
      </c>
      <c r="Y555" s="133"/>
      <c r="Z555" s="134">
        <f>U555*W555</f>
        <v>33.427629818189878</v>
      </c>
      <c r="AA555" s="6">
        <f>U555*X555</f>
        <v>0</v>
      </c>
      <c r="AG555">
        <v>0.16900000000000004</v>
      </c>
      <c r="AW555" t="s">
        <v>370</v>
      </c>
      <c r="AZ555">
        <v>5.1861899690364306E-4</v>
      </c>
      <c r="BF555" s="41">
        <f t="shared" si="16"/>
        <v>1</v>
      </c>
      <c r="BG555" s="41">
        <f t="shared" si="17"/>
        <v>0</v>
      </c>
      <c r="BH555" s="41">
        <f t="shared" si="18"/>
        <v>0</v>
      </c>
      <c r="BI555" s="41">
        <f t="shared" si="19"/>
        <v>0</v>
      </c>
      <c r="BJ555" s="41">
        <f t="shared" si="20"/>
        <v>0</v>
      </c>
      <c r="BK555" s="41">
        <f t="shared" si="21"/>
        <v>0</v>
      </c>
      <c r="BL555" s="41">
        <f t="shared" si="22"/>
        <v>0</v>
      </c>
      <c r="BM555" s="41">
        <f t="shared" si="23"/>
        <v>0</v>
      </c>
      <c r="BN555" s="41">
        <f t="shared" si="24"/>
        <v>0</v>
      </c>
      <c r="BO555" s="41">
        <f t="shared" si="25"/>
        <v>0</v>
      </c>
      <c r="BP555" s="41">
        <f t="shared" si="26"/>
        <v>0</v>
      </c>
      <c r="BQ555" s="41">
        <f t="shared" si="27"/>
        <v>0</v>
      </c>
      <c r="BR555" s="41">
        <f t="shared" si="28"/>
        <v>0</v>
      </c>
      <c r="BS555" s="41">
        <f t="shared" si="29"/>
        <v>0</v>
      </c>
      <c r="BT555" s="41">
        <f t="shared" si="30"/>
        <v>0</v>
      </c>
      <c r="BU555" s="41">
        <f t="shared" si="31"/>
        <v>0</v>
      </c>
      <c r="BV555" s="41">
        <f t="shared" si="32"/>
        <v>0</v>
      </c>
      <c r="BW555" s="41">
        <f t="shared" si="33"/>
        <v>0</v>
      </c>
      <c r="BX555" s="41">
        <f t="shared" si="34"/>
        <v>0</v>
      </c>
      <c r="BY555" s="41">
        <f t="shared" si="35"/>
        <v>1</v>
      </c>
      <c r="BZ555" s="41">
        <f t="shared" si="36"/>
        <v>0</v>
      </c>
      <c r="CA555" s="41" t="e">
        <f>IF(#REF!=BB555,0,1)</f>
        <v>#REF!</v>
      </c>
      <c r="CB555" s="41">
        <f t="shared" si="37"/>
        <v>1</v>
      </c>
      <c r="CC555" s="41" t="e">
        <f>IF(#REF!=BD555,0,1)</f>
        <v>#REF!</v>
      </c>
      <c r="CD555" s="41" t="e">
        <f>IF(#REF!=BE555,0,1)</f>
        <v>#REF!</v>
      </c>
      <c r="CE555" s="41" t="e">
        <f>IF(#REF!=BF555,0,1)</f>
        <v>#REF!</v>
      </c>
      <c r="CF555" s="41">
        <f t="shared" si="38"/>
        <v>0</v>
      </c>
      <c r="CG555" s="41">
        <f t="shared" si="39"/>
        <v>1</v>
      </c>
      <c r="CH555" s="41">
        <f t="shared" si="40"/>
        <v>0</v>
      </c>
      <c r="CI555" s="41">
        <f t="shared" si="41"/>
        <v>0</v>
      </c>
      <c r="CJ555" s="41">
        <f t="shared" si="42"/>
        <v>0</v>
      </c>
      <c r="CK555" s="41">
        <f t="shared" si="43"/>
        <v>0</v>
      </c>
      <c r="CL555" s="41">
        <f t="shared" si="44"/>
        <v>0</v>
      </c>
    </row>
    <row r="556" spans="1:90" x14ac:dyDescent="0.3">
      <c r="A556" s="57">
        <f>c_grant</f>
        <v>2300</v>
      </c>
      <c r="B556" s="41"/>
      <c r="C556" s="41"/>
      <c r="D556" s="41"/>
      <c r="E556" s="41"/>
      <c r="F556" s="41"/>
      <c r="G556" s="64"/>
      <c r="H556" s="64"/>
      <c r="I556" s="53"/>
      <c r="J556" s="53"/>
      <c r="K556" s="64"/>
      <c r="L556" s="64"/>
      <c r="M556" s="65"/>
      <c r="N556" s="64"/>
      <c r="O556" s="65"/>
      <c r="P556" s="64"/>
      <c r="Q556" s="56">
        <f>1-Q547-Q550-Q553</f>
        <v>0.60619800000000001</v>
      </c>
      <c r="R556" s="56"/>
      <c r="T556" s="105"/>
      <c r="U556" s="133"/>
      <c r="V556" s="133"/>
      <c r="W556" s="133"/>
      <c r="X556" s="133"/>
      <c r="Y556" s="133"/>
      <c r="Z556" s="134"/>
      <c r="AA556" s="6"/>
      <c r="AW556">
        <v>0.60619800000000001</v>
      </c>
      <c r="BF556" s="41">
        <f t="shared" si="16"/>
        <v>1</v>
      </c>
      <c r="BG556" s="41">
        <f t="shared" si="17"/>
        <v>0</v>
      </c>
      <c r="BH556" s="41">
        <f t="shared" si="18"/>
        <v>0</v>
      </c>
      <c r="BI556" s="41">
        <f t="shared" si="19"/>
        <v>0</v>
      </c>
      <c r="BJ556" s="41">
        <f t="shared" si="20"/>
        <v>0</v>
      </c>
      <c r="BK556" s="41">
        <f t="shared" si="21"/>
        <v>0</v>
      </c>
      <c r="BL556" s="41">
        <f t="shared" si="22"/>
        <v>0</v>
      </c>
      <c r="BM556" s="41">
        <f t="shared" si="23"/>
        <v>0</v>
      </c>
      <c r="BN556" s="41">
        <f t="shared" si="24"/>
        <v>0</v>
      </c>
      <c r="BO556" s="41">
        <f t="shared" si="25"/>
        <v>0</v>
      </c>
      <c r="BP556" s="41">
        <f t="shared" si="26"/>
        <v>0</v>
      </c>
      <c r="BQ556" s="41">
        <f t="shared" si="27"/>
        <v>0</v>
      </c>
      <c r="BR556" s="41">
        <f t="shared" si="28"/>
        <v>0</v>
      </c>
      <c r="BS556" s="41">
        <f t="shared" si="29"/>
        <v>0</v>
      </c>
      <c r="BT556" s="41">
        <f t="shared" si="30"/>
        <v>0</v>
      </c>
      <c r="BU556" s="41">
        <f t="shared" si="31"/>
        <v>0</v>
      </c>
      <c r="BV556" s="41">
        <f t="shared" si="32"/>
        <v>0</v>
      </c>
      <c r="BW556" s="41">
        <f t="shared" si="33"/>
        <v>0</v>
      </c>
      <c r="BX556" s="41">
        <f t="shared" si="34"/>
        <v>0</v>
      </c>
      <c r="BY556" s="41">
        <f t="shared" si="35"/>
        <v>0</v>
      </c>
      <c r="BZ556" s="41">
        <f t="shared" si="36"/>
        <v>0</v>
      </c>
      <c r="CA556" s="41" t="e">
        <f>IF(#REF!=BB556,0,1)</f>
        <v>#REF!</v>
      </c>
      <c r="CB556" s="41">
        <f t="shared" si="37"/>
        <v>0</v>
      </c>
      <c r="CC556" s="41" t="e">
        <f>IF(#REF!=BD556,0,1)</f>
        <v>#REF!</v>
      </c>
      <c r="CD556" s="41" t="e">
        <f>IF(#REF!=BE556,0,1)</f>
        <v>#REF!</v>
      </c>
      <c r="CE556" s="41" t="e">
        <f>IF(#REF!=BF556,0,1)</f>
        <v>#REF!</v>
      </c>
      <c r="CF556" s="41">
        <f t="shared" si="38"/>
        <v>0</v>
      </c>
      <c r="CG556" s="41">
        <f t="shared" si="39"/>
        <v>0</v>
      </c>
      <c r="CH556" s="41">
        <f t="shared" si="40"/>
        <v>0</v>
      </c>
      <c r="CI556" s="41">
        <f t="shared" si="41"/>
        <v>0</v>
      </c>
      <c r="CJ556" s="41">
        <f t="shared" si="42"/>
        <v>0</v>
      </c>
      <c r="CK556" s="41">
        <f t="shared" si="43"/>
        <v>0</v>
      </c>
      <c r="CL556" s="41">
        <f t="shared" si="44"/>
        <v>0</v>
      </c>
    </row>
    <row r="557" spans="1:90" x14ac:dyDescent="0.3">
      <c r="A557" s="41"/>
      <c r="B557" s="41"/>
      <c r="C557" s="41"/>
      <c r="D557" s="41"/>
      <c r="E557" s="41"/>
      <c r="F557" s="41"/>
      <c r="G557" s="64"/>
      <c r="H557" s="64"/>
      <c r="I557" s="53"/>
      <c r="J557" s="53"/>
      <c r="K557" s="64"/>
      <c r="L557" s="64"/>
      <c r="M557" s="65"/>
      <c r="N557" s="64"/>
      <c r="O557" s="64"/>
      <c r="P557" s="64"/>
      <c r="Q557" s="57">
        <f>c_clinic_fu+c_CSG</f>
        <v>14403</v>
      </c>
      <c r="R557" s="57"/>
      <c r="S557" s="129"/>
      <c r="T557" s="105"/>
      <c r="U557" s="133"/>
      <c r="V557" s="133"/>
      <c r="W557" s="133"/>
      <c r="X557" s="133"/>
      <c r="Y557" s="133"/>
      <c r="Z557" s="134"/>
      <c r="AA557" s="6"/>
      <c r="AW557">
        <v>3230</v>
      </c>
      <c r="BF557" s="41">
        <f t="shared" si="16"/>
        <v>0</v>
      </c>
      <c r="BG557" s="41">
        <f t="shared" si="17"/>
        <v>0</v>
      </c>
      <c r="BH557" s="41">
        <f t="shared" si="18"/>
        <v>0</v>
      </c>
      <c r="BI557" s="41">
        <f t="shared" si="19"/>
        <v>0</v>
      </c>
      <c r="BJ557" s="41">
        <f t="shared" si="20"/>
        <v>0</v>
      </c>
      <c r="BK557" s="41">
        <f t="shared" si="21"/>
        <v>0</v>
      </c>
      <c r="BL557" s="41">
        <f t="shared" si="22"/>
        <v>0</v>
      </c>
      <c r="BM557" s="41">
        <f t="shared" si="23"/>
        <v>0</v>
      </c>
      <c r="BN557" s="41">
        <f t="shared" si="24"/>
        <v>0</v>
      </c>
      <c r="BO557" s="41">
        <f t="shared" si="25"/>
        <v>0</v>
      </c>
      <c r="BP557" s="41">
        <f t="shared" si="26"/>
        <v>0</v>
      </c>
      <c r="BQ557" s="41">
        <f t="shared" si="27"/>
        <v>0</v>
      </c>
      <c r="BR557" s="41">
        <f t="shared" si="28"/>
        <v>0</v>
      </c>
      <c r="BS557" s="41">
        <f t="shared" si="29"/>
        <v>0</v>
      </c>
      <c r="BT557" s="41">
        <f t="shared" si="30"/>
        <v>0</v>
      </c>
      <c r="BU557" s="41">
        <f t="shared" si="31"/>
        <v>0</v>
      </c>
      <c r="BV557" s="41">
        <f t="shared" si="32"/>
        <v>1</v>
      </c>
      <c r="BW557" s="41">
        <f t="shared" si="33"/>
        <v>0</v>
      </c>
      <c r="BX557" s="41">
        <f t="shared" si="34"/>
        <v>0</v>
      </c>
      <c r="BY557" s="41">
        <f t="shared" si="35"/>
        <v>0</v>
      </c>
      <c r="BZ557" s="41">
        <f t="shared" si="36"/>
        <v>0</v>
      </c>
      <c r="CA557" s="41" t="e">
        <f>IF(#REF!=BB557,0,1)</f>
        <v>#REF!</v>
      </c>
      <c r="CB557" s="41">
        <f t="shared" si="37"/>
        <v>0</v>
      </c>
      <c r="CC557" s="41" t="e">
        <f>IF(#REF!=BD557,0,1)</f>
        <v>#REF!</v>
      </c>
      <c r="CD557" s="41" t="e">
        <f>IF(#REF!=BE557,0,1)</f>
        <v>#REF!</v>
      </c>
      <c r="CE557" s="41" t="e">
        <f>IF(#REF!=BF557,0,1)</f>
        <v>#REF!</v>
      </c>
      <c r="CF557" s="41">
        <f t="shared" si="38"/>
        <v>0</v>
      </c>
      <c r="CG557" s="41">
        <f t="shared" si="39"/>
        <v>0</v>
      </c>
      <c r="CH557" s="41">
        <f t="shared" si="40"/>
        <v>0</v>
      </c>
      <c r="CI557" s="41">
        <f t="shared" si="41"/>
        <v>0</v>
      </c>
      <c r="CJ557" s="41">
        <f t="shared" si="42"/>
        <v>0</v>
      </c>
      <c r="CK557" s="41">
        <f t="shared" si="43"/>
        <v>0</v>
      </c>
      <c r="CL557" s="41">
        <f t="shared" si="44"/>
        <v>0</v>
      </c>
    </row>
    <row r="558" spans="1:90" x14ac:dyDescent="0.3">
      <c r="A558" s="41"/>
      <c r="B558" s="41"/>
      <c r="C558" s="41"/>
      <c r="D558" s="41"/>
      <c r="E558" s="41"/>
      <c r="F558" s="41"/>
      <c r="G558" s="64"/>
      <c r="H558" s="64"/>
      <c r="I558" s="41"/>
      <c r="J558" s="64"/>
      <c r="K558" s="64"/>
      <c r="L558" s="64"/>
      <c r="M558" s="65"/>
      <c r="N558" s="64"/>
      <c r="O558" s="64"/>
      <c r="P558" s="64"/>
      <c r="Q558" s="65"/>
      <c r="R558" s="65"/>
      <c r="S558" s="130"/>
      <c r="T558" s="105"/>
      <c r="U558" s="133"/>
      <c r="V558" s="133"/>
      <c r="W558" s="133"/>
      <c r="X558" s="133"/>
      <c r="Y558" s="133"/>
      <c r="Z558" s="134"/>
      <c r="AA558" s="6"/>
      <c r="BF558" s="41">
        <f t="shared" si="16"/>
        <v>0</v>
      </c>
      <c r="BG558" s="41">
        <f t="shared" si="17"/>
        <v>0</v>
      </c>
      <c r="BH558" s="41">
        <f t="shared" si="18"/>
        <v>0</v>
      </c>
      <c r="BI558" s="41">
        <f t="shared" si="19"/>
        <v>0</v>
      </c>
      <c r="BJ558" s="41">
        <f t="shared" si="20"/>
        <v>0</v>
      </c>
      <c r="BK558" s="41">
        <f t="shared" si="21"/>
        <v>0</v>
      </c>
      <c r="BL558" s="41">
        <f t="shared" si="22"/>
        <v>0</v>
      </c>
      <c r="BM558" s="41">
        <f t="shared" si="23"/>
        <v>0</v>
      </c>
      <c r="BN558" s="41">
        <f t="shared" si="24"/>
        <v>0</v>
      </c>
      <c r="BO558" s="41">
        <f t="shared" si="25"/>
        <v>0</v>
      </c>
      <c r="BP558" s="41">
        <f t="shared" si="26"/>
        <v>0</v>
      </c>
      <c r="BQ558" s="41">
        <f t="shared" si="27"/>
        <v>0</v>
      </c>
      <c r="BR558" s="41">
        <f t="shared" si="28"/>
        <v>0</v>
      </c>
      <c r="BS558" s="41">
        <f t="shared" si="29"/>
        <v>0</v>
      </c>
      <c r="BT558" s="41">
        <f t="shared" si="30"/>
        <v>0</v>
      </c>
      <c r="BU558" s="41">
        <f t="shared" si="31"/>
        <v>0</v>
      </c>
      <c r="BV558" s="41">
        <f t="shared" si="32"/>
        <v>0</v>
      </c>
      <c r="BW558" s="41">
        <f t="shared" si="33"/>
        <v>0</v>
      </c>
      <c r="BX558" s="41">
        <f t="shared" si="34"/>
        <v>0</v>
      </c>
      <c r="BY558" s="41">
        <f t="shared" si="35"/>
        <v>0</v>
      </c>
      <c r="BZ558" s="41">
        <f t="shared" si="36"/>
        <v>1</v>
      </c>
      <c r="CA558" s="41" t="e">
        <f>IF(#REF!=BB558,0,1)</f>
        <v>#REF!</v>
      </c>
      <c r="CB558" s="41">
        <f t="shared" si="37"/>
        <v>0</v>
      </c>
      <c r="CC558" s="41" t="e">
        <f>IF(#REF!=BD558,0,1)</f>
        <v>#REF!</v>
      </c>
      <c r="CD558" s="41" t="e">
        <f>IF(#REF!=BE558,0,1)</f>
        <v>#REF!</v>
      </c>
      <c r="CE558" s="41" t="e">
        <f>IF(#REF!=BF558,0,1)</f>
        <v>#REF!</v>
      </c>
      <c r="CF558" s="41">
        <f t="shared" si="38"/>
        <v>0</v>
      </c>
      <c r="CG558" s="41">
        <f t="shared" si="39"/>
        <v>0</v>
      </c>
      <c r="CH558" s="41">
        <f t="shared" si="40"/>
        <v>0</v>
      </c>
      <c r="CI558" s="41">
        <f t="shared" si="41"/>
        <v>0</v>
      </c>
      <c r="CJ558" s="41">
        <f t="shared" si="42"/>
        <v>0</v>
      </c>
      <c r="CK558" s="41">
        <f t="shared" si="43"/>
        <v>0</v>
      </c>
      <c r="CL558" s="41">
        <f t="shared" si="44"/>
        <v>0</v>
      </c>
    </row>
    <row r="559" spans="1:90" x14ac:dyDescent="0.3">
      <c r="A559" s="41"/>
      <c r="B559" s="41"/>
      <c r="C559" s="41"/>
      <c r="D559" s="41"/>
      <c r="E559" s="41"/>
      <c r="F559" s="41"/>
      <c r="G559" s="64"/>
      <c r="H559" s="64"/>
      <c r="I559" s="41"/>
      <c r="J559" s="64"/>
      <c r="K559" s="64"/>
      <c r="L559" s="64"/>
      <c r="M559" s="65"/>
      <c r="N559" s="64"/>
      <c r="O559" s="64"/>
      <c r="P559" s="64"/>
      <c r="Q559" s="54" t="s">
        <v>368</v>
      </c>
      <c r="R559" s="54"/>
      <c r="S559" s="129"/>
      <c r="T559" s="105"/>
      <c r="U559" s="133">
        <f>$G$493*$E$531*$C$600*$A$555*$I$525*$K$536*$M$551*$O$563*Q560</f>
        <v>4.9834474372095132E-4</v>
      </c>
      <c r="V559" s="133">
        <v>1.6922200205973369E-3</v>
      </c>
      <c r="W559" s="134">
        <f>$K$537+$I$526+$G$494+$E$532+$C$601+$A$556+$M$552+$O$564+Q561</f>
        <v>256059.17821050808</v>
      </c>
      <c r="X559" s="133">
        <f>u_ChronicResp</f>
        <v>0.53465956747782661</v>
      </c>
      <c r="Y559" s="133"/>
      <c r="Z559" s="134">
        <f>U559*W559</f>
        <v>127.60574554271305</v>
      </c>
      <c r="AA559" s="6">
        <f>U559*X559</f>
        <v>2.6644478513269216E-4</v>
      </c>
      <c r="AW559" t="s">
        <v>368</v>
      </c>
      <c r="AZ559">
        <v>1.6922200205973365E-3</v>
      </c>
      <c r="BF559" s="41">
        <f t="shared" si="16"/>
        <v>0</v>
      </c>
      <c r="BG559" s="41">
        <f t="shared" si="17"/>
        <v>0</v>
      </c>
      <c r="BH559" s="41">
        <f t="shared" si="18"/>
        <v>0</v>
      </c>
      <c r="BI559" s="41">
        <f t="shared" si="19"/>
        <v>0</v>
      </c>
      <c r="BJ559" s="41">
        <f t="shared" si="20"/>
        <v>0</v>
      </c>
      <c r="BK559" s="41">
        <f t="shared" si="21"/>
        <v>0</v>
      </c>
      <c r="BL559" s="41">
        <f t="shared" si="22"/>
        <v>0</v>
      </c>
      <c r="BM559" s="41">
        <f t="shared" si="23"/>
        <v>0</v>
      </c>
      <c r="BN559" s="41">
        <f t="shared" si="24"/>
        <v>0</v>
      </c>
      <c r="BO559" s="41">
        <f t="shared" si="25"/>
        <v>0</v>
      </c>
      <c r="BP559" s="41">
        <f t="shared" si="26"/>
        <v>0</v>
      </c>
      <c r="BQ559" s="41">
        <f t="shared" si="27"/>
        <v>0</v>
      </c>
      <c r="BR559" s="41">
        <f t="shared" si="28"/>
        <v>0</v>
      </c>
      <c r="BS559" s="41">
        <f t="shared" si="29"/>
        <v>0</v>
      </c>
      <c r="BT559" s="41">
        <f t="shared" si="30"/>
        <v>0</v>
      </c>
      <c r="BU559" s="41">
        <f t="shared" si="31"/>
        <v>0</v>
      </c>
      <c r="BV559" s="41">
        <f t="shared" si="32"/>
        <v>0</v>
      </c>
      <c r="BW559" s="41">
        <f t="shared" si="33"/>
        <v>0</v>
      </c>
      <c r="BX559" s="41">
        <f t="shared" si="34"/>
        <v>0</v>
      </c>
      <c r="BY559" s="41">
        <f t="shared" si="35"/>
        <v>1</v>
      </c>
      <c r="BZ559" s="41">
        <f t="shared" si="36"/>
        <v>0</v>
      </c>
      <c r="CA559" s="41" t="e">
        <f>IF(#REF!=BB559,0,1)</f>
        <v>#REF!</v>
      </c>
      <c r="CB559" s="41">
        <f t="shared" si="37"/>
        <v>1</v>
      </c>
      <c r="CC559" s="41" t="e">
        <f>IF(#REF!=BD559,0,1)</f>
        <v>#REF!</v>
      </c>
      <c r="CD559" s="41" t="e">
        <f>IF(#REF!=BE559,0,1)</f>
        <v>#REF!</v>
      </c>
      <c r="CE559" s="41" t="e">
        <f>IF(#REF!=BF559,0,1)</f>
        <v>#REF!</v>
      </c>
      <c r="CF559" s="41">
        <f t="shared" si="38"/>
        <v>1</v>
      </c>
      <c r="CG559" s="41">
        <f t="shared" si="39"/>
        <v>1</v>
      </c>
      <c r="CH559" s="41">
        <f t="shared" si="40"/>
        <v>1</v>
      </c>
      <c r="CI559" s="41">
        <f t="shared" si="41"/>
        <v>0</v>
      </c>
      <c r="CJ559" s="41">
        <f t="shared" si="42"/>
        <v>0</v>
      </c>
      <c r="CK559" s="41">
        <f t="shared" si="43"/>
        <v>0</v>
      </c>
      <c r="CL559" s="41">
        <f t="shared" si="44"/>
        <v>0</v>
      </c>
    </row>
    <row r="560" spans="1:90" x14ac:dyDescent="0.3">
      <c r="A560" s="41"/>
      <c r="B560" s="41"/>
      <c r="C560" s="41"/>
      <c r="D560" s="41"/>
      <c r="E560" s="41"/>
      <c r="F560" s="41"/>
      <c r="G560" s="64"/>
      <c r="H560" s="64"/>
      <c r="I560" s="41"/>
      <c r="J560" s="64"/>
      <c r="K560" s="64"/>
      <c r="L560" s="64"/>
      <c r="M560" s="65"/>
      <c r="N560" s="64"/>
      <c r="O560" s="64"/>
      <c r="P560" s="64"/>
      <c r="Q560" s="56">
        <f>RDS2CLD_2-(RDS2CLD_2*noHypo2CI_2)</f>
        <v>0.34905610687022898</v>
      </c>
      <c r="R560" s="56"/>
      <c r="S560" s="129"/>
      <c r="T560" s="105"/>
      <c r="U560" s="133"/>
      <c r="V560" s="133"/>
      <c r="W560" s="133"/>
      <c r="X560" s="133"/>
      <c r="Y560" s="133"/>
      <c r="Z560" s="134"/>
      <c r="AA560" s="6"/>
      <c r="AW560">
        <v>0.34905610687022898</v>
      </c>
      <c r="BF560" s="41">
        <f t="shared" si="16"/>
        <v>0</v>
      </c>
      <c r="BG560" s="41">
        <f t="shared" si="17"/>
        <v>0</v>
      </c>
      <c r="BH560" s="41">
        <f t="shared" si="18"/>
        <v>0</v>
      </c>
      <c r="BI560" s="41">
        <f t="shared" si="19"/>
        <v>0</v>
      </c>
      <c r="BJ560" s="41">
        <f t="shared" si="20"/>
        <v>0</v>
      </c>
      <c r="BK560" s="41">
        <f t="shared" si="21"/>
        <v>0</v>
      </c>
      <c r="BL560" s="41">
        <f t="shared" si="22"/>
        <v>0</v>
      </c>
      <c r="BM560" s="41">
        <f t="shared" si="23"/>
        <v>0</v>
      </c>
      <c r="BN560" s="41">
        <f t="shared" si="24"/>
        <v>0</v>
      </c>
      <c r="BO560" s="41">
        <f t="shared" si="25"/>
        <v>0</v>
      </c>
      <c r="BP560" s="41">
        <f t="shared" si="26"/>
        <v>0</v>
      </c>
      <c r="BQ560" s="41">
        <f t="shared" si="27"/>
        <v>0</v>
      </c>
      <c r="BR560" s="41">
        <f t="shared" si="28"/>
        <v>0</v>
      </c>
      <c r="BS560" s="41">
        <f t="shared" si="29"/>
        <v>0</v>
      </c>
      <c r="BT560" s="41">
        <f t="shared" si="30"/>
        <v>0</v>
      </c>
      <c r="BU560" s="41">
        <f t="shared" si="31"/>
        <v>0</v>
      </c>
      <c r="BV560" s="41">
        <f t="shared" si="32"/>
        <v>0</v>
      </c>
      <c r="BW560" s="41">
        <f t="shared" si="33"/>
        <v>0</v>
      </c>
      <c r="BX560" s="41">
        <f t="shared" si="34"/>
        <v>0</v>
      </c>
      <c r="BY560" s="41">
        <f t="shared" si="35"/>
        <v>0</v>
      </c>
      <c r="BZ560" s="41">
        <f t="shared" si="36"/>
        <v>0</v>
      </c>
      <c r="CA560" s="41" t="e">
        <f>IF(#REF!=BB560,0,1)</f>
        <v>#REF!</v>
      </c>
      <c r="CB560" s="41">
        <f t="shared" si="37"/>
        <v>0</v>
      </c>
      <c r="CC560" s="41" t="e">
        <f>IF(#REF!=BD560,0,1)</f>
        <v>#REF!</v>
      </c>
      <c r="CD560" s="41" t="e">
        <f>IF(#REF!=BE560,0,1)</f>
        <v>#REF!</v>
      </c>
      <c r="CE560" s="41" t="e">
        <f>IF(#REF!=BF560,0,1)</f>
        <v>#REF!</v>
      </c>
      <c r="CF560" s="41">
        <f t="shared" si="38"/>
        <v>0</v>
      </c>
      <c r="CG560" s="41">
        <f t="shared" si="39"/>
        <v>0</v>
      </c>
      <c r="CH560" s="41">
        <f t="shared" si="40"/>
        <v>0</v>
      </c>
      <c r="CI560" s="41">
        <f t="shared" si="41"/>
        <v>0</v>
      </c>
      <c r="CJ560" s="41">
        <f t="shared" si="42"/>
        <v>0</v>
      </c>
      <c r="CK560" s="41">
        <f t="shared" si="43"/>
        <v>0</v>
      </c>
      <c r="CL560" s="41">
        <f t="shared" si="44"/>
        <v>0</v>
      </c>
    </row>
    <row r="561" spans="1:90" s="44" customFormat="1" x14ac:dyDescent="0.3">
      <c r="A561" s="41"/>
      <c r="B561" s="41"/>
      <c r="C561" s="41"/>
      <c r="D561" s="41"/>
      <c r="E561" s="41"/>
      <c r="F561" s="41"/>
      <c r="G561" s="64"/>
      <c r="H561" s="64"/>
      <c r="I561" s="64"/>
      <c r="J561" s="64"/>
      <c r="K561" s="64"/>
      <c r="L561" s="64"/>
      <c r="M561" s="65"/>
      <c r="N561" s="64"/>
      <c r="O561" s="64"/>
      <c r="P561" s="64"/>
      <c r="Q561" s="57">
        <f>c_lung+c_hosp_fu+c_CSG</f>
        <v>54529.510902399998</v>
      </c>
      <c r="R561" s="57"/>
      <c r="S561" s="129"/>
      <c r="T561" s="105"/>
      <c r="U561" s="10"/>
      <c r="V561" s="133"/>
      <c r="W561" s="10"/>
      <c r="X561" s="133"/>
      <c r="Y561" s="133"/>
      <c r="Z561" s="134"/>
      <c r="AA561" s="6"/>
      <c r="AW561" s="44">
        <v>42323.200000000004</v>
      </c>
      <c r="BF561" s="41">
        <f t="shared" si="16"/>
        <v>0</v>
      </c>
      <c r="BG561" s="41">
        <f t="shared" si="17"/>
        <v>0</v>
      </c>
      <c r="BH561" s="41">
        <f t="shared" si="18"/>
        <v>0</v>
      </c>
      <c r="BI561" s="41">
        <f t="shared" si="19"/>
        <v>0</v>
      </c>
      <c r="BJ561" s="41">
        <f t="shared" si="20"/>
        <v>0</v>
      </c>
      <c r="BK561" s="41">
        <f t="shared" si="21"/>
        <v>0</v>
      </c>
      <c r="BL561" s="41">
        <f t="shared" si="22"/>
        <v>0</v>
      </c>
      <c r="BM561" s="41">
        <f t="shared" si="23"/>
        <v>0</v>
      </c>
      <c r="BN561" s="41">
        <f t="shared" si="24"/>
        <v>0</v>
      </c>
      <c r="BO561" s="41">
        <f t="shared" si="25"/>
        <v>0</v>
      </c>
      <c r="BP561" s="41">
        <f t="shared" si="26"/>
        <v>0</v>
      </c>
      <c r="BQ561" s="41">
        <f t="shared" si="27"/>
        <v>0</v>
      </c>
      <c r="BR561" s="41">
        <f t="shared" si="28"/>
        <v>0</v>
      </c>
      <c r="BS561" s="41">
        <f t="shared" si="29"/>
        <v>0</v>
      </c>
      <c r="BT561" s="41">
        <f t="shared" si="30"/>
        <v>0</v>
      </c>
      <c r="BU561" s="41">
        <f t="shared" si="31"/>
        <v>0</v>
      </c>
      <c r="BV561" s="41">
        <f t="shared" si="32"/>
        <v>1</v>
      </c>
      <c r="BW561" s="41">
        <f t="shared" si="33"/>
        <v>0</v>
      </c>
      <c r="BX561" s="41">
        <f t="shared" si="34"/>
        <v>0</v>
      </c>
      <c r="BY561" s="41">
        <f t="shared" si="35"/>
        <v>0</v>
      </c>
      <c r="BZ561" s="41">
        <f t="shared" si="36"/>
        <v>1</v>
      </c>
      <c r="CA561" s="41" t="e">
        <f>IF(#REF!=BB561,0,1)</f>
        <v>#REF!</v>
      </c>
      <c r="CB561" s="41">
        <f t="shared" si="37"/>
        <v>0</v>
      </c>
      <c r="CC561" s="41" t="e">
        <f>IF(#REF!=BD561,0,1)</f>
        <v>#REF!</v>
      </c>
      <c r="CD561" s="41" t="e">
        <f>IF(#REF!=BE561,0,1)</f>
        <v>#REF!</v>
      </c>
      <c r="CE561" s="41" t="e">
        <f>IF(#REF!=BF561,0,1)</f>
        <v>#REF!</v>
      </c>
      <c r="CF561" s="41">
        <f t="shared" si="38"/>
        <v>0</v>
      </c>
      <c r="CG561" s="41">
        <f t="shared" si="39"/>
        <v>0</v>
      </c>
      <c r="CH561" s="41">
        <f t="shared" si="40"/>
        <v>0</v>
      </c>
      <c r="CI561" s="41">
        <f t="shared" si="41"/>
        <v>0</v>
      </c>
      <c r="CJ561" s="41">
        <f t="shared" si="42"/>
        <v>0</v>
      </c>
      <c r="CK561" s="41">
        <f t="shared" si="43"/>
        <v>0</v>
      </c>
      <c r="CL561" s="41">
        <f t="shared" si="44"/>
        <v>0</v>
      </c>
    </row>
    <row r="562" spans="1:90" x14ac:dyDescent="0.3">
      <c r="A562" s="41"/>
      <c r="B562" s="41"/>
      <c r="C562" s="41"/>
      <c r="D562" s="41"/>
      <c r="E562" s="41"/>
      <c r="F562" s="41"/>
      <c r="G562" s="64"/>
      <c r="H562" s="64"/>
      <c r="I562" s="64"/>
      <c r="J562" s="64"/>
      <c r="K562" s="64"/>
      <c r="L562" s="64"/>
      <c r="M562" s="65"/>
      <c r="N562" s="64"/>
      <c r="O562" s="54" t="s">
        <v>371</v>
      </c>
      <c r="P562" s="64"/>
      <c r="Q562" s="54" t="s">
        <v>226</v>
      </c>
      <c r="R562" s="54"/>
      <c r="S562" s="129"/>
      <c r="T562" s="105"/>
      <c r="U562" s="133">
        <f>$G$493*$E$531*$C$600*$A$555*$I$525*$K$536*$M$551*$O$563*Q563</f>
        <v>3.018382028538262E-5</v>
      </c>
      <c r="V562" s="10">
        <v>1.0249463976214322E-4</v>
      </c>
      <c r="W562" s="134">
        <f>$K$537+$I$526+$G$494+$E$532+$C$601+$A$556+$M$552+$O$564+Q564</f>
        <v>217295.6673081081</v>
      </c>
      <c r="X562" s="133">
        <f>u_CongnitiveImpairement</f>
        <v>17.270393127285455</v>
      </c>
      <c r="Y562" s="133"/>
      <c r="Z562" s="134">
        <f>U562*W562</f>
        <v>6.5588133708202259</v>
      </c>
      <c r="AA562" s="6">
        <f>U562*X562</f>
        <v>5.2128644241189134E-4</v>
      </c>
      <c r="AU562" t="s">
        <v>371</v>
      </c>
      <c r="AW562" t="s">
        <v>226</v>
      </c>
      <c r="AZ562">
        <v>1.0249463976214319E-4</v>
      </c>
      <c r="BF562" s="41">
        <f t="shared" ref="BF562:BF593" si="45">IF(A562=AG562,0,1)</f>
        <v>0</v>
      </c>
      <c r="BG562" s="41">
        <f t="shared" ref="BG562:BG593" si="46">IF(B562=AH562,0,1)</f>
        <v>0</v>
      </c>
      <c r="BH562" s="41">
        <f t="shared" ref="BH562:BH593" si="47">IF(C562=AI562,0,1)</f>
        <v>0</v>
      </c>
      <c r="BI562" s="41">
        <f t="shared" ref="BI562:BI593" si="48">IF(D562=AJ562,0,1)</f>
        <v>0</v>
      </c>
      <c r="BJ562" s="41">
        <f t="shared" ref="BJ562:BJ593" si="49">IF(E562=AK562,0,1)</f>
        <v>0</v>
      </c>
      <c r="BK562" s="41">
        <f t="shared" ref="BK562:BK593" si="50">IF(F562=AL562,0,1)</f>
        <v>0</v>
      </c>
      <c r="BL562" s="41">
        <f t="shared" ref="BL562:BL593" si="51">IF(G562=AM562,0,1)</f>
        <v>0</v>
      </c>
      <c r="BM562" s="41">
        <f t="shared" ref="BM562:BM593" si="52">IF(H562=AN562,0,1)</f>
        <v>0</v>
      </c>
      <c r="BN562" s="41">
        <f t="shared" ref="BN562:BN593" si="53">IF(I562=AO562,0,1)</f>
        <v>0</v>
      </c>
      <c r="BO562" s="41">
        <f t="shared" ref="BO562:BO593" si="54">IF(J562=AP562,0,1)</f>
        <v>0</v>
      </c>
      <c r="BP562" s="41">
        <f t="shared" ref="BP562:BP593" si="55">IF(K562=AQ562,0,1)</f>
        <v>0</v>
      </c>
      <c r="BQ562" s="41">
        <f t="shared" ref="BQ562:BQ593" si="56">IF(L562=AR562,0,1)</f>
        <v>0</v>
      </c>
      <c r="BR562" s="41">
        <f t="shared" ref="BR562:BR593" si="57">IF(M562=AS562,0,1)</f>
        <v>0</v>
      </c>
      <c r="BS562" s="41">
        <f t="shared" ref="BS562:BS593" si="58">IF(N562=AT562,0,1)</f>
        <v>0</v>
      </c>
      <c r="BT562" s="41">
        <f t="shared" ref="BT562:BT593" si="59">IF(O562=AU562,0,1)</f>
        <v>0</v>
      </c>
      <c r="BU562" s="41">
        <f t="shared" ref="BU562:BU593" si="60">IF(P562=AV562,0,1)</f>
        <v>0</v>
      </c>
      <c r="BV562" s="41">
        <f t="shared" ref="BV562:BV593" si="61">IF(Q562=AW562,0,1)</f>
        <v>0</v>
      </c>
      <c r="BW562" s="41">
        <f t="shared" ref="BW562:BW593" si="62">IF(S562=AX562,0,1)</f>
        <v>0</v>
      </c>
      <c r="BX562" s="41">
        <f t="shared" ref="BX562:BX593" si="63">IF(T562=AY562,0,1)</f>
        <v>0</v>
      </c>
      <c r="BY562" s="41">
        <f t="shared" ref="BY562:BY593" si="64">IF(U562=AZ562,0,1)</f>
        <v>1</v>
      </c>
      <c r="BZ562" s="41">
        <f t="shared" ref="BZ562:BZ593" si="65">IF(V563=BA562,0,1)</f>
        <v>0</v>
      </c>
      <c r="CA562" s="41" t="e">
        <f>IF(#REF!=BB562,0,1)</f>
        <v>#REF!</v>
      </c>
      <c r="CB562" s="41">
        <f t="shared" ref="CB562:CB593" si="66">IF(W562=BC562,0,1)</f>
        <v>1</v>
      </c>
      <c r="CC562" s="41" t="e">
        <f>IF(#REF!=BD562,0,1)</f>
        <v>#REF!</v>
      </c>
      <c r="CD562" s="41" t="e">
        <f>IF(#REF!=BE562,0,1)</f>
        <v>#REF!</v>
      </c>
      <c r="CE562" s="41" t="e">
        <f>IF(#REF!=BF562,0,1)</f>
        <v>#REF!</v>
      </c>
      <c r="CF562" s="41">
        <f t="shared" ref="CF562:CF593" si="67">IF(X562=BG562,0,1)</f>
        <v>1</v>
      </c>
      <c r="CG562" s="41">
        <f t="shared" ref="CG562:CG593" si="68">IF(Z562=BH562,0,1)</f>
        <v>1</v>
      </c>
      <c r="CH562" s="41">
        <f t="shared" ref="CH562:CH593" si="69">IF(AA562=BI562,0,1)</f>
        <v>1</v>
      </c>
      <c r="CI562" s="41">
        <f t="shared" ref="CI562:CI593" si="70">IF(AB562=BJ562,0,1)</f>
        <v>0</v>
      </c>
      <c r="CJ562" s="41">
        <f t="shared" ref="CJ562:CJ593" si="71">IF(AC562=BK562,0,1)</f>
        <v>0</v>
      </c>
      <c r="CK562" s="41">
        <f t="shared" ref="CK562:CK593" si="72">IF(AD562=BL562,0,1)</f>
        <v>0</v>
      </c>
      <c r="CL562" s="41">
        <f t="shared" ref="CL562:CL593" si="73">IF(AE562=BM562,0,1)</f>
        <v>0</v>
      </c>
    </row>
    <row r="563" spans="1:90" x14ac:dyDescent="0.3">
      <c r="A563" s="41"/>
      <c r="B563" s="41"/>
      <c r="C563" s="41"/>
      <c r="D563" s="41"/>
      <c r="E563" s="41"/>
      <c r="F563" s="41"/>
      <c r="G563" s="64"/>
      <c r="H563" s="64"/>
      <c r="I563" s="64"/>
      <c r="J563" s="64"/>
      <c r="K563" s="64"/>
      <c r="L563" s="64"/>
      <c r="M563" s="65"/>
      <c r="N563" s="64"/>
      <c r="O563" s="56">
        <f>AGA_prem_2normoglycaemia_2</f>
        <v>0.85</v>
      </c>
      <c r="P563" s="64"/>
      <c r="Q563" s="56">
        <f>noHypo2CI_2-(RDS2CLD_2*noHypo2CI_2)</f>
        <v>2.1141683406990762E-2</v>
      </c>
      <c r="R563" s="56"/>
      <c r="S563" s="129"/>
      <c r="T563" s="105"/>
      <c r="U563" s="133"/>
      <c r="V563" s="133"/>
      <c r="W563" s="133"/>
      <c r="X563" s="133"/>
      <c r="Y563" s="133"/>
      <c r="Z563" s="134"/>
      <c r="AA563" s="6"/>
      <c r="AU563">
        <v>0.85</v>
      </c>
      <c r="AW563">
        <v>2.1141683406990762E-2</v>
      </c>
      <c r="BF563" s="41">
        <f t="shared" si="45"/>
        <v>0</v>
      </c>
      <c r="BG563" s="41">
        <f t="shared" si="46"/>
        <v>0</v>
      </c>
      <c r="BH563" s="41">
        <f t="shared" si="47"/>
        <v>0</v>
      </c>
      <c r="BI563" s="41">
        <f t="shared" si="48"/>
        <v>0</v>
      </c>
      <c r="BJ563" s="41">
        <f t="shared" si="49"/>
        <v>0</v>
      </c>
      <c r="BK563" s="41">
        <f t="shared" si="50"/>
        <v>0</v>
      </c>
      <c r="BL563" s="41">
        <f t="shared" si="51"/>
        <v>0</v>
      </c>
      <c r="BM563" s="41">
        <f t="shared" si="52"/>
        <v>0</v>
      </c>
      <c r="BN563" s="41">
        <f t="shared" si="53"/>
        <v>0</v>
      </c>
      <c r="BO563" s="41">
        <f t="shared" si="54"/>
        <v>0</v>
      </c>
      <c r="BP563" s="41">
        <f t="shared" si="55"/>
        <v>0</v>
      </c>
      <c r="BQ563" s="41">
        <f t="shared" si="56"/>
        <v>0</v>
      </c>
      <c r="BR563" s="41">
        <f t="shared" si="57"/>
        <v>0</v>
      </c>
      <c r="BS563" s="41">
        <f t="shared" si="58"/>
        <v>0</v>
      </c>
      <c r="BT563" s="41">
        <f t="shared" si="59"/>
        <v>0</v>
      </c>
      <c r="BU563" s="41">
        <f t="shared" si="60"/>
        <v>0</v>
      </c>
      <c r="BV563" s="41">
        <f t="shared" si="61"/>
        <v>0</v>
      </c>
      <c r="BW563" s="41">
        <f t="shared" si="62"/>
        <v>0</v>
      </c>
      <c r="BX563" s="41">
        <f t="shared" si="63"/>
        <v>0</v>
      </c>
      <c r="BY563" s="41">
        <f t="shared" si="64"/>
        <v>0</v>
      </c>
      <c r="BZ563" s="41">
        <f t="shared" si="65"/>
        <v>0</v>
      </c>
      <c r="CA563" s="41" t="e">
        <f>IF(#REF!=BB563,0,1)</f>
        <v>#REF!</v>
      </c>
      <c r="CB563" s="41">
        <f t="shared" si="66"/>
        <v>0</v>
      </c>
      <c r="CC563" s="41" t="e">
        <f>IF(#REF!=BD563,0,1)</f>
        <v>#REF!</v>
      </c>
      <c r="CD563" s="41" t="e">
        <f>IF(#REF!=BE563,0,1)</f>
        <v>#REF!</v>
      </c>
      <c r="CE563" s="41" t="e">
        <f>IF(#REF!=BF563,0,1)</f>
        <v>#REF!</v>
      </c>
      <c r="CF563" s="41">
        <f t="shared" si="67"/>
        <v>0</v>
      </c>
      <c r="CG563" s="41">
        <f t="shared" si="68"/>
        <v>0</v>
      </c>
      <c r="CH563" s="41">
        <f t="shared" si="69"/>
        <v>0</v>
      </c>
      <c r="CI563" s="41">
        <f t="shared" si="70"/>
        <v>0</v>
      </c>
      <c r="CJ563" s="41">
        <f t="shared" si="71"/>
        <v>0</v>
      </c>
      <c r="CK563" s="41">
        <f t="shared" si="72"/>
        <v>0</v>
      </c>
      <c r="CL563" s="41">
        <f t="shared" si="73"/>
        <v>0</v>
      </c>
    </row>
    <row r="564" spans="1:90" x14ac:dyDescent="0.3">
      <c r="A564" s="41"/>
      <c r="B564" s="41"/>
      <c r="C564" s="41"/>
      <c r="D564" s="41"/>
      <c r="E564" s="41"/>
      <c r="F564" s="41"/>
      <c r="G564" s="64"/>
      <c r="H564" s="64"/>
      <c r="I564" s="64"/>
      <c r="J564" s="64"/>
      <c r="K564" s="64"/>
      <c r="L564" s="64"/>
      <c r="M564" s="65"/>
      <c r="N564" s="64"/>
      <c r="O564" s="57"/>
      <c r="P564" s="64"/>
      <c r="Q564" s="57">
        <f>c_cog+c_hosp_fu+c_CSG</f>
        <v>15766</v>
      </c>
      <c r="R564" s="57"/>
      <c r="S564" s="129"/>
      <c r="T564" s="105"/>
      <c r="U564" s="133"/>
      <c r="V564" s="133"/>
      <c r="W564" s="133"/>
      <c r="X564" s="133"/>
      <c r="Y564" s="133"/>
      <c r="Z564" s="134"/>
      <c r="AA564" s="6"/>
      <c r="AW564">
        <v>4840</v>
      </c>
      <c r="BF564" s="41">
        <f t="shared" si="45"/>
        <v>0</v>
      </c>
      <c r="BG564" s="41">
        <f t="shared" si="46"/>
        <v>0</v>
      </c>
      <c r="BH564" s="41">
        <f t="shared" si="47"/>
        <v>0</v>
      </c>
      <c r="BI564" s="41">
        <f t="shared" si="48"/>
        <v>0</v>
      </c>
      <c r="BJ564" s="41">
        <f t="shared" si="49"/>
        <v>0</v>
      </c>
      <c r="BK564" s="41">
        <f t="shared" si="50"/>
        <v>0</v>
      </c>
      <c r="BL564" s="41">
        <f t="shared" si="51"/>
        <v>0</v>
      </c>
      <c r="BM564" s="41">
        <f t="shared" si="52"/>
        <v>0</v>
      </c>
      <c r="BN564" s="41">
        <f t="shared" si="53"/>
        <v>0</v>
      </c>
      <c r="BO564" s="41">
        <f t="shared" si="54"/>
        <v>0</v>
      </c>
      <c r="BP564" s="41">
        <f t="shared" si="55"/>
        <v>0</v>
      </c>
      <c r="BQ564" s="41">
        <f t="shared" si="56"/>
        <v>0</v>
      </c>
      <c r="BR564" s="41">
        <f t="shared" si="57"/>
        <v>0</v>
      </c>
      <c r="BS564" s="41">
        <f t="shared" si="58"/>
        <v>0</v>
      </c>
      <c r="BT564" s="41">
        <f t="shared" si="59"/>
        <v>0</v>
      </c>
      <c r="BU564" s="41">
        <f t="shared" si="60"/>
        <v>0</v>
      </c>
      <c r="BV564" s="41">
        <f t="shared" si="61"/>
        <v>1</v>
      </c>
      <c r="BW564" s="41">
        <f t="shared" si="62"/>
        <v>0</v>
      </c>
      <c r="BX564" s="41">
        <f t="shared" si="63"/>
        <v>0</v>
      </c>
      <c r="BY564" s="41">
        <f t="shared" si="64"/>
        <v>0</v>
      </c>
      <c r="BZ564" s="41">
        <f t="shared" si="65"/>
        <v>1</v>
      </c>
      <c r="CA564" s="41" t="e">
        <f>IF(#REF!=BB564,0,1)</f>
        <v>#REF!</v>
      </c>
      <c r="CB564" s="41">
        <f t="shared" si="66"/>
        <v>0</v>
      </c>
      <c r="CC564" s="41" t="e">
        <f>IF(#REF!=BD564,0,1)</f>
        <v>#REF!</v>
      </c>
      <c r="CD564" s="41" t="e">
        <f>IF(#REF!=BE564,0,1)</f>
        <v>#REF!</v>
      </c>
      <c r="CE564" s="41" t="e">
        <f>IF(#REF!=BF564,0,1)</f>
        <v>#REF!</v>
      </c>
      <c r="CF564" s="41">
        <f t="shared" si="67"/>
        <v>0</v>
      </c>
      <c r="CG564" s="41">
        <f t="shared" si="68"/>
        <v>0</v>
      </c>
      <c r="CH564" s="41">
        <f t="shared" si="69"/>
        <v>0</v>
      </c>
      <c r="CI564" s="41">
        <f t="shared" si="70"/>
        <v>0</v>
      </c>
      <c r="CJ564" s="41">
        <f t="shared" si="71"/>
        <v>0</v>
      </c>
      <c r="CK564" s="41">
        <f t="shared" si="72"/>
        <v>0</v>
      </c>
      <c r="CL564" s="41">
        <f t="shared" si="73"/>
        <v>0</v>
      </c>
    </row>
    <row r="565" spans="1:90" x14ac:dyDescent="0.3">
      <c r="A565" s="41"/>
      <c r="B565" s="41"/>
      <c r="C565" s="41"/>
      <c r="D565" s="41"/>
      <c r="E565" s="41"/>
      <c r="F565" s="41"/>
      <c r="G565" s="64"/>
      <c r="H565" s="64"/>
      <c r="I565" s="64"/>
      <c r="J565" s="64"/>
      <c r="K565" s="64"/>
      <c r="L565" s="64"/>
      <c r="M565" s="65"/>
      <c r="N565" s="64"/>
      <c r="O565" s="64"/>
      <c r="P565" s="64"/>
      <c r="Q565" s="54" t="s">
        <v>369</v>
      </c>
      <c r="R565" s="54"/>
      <c r="S565" s="129"/>
      <c r="T565" s="105"/>
      <c r="U565" s="133">
        <f>$G$493*$E$531*$C$600*$A$555*$I$525*$K$536*$M$551*$O$563*Q566</f>
        <v>1.7052205200349177E-5</v>
      </c>
      <c r="V565" s="133">
        <v>5.7903857518206092E-5</v>
      </c>
      <c r="W565" s="134">
        <f>$K$537+$I$526+$G$494+$E$532+$C$601+$A$556+$M$552+$O$564+Q567</f>
        <v>259878.17821050808</v>
      </c>
      <c r="X565" s="133">
        <f>u_ChronicResp+u_CongnitiveImpairement</f>
        <v>17.805052694763283</v>
      </c>
      <c r="Y565" s="133"/>
      <c r="Z565" s="134">
        <f>U565*W565</f>
        <v>4.4314960219384956</v>
      </c>
      <c r="AA565" s="6">
        <f>U565*X565</f>
        <v>3.036154121541336E-4</v>
      </c>
      <c r="AW565" t="s">
        <v>369</v>
      </c>
      <c r="AZ565">
        <v>5.7903857518206079E-5</v>
      </c>
      <c r="BF565" s="41">
        <f t="shared" si="45"/>
        <v>0</v>
      </c>
      <c r="BG565" s="41">
        <f t="shared" si="46"/>
        <v>0</v>
      </c>
      <c r="BH565" s="41">
        <f t="shared" si="47"/>
        <v>0</v>
      </c>
      <c r="BI565" s="41">
        <f t="shared" si="48"/>
        <v>0</v>
      </c>
      <c r="BJ565" s="41">
        <f t="shared" si="49"/>
        <v>0</v>
      </c>
      <c r="BK565" s="41">
        <f t="shared" si="50"/>
        <v>0</v>
      </c>
      <c r="BL565" s="41">
        <f t="shared" si="51"/>
        <v>0</v>
      </c>
      <c r="BM565" s="41">
        <f t="shared" si="52"/>
        <v>0</v>
      </c>
      <c r="BN565" s="41">
        <f t="shared" si="53"/>
        <v>0</v>
      </c>
      <c r="BO565" s="41">
        <f t="shared" si="54"/>
        <v>0</v>
      </c>
      <c r="BP565" s="41">
        <f t="shared" si="55"/>
        <v>0</v>
      </c>
      <c r="BQ565" s="41">
        <f t="shared" si="56"/>
        <v>0</v>
      </c>
      <c r="BR565" s="41">
        <f t="shared" si="57"/>
        <v>0</v>
      </c>
      <c r="BS565" s="41">
        <f t="shared" si="58"/>
        <v>0</v>
      </c>
      <c r="BT565" s="41">
        <f t="shared" si="59"/>
        <v>0</v>
      </c>
      <c r="BU565" s="41">
        <f t="shared" si="60"/>
        <v>0</v>
      </c>
      <c r="BV565" s="41">
        <f t="shared" si="61"/>
        <v>0</v>
      </c>
      <c r="BW565" s="41">
        <f t="shared" si="62"/>
        <v>0</v>
      </c>
      <c r="BX565" s="41">
        <f t="shared" si="63"/>
        <v>0</v>
      </c>
      <c r="BY565" s="41">
        <f t="shared" si="64"/>
        <v>1</v>
      </c>
      <c r="BZ565" s="41">
        <f t="shared" si="65"/>
        <v>0</v>
      </c>
      <c r="CA565" s="41" t="e">
        <f>IF(#REF!=BB565,0,1)</f>
        <v>#REF!</v>
      </c>
      <c r="CB565" s="41">
        <f t="shared" si="66"/>
        <v>1</v>
      </c>
      <c r="CC565" s="41" t="e">
        <f>IF(#REF!=BD565,0,1)</f>
        <v>#REF!</v>
      </c>
      <c r="CD565" s="41" t="e">
        <f>IF(#REF!=BE565,0,1)</f>
        <v>#REF!</v>
      </c>
      <c r="CE565" s="41" t="e">
        <f>IF(#REF!=BF565,0,1)</f>
        <v>#REF!</v>
      </c>
      <c r="CF565" s="41">
        <f t="shared" si="67"/>
        <v>1</v>
      </c>
      <c r="CG565" s="41">
        <f t="shared" si="68"/>
        <v>1</v>
      </c>
      <c r="CH565" s="41">
        <f t="shared" si="69"/>
        <v>1</v>
      </c>
      <c r="CI565" s="41">
        <f t="shared" si="70"/>
        <v>0</v>
      </c>
      <c r="CJ565" s="41">
        <f t="shared" si="71"/>
        <v>0</v>
      </c>
      <c r="CK565" s="41">
        <f t="shared" si="72"/>
        <v>0</v>
      </c>
      <c r="CL565" s="41">
        <f t="shared" si="73"/>
        <v>0</v>
      </c>
    </row>
    <row r="566" spans="1:90" x14ac:dyDescent="0.3">
      <c r="A566" s="41"/>
      <c r="B566" s="41"/>
      <c r="C566" s="41"/>
      <c r="D566" s="41"/>
      <c r="E566" s="41"/>
      <c r="F566" s="41"/>
      <c r="G566" s="64"/>
      <c r="H566" s="64"/>
      <c r="I566" s="64"/>
      <c r="J566" s="64"/>
      <c r="K566" s="64"/>
      <c r="L566" s="64"/>
      <c r="M566" s="53"/>
      <c r="N566" s="64"/>
      <c r="O566" s="64"/>
      <c r="P566" s="64"/>
      <c r="Q566" s="56">
        <f>RDS2CLD_2*noHypo2CI_2</f>
        <v>1.1943893129770991E-2</v>
      </c>
      <c r="R566" s="56"/>
      <c r="S566" s="129"/>
      <c r="T566" s="105"/>
      <c r="U566" s="133"/>
      <c r="V566" s="133"/>
      <c r="W566" s="133"/>
      <c r="X566" s="133"/>
      <c r="Y566" s="133"/>
      <c r="Z566" s="134"/>
      <c r="AA566" s="6"/>
      <c r="AW566">
        <v>1.1943893129770991E-2</v>
      </c>
      <c r="BF566" s="41">
        <f t="shared" si="45"/>
        <v>0</v>
      </c>
      <c r="BG566" s="41">
        <f t="shared" si="46"/>
        <v>0</v>
      </c>
      <c r="BH566" s="41">
        <f t="shared" si="47"/>
        <v>0</v>
      </c>
      <c r="BI566" s="41">
        <f t="shared" si="48"/>
        <v>0</v>
      </c>
      <c r="BJ566" s="41">
        <f t="shared" si="49"/>
        <v>0</v>
      </c>
      <c r="BK566" s="41">
        <f t="shared" si="50"/>
        <v>0</v>
      </c>
      <c r="BL566" s="41">
        <f t="shared" si="51"/>
        <v>0</v>
      </c>
      <c r="BM566" s="41">
        <f t="shared" si="52"/>
        <v>0</v>
      </c>
      <c r="BN566" s="41">
        <f t="shared" si="53"/>
        <v>0</v>
      </c>
      <c r="BO566" s="41">
        <f t="shared" si="54"/>
        <v>0</v>
      </c>
      <c r="BP566" s="41">
        <f t="shared" si="55"/>
        <v>0</v>
      </c>
      <c r="BQ566" s="41">
        <f t="shared" si="56"/>
        <v>0</v>
      </c>
      <c r="BR566" s="41">
        <f t="shared" si="57"/>
        <v>0</v>
      </c>
      <c r="BS566" s="41">
        <f t="shared" si="58"/>
        <v>0</v>
      </c>
      <c r="BT566" s="41">
        <f t="shared" si="59"/>
        <v>0</v>
      </c>
      <c r="BU566" s="41">
        <f t="shared" si="60"/>
        <v>0</v>
      </c>
      <c r="BV566" s="41">
        <f t="shared" si="61"/>
        <v>0</v>
      </c>
      <c r="BW566" s="41">
        <f t="shared" si="62"/>
        <v>0</v>
      </c>
      <c r="BX566" s="41">
        <f t="shared" si="63"/>
        <v>0</v>
      </c>
      <c r="BY566" s="41">
        <f t="shared" si="64"/>
        <v>0</v>
      </c>
      <c r="BZ566" s="41">
        <f t="shared" si="65"/>
        <v>0</v>
      </c>
      <c r="CA566" s="41" t="e">
        <f>IF(#REF!=BB566,0,1)</f>
        <v>#REF!</v>
      </c>
      <c r="CB566" s="41">
        <f t="shared" si="66"/>
        <v>0</v>
      </c>
      <c r="CC566" s="41" t="e">
        <f>IF(#REF!=BD566,0,1)</f>
        <v>#REF!</v>
      </c>
      <c r="CD566" s="41" t="e">
        <f>IF(#REF!=BE566,0,1)</f>
        <v>#REF!</v>
      </c>
      <c r="CE566" s="41" t="e">
        <f>IF(#REF!=BF566,0,1)</f>
        <v>#REF!</v>
      </c>
      <c r="CF566" s="41">
        <f t="shared" si="67"/>
        <v>0</v>
      </c>
      <c r="CG566" s="41">
        <f t="shared" si="68"/>
        <v>0</v>
      </c>
      <c r="CH566" s="41">
        <f t="shared" si="69"/>
        <v>0</v>
      </c>
      <c r="CI566" s="41">
        <f t="shared" si="70"/>
        <v>0</v>
      </c>
      <c r="CJ566" s="41">
        <f t="shared" si="71"/>
        <v>0</v>
      </c>
      <c r="CK566" s="41">
        <f t="shared" si="72"/>
        <v>0</v>
      </c>
      <c r="CL566" s="41">
        <f t="shared" si="73"/>
        <v>0</v>
      </c>
    </row>
    <row r="567" spans="1:90" x14ac:dyDescent="0.3">
      <c r="A567" s="41"/>
      <c r="B567" s="41"/>
      <c r="C567" s="41"/>
      <c r="D567" s="41"/>
      <c r="E567" s="41"/>
      <c r="F567" s="41"/>
      <c r="G567" s="64"/>
      <c r="H567" s="64"/>
      <c r="I567" s="64"/>
      <c r="J567" s="64"/>
      <c r="K567" s="64"/>
      <c r="L567" s="64"/>
      <c r="M567" s="44"/>
      <c r="N567" s="64"/>
      <c r="O567" s="64"/>
      <c r="P567" s="64"/>
      <c r="Q567" s="57">
        <f>c_cog+c_lung+c_hosp_fu+c_CSG</f>
        <v>58348.510902399998</v>
      </c>
      <c r="R567" s="57"/>
      <c r="S567" s="129"/>
      <c r="T567" s="105"/>
      <c r="U567" s="133"/>
      <c r="V567" s="133"/>
      <c r="W567" s="133"/>
      <c r="X567" s="133"/>
      <c r="Y567" s="133"/>
      <c r="Z567" s="134"/>
      <c r="AA567" s="6"/>
      <c r="AW567">
        <v>45990.200000000004</v>
      </c>
      <c r="BF567" s="41">
        <f t="shared" si="45"/>
        <v>0</v>
      </c>
      <c r="BG567" s="41">
        <f t="shared" si="46"/>
        <v>0</v>
      </c>
      <c r="BH567" s="41">
        <f t="shared" si="47"/>
        <v>0</v>
      </c>
      <c r="BI567" s="41">
        <f t="shared" si="48"/>
        <v>0</v>
      </c>
      <c r="BJ567" s="41">
        <f t="shared" si="49"/>
        <v>0</v>
      </c>
      <c r="BK567" s="41">
        <f t="shared" si="50"/>
        <v>0</v>
      </c>
      <c r="BL567" s="41">
        <f t="shared" si="51"/>
        <v>0</v>
      </c>
      <c r="BM567" s="41">
        <f t="shared" si="52"/>
        <v>0</v>
      </c>
      <c r="BN567" s="41">
        <f t="shared" si="53"/>
        <v>0</v>
      </c>
      <c r="BO567" s="41">
        <f t="shared" si="54"/>
        <v>0</v>
      </c>
      <c r="BP567" s="41">
        <f t="shared" si="55"/>
        <v>0</v>
      </c>
      <c r="BQ567" s="41">
        <f t="shared" si="56"/>
        <v>0</v>
      </c>
      <c r="BR567" s="41">
        <f t="shared" si="57"/>
        <v>0</v>
      </c>
      <c r="BS567" s="41">
        <f t="shared" si="58"/>
        <v>0</v>
      </c>
      <c r="BT567" s="41">
        <f t="shared" si="59"/>
        <v>0</v>
      </c>
      <c r="BU567" s="41">
        <f t="shared" si="60"/>
        <v>0</v>
      </c>
      <c r="BV567" s="41">
        <f t="shared" si="61"/>
        <v>1</v>
      </c>
      <c r="BW567" s="41">
        <f t="shared" si="62"/>
        <v>0</v>
      </c>
      <c r="BX567" s="41">
        <f t="shared" si="63"/>
        <v>0</v>
      </c>
      <c r="BY567" s="41">
        <f t="shared" si="64"/>
        <v>0</v>
      </c>
      <c r="BZ567" s="41">
        <f t="shared" si="65"/>
        <v>1</v>
      </c>
      <c r="CA567" s="41" t="e">
        <f>IF(#REF!=BB567,0,1)</f>
        <v>#REF!</v>
      </c>
      <c r="CB567" s="41">
        <f t="shared" si="66"/>
        <v>0</v>
      </c>
      <c r="CC567" s="41" t="e">
        <f>IF(#REF!=BD567,0,1)</f>
        <v>#REF!</v>
      </c>
      <c r="CD567" s="41" t="e">
        <f>IF(#REF!=BE567,0,1)</f>
        <v>#REF!</v>
      </c>
      <c r="CE567" s="41" t="e">
        <f>IF(#REF!=BF567,0,1)</f>
        <v>#REF!</v>
      </c>
      <c r="CF567" s="41">
        <f t="shared" si="67"/>
        <v>0</v>
      </c>
      <c r="CG567" s="41">
        <f t="shared" si="68"/>
        <v>0</v>
      </c>
      <c r="CH567" s="41">
        <f t="shared" si="69"/>
        <v>0</v>
      </c>
      <c r="CI567" s="41">
        <f t="shared" si="70"/>
        <v>0</v>
      </c>
      <c r="CJ567" s="41">
        <f t="shared" si="71"/>
        <v>0</v>
      </c>
      <c r="CK567" s="41">
        <f t="shared" si="72"/>
        <v>0</v>
      </c>
      <c r="CL567" s="41">
        <f t="shared" si="73"/>
        <v>0</v>
      </c>
    </row>
    <row r="568" spans="1:90" x14ac:dyDescent="0.3">
      <c r="A568" s="41"/>
      <c r="B568" s="41"/>
      <c r="C568" s="41"/>
      <c r="D568" s="41"/>
      <c r="E568" s="41"/>
      <c r="F568" s="41"/>
      <c r="G568" s="64"/>
      <c r="H568" s="64"/>
      <c r="I568" s="64"/>
      <c r="J568" s="64"/>
      <c r="K568" s="64"/>
      <c r="L568" s="64"/>
      <c r="M568" s="65"/>
      <c r="N568" s="64"/>
      <c r="O568" s="64"/>
      <c r="P568" s="64"/>
      <c r="Q568" s="54" t="s">
        <v>370</v>
      </c>
      <c r="R568" s="54"/>
      <c r="S568" s="129"/>
      <c r="T568" s="105"/>
      <c r="U568" s="133">
        <f>$G$493*$E$531*$C$600*$A$555*$I$525*$K$536*$M$551*$O$563*Q569</f>
        <v>8.8211161007669813E-4</v>
      </c>
      <c r="V568" s="133">
        <v>2.99537006415983E-3</v>
      </c>
      <c r="W568" s="134">
        <f>$K$537+$I$526+$G$494+$E$532+$C$601+$A$556+$M$552+$O$564+Q570</f>
        <v>215932.6673081081</v>
      </c>
      <c r="X568" s="133">
        <f>u_Healthy</f>
        <v>0</v>
      </c>
      <c r="Y568" s="133"/>
      <c r="Z568" s="134">
        <f>U568*W568</f>
        <v>190.47671282731122</v>
      </c>
      <c r="AA568" s="6">
        <f>U568*X568</f>
        <v>0</v>
      </c>
      <c r="AW568" t="s">
        <v>370</v>
      </c>
      <c r="AZ568">
        <v>2.9953700641598292E-3</v>
      </c>
      <c r="BF568" s="41">
        <f t="shared" si="45"/>
        <v>0</v>
      </c>
      <c r="BG568" s="41">
        <f t="shared" si="46"/>
        <v>0</v>
      </c>
      <c r="BH568" s="41">
        <f t="shared" si="47"/>
        <v>0</v>
      </c>
      <c r="BI568" s="41">
        <f t="shared" si="48"/>
        <v>0</v>
      </c>
      <c r="BJ568" s="41">
        <f t="shared" si="49"/>
        <v>0</v>
      </c>
      <c r="BK568" s="41">
        <f t="shared" si="50"/>
        <v>0</v>
      </c>
      <c r="BL568" s="41">
        <f t="shared" si="51"/>
        <v>0</v>
      </c>
      <c r="BM568" s="41">
        <f t="shared" si="52"/>
        <v>0</v>
      </c>
      <c r="BN568" s="41">
        <f t="shared" si="53"/>
        <v>0</v>
      </c>
      <c r="BO568" s="41">
        <f t="shared" si="54"/>
        <v>0</v>
      </c>
      <c r="BP568" s="41">
        <f t="shared" si="55"/>
        <v>0</v>
      </c>
      <c r="BQ568" s="41">
        <f t="shared" si="56"/>
        <v>0</v>
      </c>
      <c r="BR568" s="41">
        <f t="shared" si="57"/>
        <v>0</v>
      </c>
      <c r="BS568" s="41">
        <f t="shared" si="58"/>
        <v>0</v>
      </c>
      <c r="BT568" s="41">
        <f t="shared" si="59"/>
        <v>0</v>
      </c>
      <c r="BU568" s="41">
        <f t="shared" si="60"/>
        <v>0</v>
      </c>
      <c r="BV568" s="41">
        <f t="shared" si="61"/>
        <v>0</v>
      </c>
      <c r="BW568" s="41">
        <f t="shared" si="62"/>
        <v>0</v>
      </c>
      <c r="BX568" s="41">
        <f t="shared" si="63"/>
        <v>0</v>
      </c>
      <c r="BY568" s="41">
        <f t="shared" si="64"/>
        <v>1</v>
      </c>
      <c r="BZ568" s="41">
        <f t="shared" si="65"/>
        <v>0</v>
      </c>
      <c r="CA568" s="41" t="e">
        <f>IF(#REF!=BB568,0,1)</f>
        <v>#REF!</v>
      </c>
      <c r="CB568" s="41">
        <f t="shared" si="66"/>
        <v>1</v>
      </c>
      <c r="CC568" s="41" t="e">
        <f>IF(#REF!=BD568,0,1)</f>
        <v>#REF!</v>
      </c>
      <c r="CD568" s="41" t="e">
        <f>IF(#REF!=BE568,0,1)</f>
        <v>#REF!</v>
      </c>
      <c r="CE568" s="41" t="e">
        <f>IF(#REF!=BF568,0,1)</f>
        <v>#REF!</v>
      </c>
      <c r="CF568" s="41">
        <f t="shared" si="67"/>
        <v>0</v>
      </c>
      <c r="CG568" s="41">
        <f t="shared" si="68"/>
        <v>1</v>
      </c>
      <c r="CH568" s="41">
        <f t="shared" si="69"/>
        <v>0</v>
      </c>
      <c r="CI568" s="41">
        <f t="shared" si="70"/>
        <v>0</v>
      </c>
      <c r="CJ568" s="41">
        <f t="shared" si="71"/>
        <v>0</v>
      </c>
      <c r="CK568" s="41">
        <f t="shared" si="72"/>
        <v>0</v>
      </c>
      <c r="CL568" s="41">
        <f t="shared" si="73"/>
        <v>0</v>
      </c>
    </row>
    <row r="569" spans="1:90" x14ac:dyDescent="0.3">
      <c r="A569" s="41"/>
      <c r="B569" s="41"/>
      <c r="C569" s="41"/>
      <c r="D569" s="41"/>
      <c r="E569" s="41"/>
      <c r="F569" s="41"/>
      <c r="G569" s="64"/>
      <c r="H569" s="64"/>
      <c r="I569" s="64"/>
      <c r="J569" s="64"/>
      <c r="K569" s="64"/>
      <c r="L569" s="64"/>
      <c r="M569" s="65"/>
      <c r="N569" s="44"/>
      <c r="O569" s="64"/>
      <c r="P569" s="64"/>
      <c r="Q569" s="56">
        <f>1-Q566-Q563-Q560</f>
        <v>0.61785831659300938</v>
      </c>
      <c r="R569" s="56"/>
      <c r="T569" s="105"/>
      <c r="U569" s="133"/>
      <c r="V569" s="133"/>
      <c r="W569" s="133"/>
      <c r="X569" s="133"/>
      <c r="Y569" s="133"/>
      <c r="Z569" s="134"/>
      <c r="AA569" s="6"/>
      <c r="AW569">
        <v>0.61785831659300938</v>
      </c>
      <c r="BF569" s="41">
        <f t="shared" si="45"/>
        <v>0</v>
      </c>
      <c r="BG569" s="41">
        <f t="shared" si="46"/>
        <v>0</v>
      </c>
      <c r="BH569" s="41">
        <f t="shared" si="47"/>
        <v>0</v>
      </c>
      <c r="BI569" s="41">
        <f t="shared" si="48"/>
        <v>0</v>
      </c>
      <c r="BJ569" s="41">
        <f t="shared" si="49"/>
        <v>0</v>
      </c>
      <c r="BK569" s="41">
        <f t="shared" si="50"/>
        <v>0</v>
      </c>
      <c r="BL569" s="41">
        <f t="shared" si="51"/>
        <v>0</v>
      </c>
      <c r="BM569" s="41">
        <f t="shared" si="52"/>
        <v>0</v>
      </c>
      <c r="BN569" s="41">
        <f t="shared" si="53"/>
        <v>0</v>
      </c>
      <c r="BO569" s="41">
        <f t="shared" si="54"/>
        <v>0</v>
      </c>
      <c r="BP569" s="41">
        <f t="shared" si="55"/>
        <v>0</v>
      </c>
      <c r="BQ569" s="41">
        <f t="shared" si="56"/>
        <v>0</v>
      </c>
      <c r="BR569" s="41">
        <f t="shared" si="57"/>
        <v>0</v>
      </c>
      <c r="BS569" s="41">
        <f t="shared" si="58"/>
        <v>0</v>
      </c>
      <c r="BT569" s="41">
        <f t="shared" si="59"/>
        <v>0</v>
      </c>
      <c r="BU569" s="41">
        <f t="shared" si="60"/>
        <v>0</v>
      </c>
      <c r="BV569" s="41">
        <f t="shared" si="61"/>
        <v>0</v>
      </c>
      <c r="BW569" s="41">
        <f t="shared" si="62"/>
        <v>0</v>
      </c>
      <c r="BX569" s="41">
        <f t="shared" si="63"/>
        <v>0</v>
      </c>
      <c r="BY569" s="41">
        <f t="shared" si="64"/>
        <v>0</v>
      </c>
      <c r="BZ569" s="41">
        <f t="shared" si="65"/>
        <v>0</v>
      </c>
      <c r="CA569" s="41" t="e">
        <f>IF(#REF!=BB569,0,1)</f>
        <v>#REF!</v>
      </c>
      <c r="CB569" s="41">
        <f t="shared" si="66"/>
        <v>0</v>
      </c>
      <c r="CC569" s="41" t="e">
        <f>IF(#REF!=BD569,0,1)</f>
        <v>#REF!</v>
      </c>
      <c r="CD569" s="41" t="e">
        <f>IF(#REF!=BE569,0,1)</f>
        <v>#REF!</v>
      </c>
      <c r="CE569" s="41" t="e">
        <f>IF(#REF!=BF569,0,1)</f>
        <v>#REF!</v>
      </c>
      <c r="CF569" s="41">
        <f t="shared" si="67"/>
        <v>0</v>
      </c>
      <c r="CG569" s="41">
        <f t="shared" si="68"/>
        <v>0</v>
      </c>
      <c r="CH569" s="41">
        <f t="shared" si="69"/>
        <v>0</v>
      </c>
      <c r="CI569" s="41">
        <f t="shared" si="70"/>
        <v>0</v>
      </c>
      <c r="CJ569" s="41">
        <f t="shared" si="71"/>
        <v>0</v>
      </c>
      <c r="CK569" s="41">
        <f t="shared" si="72"/>
        <v>0</v>
      </c>
      <c r="CL569" s="41">
        <f t="shared" si="73"/>
        <v>0</v>
      </c>
    </row>
    <row r="570" spans="1:90" x14ac:dyDescent="0.3">
      <c r="A570" s="41"/>
      <c r="B570" s="41"/>
      <c r="C570" s="41"/>
      <c r="D570" s="41"/>
      <c r="E570" s="41"/>
      <c r="F570" s="41"/>
      <c r="G570" s="64"/>
      <c r="H570" s="64"/>
      <c r="I570" s="64"/>
      <c r="J570" s="64"/>
      <c r="K570" s="64"/>
      <c r="L570" s="64"/>
      <c r="M570" s="65"/>
      <c r="N570" s="64"/>
      <c r="O570" s="64"/>
      <c r="P570" s="64"/>
      <c r="Q570" s="57">
        <f>c_clinic_fu+c_CSG</f>
        <v>14403</v>
      </c>
      <c r="R570" s="57"/>
      <c r="S570" s="129"/>
      <c r="T570" s="105"/>
      <c r="U570" s="133"/>
      <c r="V570" s="133"/>
      <c r="W570" s="133"/>
      <c r="X570" s="133"/>
      <c r="Y570" s="133"/>
      <c r="Z570" s="134"/>
      <c r="AA570" s="6"/>
      <c r="AW570">
        <v>3230</v>
      </c>
      <c r="BF570" s="41">
        <f t="shared" si="45"/>
        <v>0</v>
      </c>
      <c r="BG570" s="41">
        <f t="shared" si="46"/>
        <v>0</v>
      </c>
      <c r="BH570" s="41">
        <f t="shared" si="47"/>
        <v>0</v>
      </c>
      <c r="BI570" s="41">
        <f t="shared" si="48"/>
        <v>0</v>
      </c>
      <c r="BJ570" s="41">
        <f t="shared" si="49"/>
        <v>0</v>
      </c>
      <c r="BK570" s="41">
        <f t="shared" si="50"/>
        <v>0</v>
      </c>
      <c r="BL570" s="41">
        <f t="shared" si="51"/>
        <v>0</v>
      </c>
      <c r="BM570" s="41">
        <f t="shared" si="52"/>
        <v>0</v>
      </c>
      <c r="BN570" s="41">
        <f t="shared" si="53"/>
        <v>0</v>
      </c>
      <c r="BO570" s="41">
        <f t="shared" si="54"/>
        <v>0</v>
      </c>
      <c r="BP570" s="41">
        <f t="shared" si="55"/>
        <v>0</v>
      </c>
      <c r="BQ570" s="41">
        <f t="shared" si="56"/>
        <v>0</v>
      </c>
      <c r="BR570" s="41">
        <f t="shared" si="57"/>
        <v>0</v>
      </c>
      <c r="BS570" s="41">
        <f t="shared" si="58"/>
        <v>0</v>
      </c>
      <c r="BT570" s="41">
        <f t="shared" si="59"/>
        <v>0</v>
      </c>
      <c r="BU570" s="41">
        <f t="shared" si="60"/>
        <v>0</v>
      </c>
      <c r="BV570" s="41">
        <f t="shared" si="61"/>
        <v>1</v>
      </c>
      <c r="BW570" s="41">
        <f t="shared" si="62"/>
        <v>0</v>
      </c>
      <c r="BX570" s="41">
        <f t="shared" si="63"/>
        <v>0</v>
      </c>
      <c r="BY570" s="41">
        <f t="shared" si="64"/>
        <v>0</v>
      </c>
      <c r="BZ570" s="41">
        <f t="shared" si="65"/>
        <v>0</v>
      </c>
      <c r="CA570" s="41" t="e">
        <f>IF(#REF!=BB570,0,1)</f>
        <v>#REF!</v>
      </c>
      <c r="CB570" s="41">
        <f t="shared" si="66"/>
        <v>0</v>
      </c>
      <c r="CC570" s="41" t="e">
        <f>IF(#REF!=BD570,0,1)</f>
        <v>#REF!</v>
      </c>
      <c r="CD570" s="41" t="e">
        <f>IF(#REF!=BE570,0,1)</f>
        <v>#REF!</v>
      </c>
      <c r="CE570" s="41" t="e">
        <f>IF(#REF!=BF570,0,1)</f>
        <v>#REF!</v>
      </c>
      <c r="CF570" s="41">
        <f t="shared" si="67"/>
        <v>0</v>
      </c>
      <c r="CG570" s="41">
        <f t="shared" si="68"/>
        <v>0</v>
      </c>
      <c r="CH570" s="41">
        <f t="shared" si="69"/>
        <v>0</v>
      </c>
      <c r="CI570" s="41">
        <f t="shared" si="70"/>
        <v>0</v>
      </c>
      <c r="CJ570" s="41">
        <f t="shared" si="71"/>
        <v>0</v>
      </c>
      <c r="CK570" s="41">
        <f t="shared" si="72"/>
        <v>0</v>
      </c>
      <c r="CL570" s="41">
        <f t="shared" si="73"/>
        <v>0</v>
      </c>
    </row>
    <row r="571" spans="1:90" x14ac:dyDescent="0.3">
      <c r="A571" s="41"/>
      <c r="B571" s="41"/>
      <c r="C571" s="41"/>
      <c r="D571" s="41"/>
      <c r="E571" s="41"/>
      <c r="F571" s="41"/>
      <c r="G571" s="64"/>
      <c r="H571" s="64"/>
      <c r="I571" s="64"/>
      <c r="J571" s="64"/>
      <c r="K571" s="64"/>
      <c r="L571" s="64"/>
      <c r="M571" s="65"/>
      <c r="N571" s="64"/>
      <c r="O571" s="64"/>
      <c r="P571" s="64"/>
      <c r="Q571" s="65"/>
      <c r="R571" s="65"/>
      <c r="T571" s="105"/>
      <c r="U571" s="133"/>
      <c r="V571" s="133"/>
      <c r="W571" s="133"/>
      <c r="X571" s="133"/>
      <c r="Y571" s="133"/>
      <c r="Z571" s="134"/>
      <c r="AA571" s="6"/>
      <c r="BF571" s="41">
        <f t="shared" si="45"/>
        <v>0</v>
      </c>
      <c r="BG571" s="41">
        <f t="shared" si="46"/>
        <v>0</v>
      </c>
      <c r="BH571" s="41">
        <f t="shared" si="47"/>
        <v>0</v>
      </c>
      <c r="BI571" s="41">
        <f t="shared" si="48"/>
        <v>0</v>
      </c>
      <c r="BJ571" s="41">
        <f t="shared" si="49"/>
        <v>0</v>
      </c>
      <c r="BK571" s="41">
        <f t="shared" si="50"/>
        <v>0</v>
      </c>
      <c r="BL571" s="41">
        <f t="shared" si="51"/>
        <v>0</v>
      </c>
      <c r="BM571" s="41">
        <f t="shared" si="52"/>
        <v>0</v>
      </c>
      <c r="BN571" s="41">
        <f t="shared" si="53"/>
        <v>0</v>
      </c>
      <c r="BO571" s="41">
        <f t="shared" si="54"/>
        <v>0</v>
      </c>
      <c r="BP571" s="41">
        <f t="shared" si="55"/>
        <v>0</v>
      </c>
      <c r="BQ571" s="41">
        <f t="shared" si="56"/>
        <v>0</v>
      </c>
      <c r="BR571" s="41">
        <f t="shared" si="57"/>
        <v>0</v>
      </c>
      <c r="BS571" s="41">
        <f t="shared" si="58"/>
        <v>0</v>
      </c>
      <c r="BT571" s="41">
        <f t="shared" si="59"/>
        <v>0</v>
      </c>
      <c r="BU571" s="41">
        <f t="shared" si="60"/>
        <v>0</v>
      </c>
      <c r="BV571" s="41">
        <f t="shared" si="61"/>
        <v>0</v>
      </c>
      <c r="BW571" s="41">
        <f t="shared" si="62"/>
        <v>0</v>
      </c>
      <c r="BX571" s="41">
        <f t="shared" si="63"/>
        <v>0</v>
      </c>
      <c r="BY571" s="41">
        <f t="shared" si="64"/>
        <v>0</v>
      </c>
      <c r="BZ571" s="41">
        <f t="shared" si="65"/>
        <v>0</v>
      </c>
      <c r="CA571" s="41" t="e">
        <f>IF(#REF!=BB571,0,1)</f>
        <v>#REF!</v>
      </c>
      <c r="CB571" s="41">
        <f t="shared" si="66"/>
        <v>0</v>
      </c>
      <c r="CC571" s="41" t="e">
        <f>IF(#REF!=BD571,0,1)</f>
        <v>#REF!</v>
      </c>
      <c r="CD571" s="41" t="e">
        <f>IF(#REF!=BE571,0,1)</f>
        <v>#REF!</v>
      </c>
      <c r="CE571" s="41" t="e">
        <f>IF(#REF!=BF571,0,1)</f>
        <v>#REF!</v>
      </c>
      <c r="CF571" s="41">
        <f t="shared" si="67"/>
        <v>0</v>
      </c>
      <c r="CG571" s="41">
        <f t="shared" si="68"/>
        <v>0</v>
      </c>
      <c r="CH571" s="41">
        <f t="shared" si="69"/>
        <v>0</v>
      </c>
      <c r="CI571" s="41">
        <f t="shared" si="70"/>
        <v>0</v>
      </c>
      <c r="CJ571" s="41">
        <f t="shared" si="71"/>
        <v>0</v>
      </c>
      <c r="CK571" s="41">
        <f t="shared" si="72"/>
        <v>0</v>
      </c>
      <c r="CL571" s="41">
        <f t="shared" si="73"/>
        <v>0</v>
      </c>
    </row>
    <row r="572" spans="1:90" x14ac:dyDescent="0.3">
      <c r="A572" s="41"/>
      <c r="B572" s="41"/>
      <c r="C572" s="41"/>
      <c r="D572" s="41"/>
      <c r="E572" s="41"/>
      <c r="F572" s="41"/>
      <c r="G572" s="64"/>
      <c r="H572" s="64"/>
      <c r="I572" s="64"/>
      <c r="J572" s="64"/>
      <c r="K572" s="54" t="s">
        <v>165</v>
      </c>
      <c r="L572" s="54"/>
      <c r="M572" s="54"/>
      <c r="N572" s="54"/>
      <c r="O572" s="54"/>
      <c r="P572" s="54"/>
      <c r="Q572" s="54"/>
      <c r="R572" s="54"/>
      <c r="S572" s="129"/>
      <c r="T572" s="105"/>
      <c r="U572" s="133">
        <f>$K$573*$I$581*$G$602*$E$531*$C$600*$A$555</f>
        <v>0</v>
      </c>
      <c r="V572" s="133"/>
      <c r="W572" s="134">
        <f>$K$574+$I$582+$G$603+$E$532+$C$601+$A$556</f>
        <v>7768.7817081081084</v>
      </c>
      <c r="X572" s="133">
        <f>u_Death</f>
        <v>19.181538114427529</v>
      </c>
      <c r="Y572" s="133"/>
      <c r="Z572" s="134">
        <f>U572*W572</f>
        <v>0</v>
      </c>
      <c r="AA572" s="6">
        <f>U572*X572</f>
        <v>0</v>
      </c>
      <c r="AQ572" t="s">
        <v>165</v>
      </c>
      <c r="AZ572">
        <v>0</v>
      </c>
      <c r="BF572" s="41">
        <f t="shared" si="45"/>
        <v>0</v>
      </c>
      <c r="BG572" s="41">
        <f t="shared" si="46"/>
        <v>0</v>
      </c>
      <c r="BH572" s="41">
        <f t="shared" si="47"/>
        <v>0</v>
      </c>
      <c r="BI572" s="41">
        <f t="shared" si="48"/>
        <v>0</v>
      </c>
      <c r="BJ572" s="41">
        <f t="shared" si="49"/>
        <v>0</v>
      </c>
      <c r="BK572" s="41">
        <f t="shared" si="50"/>
        <v>0</v>
      </c>
      <c r="BL572" s="41">
        <f t="shared" si="51"/>
        <v>0</v>
      </c>
      <c r="BM572" s="41">
        <f t="shared" si="52"/>
        <v>0</v>
      </c>
      <c r="BN572" s="41">
        <f t="shared" si="53"/>
        <v>0</v>
      </c>
      <c r="BO572" s="41">
        <f t="shared" si="54"/>
        <v>0</v>
      </c>
      <c r="BP572" s="41">
        <f t="shared" si="55"/>
        <v>0</v>
      </c>
      <c r="BQ572" s="41">
        <f t="shared" si="56"/>
        <v>0</v>
      </c>
      <c r="BR572" s="41">
        <f t="shared" si="57"/>
        <v>0</v>
      </c>
      <c r="BS572" s="41">
        <f t="shared" si="58"/>
        <v>0</v>
      </c>
      <c r="BT572" s="41">
        <f t="shared" si="59"/>
        <v>0</v>
      </c>
      <c r="BU572" s="41">
        <f t="shared" si="60"/>
        <v>0</v>
      </c>
      <c r="BV572" s="41">
        <f t="shared" si="61"/>
        <v>0</v>
      </c>
      <c r="BW572" s="41">
        <f t="shared" si="62"/>
        <v>0</v>
      </c>
      <c r="BX572" s="41">
        <f t="shared" si="63"/>
        <v>0</v>
      </c>
      <c r="BY572" s="41">
        <f t="shared" si="64"/>
        <v>0</v>
      </c>
      <c r="BZ572" s="41">
        <f t="shared" si="65"/>
        <v>0</v>
      </c>
      <c r="CA572" s="41" t="e">
        <f>IF(#REF!=BB572,0,1)</f>
        <v>#REF!</v>
      </c>
      <c r="CB572" s="41">
        <f t="shared" si="66"/>
        <v>1</v>
      </c>
      <c r="CC572" s="41" t="e">
        <f>IF(#REF!=BD572,0,1)</f>
        <v>#REF!</v>
      </c>
      <c r="CD572" s="41" t="e">
        <f>IF(#REF!=BE572,0,1)</f>
        <v>#REF!</v>
      </c>
      <c r="CE572" s="41" t="e">
        <f>IF(#REF!=BF572,0,1)</f>
        <v>#REF!</v>
      </c>
      <c r="CF572" s="41">
        <f t="shared" si="67"/>
        <v>1</v>
      </c>
      <c r="CG572" s="41">
        <f t="shared" si="68"/>
        <v>0</v>
      </c>
      <c r="CH572" s="41">
        <f t="shared" si="69"/>
        <v>0</v>
      </c>
      <c r="CI572" s="41">
        <f t="shared" si="70"/>
        <v>0</v>
      </c>
      <c r="CJ572" s="41">
        <f t="shared" si="71"/>
        <v>0</v>
      </c>
      <c r="CK572" s="41">
        <f t="shared" si="72"/>
        <v>0</v>
      </c>
      <c r="CL572" s="41">
        <f t="shared" si="73"/>
        <v>0</v>
      </c>
    </row>
    <row r="573" spans="1:90" x14ac:dyDescent="0.3">
      <c r="A573" s="41"/>
      <c r="B573" s="41"/>
      <c r="C573" s="41"/>
      <c r="D573" s="41"/>
      <c r="E573" s="41"/>
      <c r="F573" s="41"/>
      <c r="G573" s="64"/>
      <c r="H573" s="64"/>
      <c r="I573" s="64"/>
      <c r="J573" s="64"/>
      <c r="K573" s="56">
        <f>SGA_prem_2d_1</f>
        <v>7.4819333333333335E-2</v>
      </c>
      <c r="L573" s="64"/>
      <c r="M573" s="64"/>
      <c r="N573" s="64"/>
      <c r="O573" s="64"/>
      <c r="P573" s="64"/>
      <c r="Q573" s="64"/>
      <c r="R573" s="64"/>
      <c r="S573" s="129"/>
      <c r="T573" s="105"/>
      <c r="U573" s="133"/>
      <c r="V573" s="133">
        <v>0</v>
      </c>
      <c r="W573" s="133"/>
      <c r="X573" s="133"/>
      <c r="Y573" s="133"/>
      <c r="Z573" s="134"/>
      <c r="AA573" s="6"/>
      <c r="AQ573">
        <v>8.4066666666666665E-2</v>
      </c>
      <c r="BF573" s="41">
        <f t="shared" si="45"/>
        <v>0</v>
      </c>
      <c r="BG573" s="41">
        <f t="shared" si="46"/>
        <v>0</v>
      </c>
      <c r="BH573" s="41">
        <f t="shared" si="47"/>
        <v>0</v>
      </c>
      <c r="BI573" s="41">
        <f t="shared" si="48"/>
        <v>0</v>
      </c>
      <c r="BJ573" s="41">
        <f t="shared" si="49"/>
        <v>0</v>
      </c>
      <c r="BK573" s="41">
        <f t="shared" si="50"/>
        <v>0</v>
      </c>
      <c r="BL573" s="41">
        <f t="shared" si="51"/>
        <v>0</v>
      </c>
      <c r="BM573" s="41">
        <f t="shared" si="52"/>
        <v>0</v>
      </c>
      <c r="BN573" s="41">
        <f t="shared" si="53"/>
        <v>0</v>
      </c>
      <c r="BO573" s="41">
        <f t="shared" si="54"/>
        <v>0</v>
      </c>
      <c r="BP573" s="41">
        <f t="shared" si="55"/>
        <v>1</v>
      </c>
      <c r="BQ573" s="41">
        <f t="shared" si="56"/>
        <v>0</v>
      </c>
      <c r="BR573" s="41">
        <f t="shared" si="57"/>
        <v>0</v>
      </c>
      <c r="BS573" s="41">
        <f t="shared" si="58"/>
        <v>0</v>
      </c>
      <c r="BT573" s="41">
        <f t="shared" si="59"/>
        <v>0</v>
      </c>
      <c r="BU573" s="41">
        <f t="shared" si="60"/>
        <v>0</v>
      </c>
      <c r="BV573" s="41">
        <f t="shared" si="61"/>
        <v>0</v>
      </c>
      <c r="BW573" s="41">
        <f t="shared" si="62"/>
        <v>0</v>
      </c>
      <c r="BX573" s="41">
        <f t="shared" si="63"/>
        <v>0</v>
      </c>
      <c r="BY573" s="41">
        <f t="shared" si="64"/>
        <v>0</v>
      </c>
      <c r="BZ573" s="41">
        <f t="shared" si="65"/>
        <v>0</v>
      </c>
      <c r="CA573" s="41" t="e">
        <f>IF(#REF!=BB573,0,1)</f>
        <v>#REF!</v>
      </c>
      <c r="CB573" s="41">
        <f t="shared" si="66"/>
        <v>0</v>
      </c>
      <c r="CC573" s="41" t="e">
        <f>IF(#REF!=BD573,0,1)</f>
        <v>#REF!</v>
      </c>
      <c r="CD573" s="41" t="e">
        <f>IF(#REF!=BE573,0,1)</f>
        <v>#REF!</v>
      </c>
      <c r="CE573" s="41" t="e">
        <f>IF(#REF!=BF573,0,1)</f>
        <v>#REF!</v>
      </c>
      <c r="CF573" s="41">
        <f t="shared" si="67"/>
        <v>0</v>
      </c>
      <c r="CG573" s="41">
        <f t="shared" si="68"/>
        <v>0</v>
      </c>
      <c r="CH573" s="41">
        <f t="shared" si="69"/>
        <v>0</v>
      </c>
      <c r="CI573" s="41">
        <f t="shared" si="70"/>
        <v>0</v>
      </c>
      <c r="CJ573" s="41">
        <f t="shared" si="71"/>
        <v>0</v>
      </c>
      <c r="CK573" s="41">
        <f t="shared" si="72"/>
        <v>0</v>
      </c>
      <c r="CL573" s="41">
        <f t="shared" si="73"/>
        <v>0</v>
      </c>
    </row>
    <row r="574" spans="1:90" x14ac:dyDescent="0.3">
      <c r="A574" s="41"/>
      <c r="B574" s="41"/>
      <c r="C574" s="41"/>
      <c r="D574" s="41"/>
      <c r="E574" s="41"/>
      <c r="F574" s="41"/>
      <c r="G574" s="64"/>
      <c r="H574" s="64"/>
      <c r="I574" s="64"/>
      <c r="J574" s="64"/>
      <c r="K574" s="57">
        <f>c_SB</f>
        <v>1792</v>
      </c>
      <c r="L574" s="64"/>
      <c r="M574" s="64"/>
      <c r="N574" s="64"/>
      <c r="O574" s="64"/>
      <c r="P574" s="64"/>
      <c r="Q574" s="64"/>
      <c r="R574" s="64"/>
      <c r="S574" s="129"/>
      <c r="T574" s="105"/>
      <c r="U574" s="133"/>
      <c r="V574" s="133"/>
      <c r="W574" s="133"/>
      <c r="X574" s="133"/>
      <c r="Y574" s="133"/>
      <c r="Z574" s="134"/>
      <c r="AA574" s="6"/>
      <c r="AQ574">
        <v>1720</v>
      </c>
      <c r="BF574" s="41">
        <f t="shared" si="45"/>
        <v>0</v>
      </c>
      <c r="BG574" s="41">
        <f t="shared" si="46"/>
        <v>0</v>
      </c>
      <c r="BH574" s="41">
        <f t="shared" si="47"/>
        <v>0</v>
      </c>
      <c r="BI574" s="41">
        <f t="shared" si="48"/>
        <v>0</v>
      </c>
      <c r="BJ574" s="41">
        <f t="shared" si="49"/>
        <v>0</v>
      </c>
      <c r="BK574" s="41">
        <f t="shared" si="50"/>
        <v>0</v>
      </c>
      <c r="BL574" s="41">
        <f t="shared" si="51"/>
        <v>0</v>
      </c>
      <c r="BM574" s="41">
        <f t="shared" si="52"/>
        <v>0</v>
      </c>
      <c r="BN574" s="41">
        <f t="shared" si="53"/>
        <v>0</v>
      </c>
      <c r="BO574" s="41">
        <f t="shared" si="54"/>
        <v>0</v>
      </c>
      <c r="BP574" s="41">
        <f t="shared" si="55"/>
        <v>1</v>
      </c>
      <c r="BQ574" s="41">
        <f t="shared" si="56"/>
        <v>0</v>
      </c>
      <c r="BR574" s="41">
        <f t="shared" si="57"/>
        <v>0</v>
      </c>
      <c r="BS574" s="41">
        <f t="shared" si="58"/>
        <v>0</v>
      </c>
      <c r="BT574" s="41">
        <f t="shared" si="59"/>
        <v>0</v>
      </c>
      <c r="BU574" s="41">
        <f t="shared" si="60"/>
        <v>0</v>
      </c>
      <c r="BV574" s="41">
        <f t="shared" si="61"/>
        <v>0</v>
      </c>
      <c r="BW574" s="41">
        <f t="shared" si="62"/>
        <v>0</v>
      </c>
      <c r="BX574" s="41">
        <f t="shared" si="63"/>
        <v>0</v>
      </c>
      <c r="BY574" s="41">
        <f t="shared" si="64"/>
        <v>0</v>
      </c>
      <c r="BZ574" s="41">
        <f t="shared" si="65"/>
        <v>0</v>
      </c>
      <c r="CA574" s="41" t="e">
        <f>IF(#REF!=BB574,0,1)</f>
        <v>#REF!</v>
      </c>
      <c r="CB574" s="41">
        <f t="shared" si="66"/>
        <v>0</v>
      </c>
      <c r="CC574" s="41" t="e">
        <f>IF(#REF!=BD574,0,1)</f>
        <v>#REF!</v>
      </c>
      <c r="CD574" s="41" t="e">
        <f>IF(#REF!=BE574,0,1)</f>
        <v>#REF!</v>
      </c>
      <c r="CE574" s="41" t="e">
        <f>IF(#REF!=BF574,0,1)</f>
        <v>#REF!</v>
      </c>
      <c r="CF574" s="41">
        <f t="shared" si="67"/>
        <v>0</v>
      </c>
      <c r="CG574" s="41">
        <f t="shared" si="68"/>
        <v>0</v>
      </c>
      <c r="CH574" s="41">
        <f t="shared" si="69"/>
        <v>0</v>
      </c>
      <c r="CI574" s="41">
        <f t="shared" si="70"/>
        <v>0</v>
      </c>
      <c r="CJ574" s="41">
        <f t="shared" si="71"/>
        <v>0</v>
      </c>
      <c r="CK574" s="41">
        <f t="shared" si="72"/>
        <v>0</v>
      </c>
      <c r="CL574" s="41">
        <f t="shared" si="73"/>
        <v>0</v>
      </c>
    </row>
    <row r="575" spans="1:90" x14ac:dyDescent="0.3">
      <c r="A575" s="41"/>
      <c r="B575" s="41"/>
      <c r="C575" s="41"/>
      <c r="D575" s="41"/>
      <c r="E575" s="41"/>
      <c r="F575" s="41"/>
      <c r="G575" s="64"/>
      <c r="H575" s="64"/>
      <c r="I575" s="53"/>
      <c r="J575" s="53"/>
      <c r="K575" s="53"/>
      <c r="L575" s="53"/>
      <c r="M575" s="53"/>
      <c r="N575" s="53"/>
      <c r="O575" s="53"/>
      <c r="P575" s="53"/>
      <c r="Q575" s="53"/>
      <c r="R575" s="53"/>
      <c r="S575" s="129"/>
      <c r="T575" s="105"/>
      <c r="U575" s="133"/>
      <c r="V575" s="133"/>
      <c r="W575" s="133"/>
      <c r="X575" s="133"/>
      <c r="Y575" s="133"/>
      <c r="Z575" s="134"/>
      <c r="AA575" s="6"/>
      <c r="BF575" s="41">
        <f t="shared" si="45"/>
        <v>0</v>
      </c>
      <c r="BG575" s="41">
        <f t="shared" si="46"/>
        <v>0</v>
      </c>
      <c r="BH575" s="41">
        <f t="shared" si="47"/>
        <v>0</v>
      </c>
      <c r="BI575" s="41">
        <f t="shared" si="48"/>
        <v>0</v>
      </c>
      <c r="BJ575" s="41">
        <f t="shared" si="49"/>
        <v>0</v>
      </c>
      <c r="BK575" s="41">
        <f t="shared" si="50"/>
        <v>0</v>
      </c>
      <c r="BL575" s="41">
        <f t="shared" si="51"/>
        <v>0</v>
      </c>
      <c r="BM575" s="41">
        <f t="shared" si="52"/>
        <v>0</v>
      </c>
      <c r="BN575" s="41">
        <f t="shared" si="53"/>
        <v>0</v>
      </c>
      <c r="BO575" s="41">
        <f t="shared" si="54"/>
        <v>0</v>
      </c>
      <c r="BP575" s="41">
        <f t="shared" si="55"/>
        <v>0</v>
      </c>
      <c r="BQ575" s="41">
        <f t="shared" si="56"/>
        <v>0</v>
      </c>
      <c r="BR575" s="41">
        <f t="shared" si="57"/>
        <v>0</v>
      </c>
      <c r="BS575" s="41">
        <f t="shared" si="58"/>
        <v>0</v>
      </c>
      <c r="BT575" s="41">
        <f t="shared" si="59"/>
        <v>0</v>
      </c>
      <c r="BU575" s="41">
        <f t="shared" si="60"/>
        <v>0</v>
      </c>
      <c r="BV575" s="41">
        <f t="shared" si="61"/>
        <v>0</v>
      </c>
      <c r="BW575" s="41">
        <f t="shared" si="62"/>
        <v>0</v>
      </c>
      <c r="BX575" s="41">
        <f t="shared" si="63"/>
        <v>0</v>
      </c>
      <c r="BY575" s="41">
        <f t="shared" si="64"/>
        <v>0</v>
      </c>
      <c r="BZ575" s="41">
        <f t="shared" si="65"/>
        <v>0</v>
      </c>
      <c r="CA575" s="41" t="e">
        <f>IF(#REF!=BB575,0,1)</f>
        <v>#REF!</v>
      </c>
      <c r="CB575" s="41">
        <f t="shared" si="66"/>
        <v>0</v>
      </c>
      <c r="CC575" s="41" t="e">
        <f>IF(#REF!=BD575,0,1)</f>
        <v>#REF!</v>
      </c>
      <c r="CD575" s="41" t="e">
        <f>IF(#REF!=BE575,0,1)</f>
        <v>#REF!</v>
      </c>
      <c r="CE575" s="41" t="e">
        <f>IF(#REF!=BF575,0,1)</f>
        <v>#REF!</v>
      </c>
      <c r="CF575" s="41">
        <f t="shared" si="67"/>
        <v>0</v>
      </c>
      <c r="CG575" s="41">
        <f t="shared" si="68"/>
        <v>0</v>
      </c>
      <c r="CH575" s="41">
        <f t="shared" si="69"/>
        <v>0</v>
      </c>
      <c r="CI575" s="41">
        <f t="shared" si="70"/>
        <v>0</v>
      </c>
      <c r="CJ575" s="41">
        <f t="shared" si="71"/>
        <v>0</v>
      </c>
      <c r="CK575" s="41">
        <f t="shared" si="72"/>
        <v>0</v>
      </c>
      <c r="CL575" s="41">
        <f t="shared" si="73"/>
        <v>0</v>
      </c>
    </row>
    <row r="576" spans="1:90" x14ac:dyDescent="0.3">
      <c r="A576" s="41"/>
      <c r="B576" s="41"/>
      <c r="C576" s="41"/>
      <c r="D576" s="41"/>
      <c r="E576" s="41"/>
      <c r="F576" s="41"/>
      <c r="G576" s="64"/>
      <c r="H576" s="64"/>
      <c r="I576" s="53"/>
      <c r="J576" s="53"/>
      <c r="K576" s="53"/>
      <c r="L576" s="53"/>
      <c r="M576" s="53"/>
      <c r="N576" s="53"/>
      <c r="O576" s="53"/>
      <c r="P576" s="53"/>
      <c r="Q576" s="54" t="s">
        <v>368</v>
      </c>
      <c r="R576" s="54"/>
      <c r="S576" s="129"/>
      <c r="T576" s="105"/>
      <c r="U576" s="133">
        <f>$K$592*$I$581*$G$602*$E$531*$C$600*$A$555*$M$587*$O$582*Q577</f>
        <v>0</v>
      </c>
      <c r="V576" s="133"/>
      <c r="W576" s="134">
        <f>$K$593+$I$582+$G$603+$E$532+$C$601+$A$556+$M$588+$O$583+Q578</f>
        <v>94038.163158713738</v>
      </c>
      <c r="X576" s="133">
        <f>u_ChronicResp</f>
        <v>0.53465956747782661</v>
      </c>
      <c r="Y576" s="133"/>
      <c r="Z576" s="134">
        <f>U576*W576</f>
        <v>0</v>
      </c>
      <c r="AA576" s="6">
        <f>U576*X576</f>
        <v>0</v>
      </c>
      <c r="AW576" t="s">
        <v>368</v>
      </c>
      <c r="AZ576">
        <v>0</v>
      </c>
      <c r="BF576" s="41">
        <f t="shared" si="45"/>
        <v>0</v>
      </c>
      <c r="BG576" s="41">
        <f t="shared" si="46"/>
        <v>0</v>
      </c>
      <c r="BH576" s="41">
        <f t="shared" si="47"/>
        <v>0</v>
      </c>
      <c r="BI576" s="41">
        <f t="shared" si="48"/>
        <v>0</v>
      </c>
      <c r="BJ576" s="41">
        <f t="shared" si="49"/>
        <v>0</v>
      </c>
      <c r="BK576" s="41">
        <f t="shared" si="50"/>
        <v>0</v>
      </c>
      <c r="BL576" s="41">
        <f t="shared" si="51"/>
        <v>0</v>
      </c>
      <c r="BM576" s="41">
        <f t="shared" si="52"/>
        <v>0</v>
      </c>
      <c r="BN576" s="41">
        <f t="shared" si="53"/>
        <v>0</v>
      </c>
      <c r="BO576" s="41">
        <f t="shared" si="54"/>
        <v>0</v>
      </c>
      <c r="BP576" s="41">
        <f t="shared" si="55"/>
        <v>0</v>
      </c>
      <c r="BQ576" s="41">
        <f t="shared" si="56"/>
        <v>0</v>
      </c>
      <c r="BR576" s="41">
        <f t="shared" si="57"/>
        <v>0</v>
      </c>
      <c r="BS576" s="41">
        <f t="shared" si="58"/>
        <v>0</v>
      </c>
      <c r="BT576" s="41">
        <f t="shared" si="59"/>
        <v>0</v>
      </c>
      <c r="BU576" s="41">
        <f t="shared" si="60"/>
        <v>0</v>
      </c>
      <c r="BV576" s="41">
        <f t="shared" si="61"/>
        <v>0</v>
      </c>
      <c r="BW576" s="41">
        <f t="shared" si="62"/>
        <v>0</v>
      </c>
      <c r="BX576" s="41">
        <f t="shared" si="63"/>
        <v>0</v>
      </c>
      <c r="BY576" s="41">
        <f t="shared" si="64"/>
        <v>0</v>
      </c>
      <c r="BZ576" s="41">
        <f t="shared" si="65"/>
        <v>0</v>
      </c>
      <c r="CA576" s="41" t="e">
        <f>IF(#REF!=BB576,0,1)</f>
        <v>#REF!</v>
      </c>
      <c r="CB576" s="41">
        <f t="shared" si="66"/>
        <v>1</v>
      </c>
      <c r="CC576" s="41" t="e">
        <f>IF(#REF!=BD576,0,1)</f>
        <v>#REF!</v>
      </c>
      <c r="CD576" s="41" t="e">
        <f>IF(#REF!=BE576,0,1)</f>
        <v>#REF!</v>
      </c>
      <c r="CE576" s="41" t="e">
        <f>IF(#REF!=BF576,0,1)</f>
        <v>#REF!</v>
      </c>
      <c r="CF576" s="41">
        <f t="shared" si="67"/>
        <v>1</v>
      </c>
      <c r="CG576" s="41">
        <f t="shared" si="68"/>
        <v>0</v>
      </c>
      <c r="CH576" s="41">
        <f t="shared" si="69"/>
        <v>0</v>
      </c>
      <c r="CI576" s="41">
        <f t="shared" si="70"/>
        <v>0</v>
      </c>
      <c r="CJ576" s="41">
        <f t="shared" si="71"/>
        <v>0</v>
      </c>
      <c r="CK576" s="41">
        <f t="shared" si="72"/>
        <v>0</v>
      </c>
      <c r="CL576" s="41">
        <f t="shared" si="73"/>
        <v>0</v>
      </c>
    </row>
    <row r="577" spans="1:90" x14ac:dyDescent="0.3">
      <c r="A577" s="41"/>
      <c r="B577" s="41"/>
      <c r="C577" s="41"/>
      <c r="D577" s="41"/>
      <c r="E577" s="41"/>
      <c r="F577" s="41"/>
      <c r="G577" s="64"/>
      <c r="H577" s="64"/>
      <c r="I577" s="53"/>
      <c r="J577" s="53"/>
      <c r="K577" s="53"/>
      <c r="L577" s="53"/>
      <c r="M577" s="53"/>
      <c r="N577" s="53"/>
      <c r="O577" s="64"/>
      <c r="P577" s="64"/>
      <c r="Q577" s="56">
        <f>RDS2CLD_2-(Hypo2CI_2*RDS2CLD_2)</f>
        <v>0.34246866666666664</v>
      </c>
      <c r="R577" s="56"/>
      <c r="S577" s="129"/>
      <c r="T577" s="105"/>
      <c r="U577" s="133"/>
      <c r="V577" s="133">
        <v>0</v>
      </c>
      <c r="W577" s="133"/>
      <c r="X577" s="133"/>
      <c r="Y577" s="133"/>
      <c r="Z577" s="134"/>
      <c r="AA577" s="6"/>
      <c r="AW577">
        <v>0.34246866666666664</v>
      </c>
      <c r="BF577" s="41">
        <f t="shared" si="45"/>
        <v>0</v>
      </c>
      <c r="BG577" s="41">
        <f t="shared" si="46"/>
        <v>0</v>
      </c>
      <c r="BH577" s="41">
        <f t="shared" si="47"/>
        <v>0</v>
      </c>
      <c r="BI577" s="41">
        <f t="shared" si="48"/>
        <v>0</v>
      </c>
      <c r="BJ577" s="41">
        <f t="shared" si="49"/>
        <v>0</v>
      </c>
      <c r="BK577" s="41">
        <f t="shared" si="50"/>
        <v>0</v>
      </c>
      <c r="BL577" s="41">
        <f t="shared" si="51"/>
        <v>0</v>
      </c>
      <c r="BM577" s="41">
        <f t="shared" si="52"/>
        <v>0</v>
      </c>
      <c r="BN577" s="41">
        <f t="shared" si="53"/>
        <v>0</v>
      </c>
      <c r="BO577" s="41">
        <f t="shared" si="54"/>
        <v>0</v>
      </c>
      <c r="BP577" s="41">
        <f t="shared" si="55"/>
        <v>0</v>
      </c>
      <c r="BQ577" s="41">
        <f t="shared" si="56"/>
        <v>0</v>
      </c>
      <c r="BR577" s="41">
        <f t="shared" si="57"/>
        <v>0</v>
      </c>
      <c r="BS577" s="41">
        <f t="shared" si="58"/>
        <v>0</v>
      </c>
      <c r="BT577" s="41">
        <f t="shared" si="59"/>
        <v>0</v>
      </c>
      <c r="BU577" s="41">
        <f t="shared" si="60"/>
        <v>0</v>
      </c>
      <c r="BV577" s="41">
        <f t="shared" si="61"/>
        <v>0</v>
      </c>
      <c r="BW577" s="41">
        <f t="shared" si="62"/>
        <v>0</v>
      </c>
      <c r="BX577" s="41">
        <f t="shared" si="63"/>
        <v>0</v>
      </c>
      <c r="BY577" s="41">
        <f t="shared" si="64"/>
        <v>0</v>
      </c>
      <c r="BZ577" s="41">
        <f t="shared" si="65"/>
        <v>0</v>
      </c>
      <c r="CA577" s="41" t="e">
        <f>IF(#REF!=BB577,0,1)</f>
        <v>#REF!</v>
      </c>
      <c r="CB577" s="41">
        <f t="shared" si="66"/>
        <v>0</v>
      </c>
      <c r="CC577" s="41" t="e">
        <f>IF(#REF!=BD577,0,1)</f>
        <v>#REF!</v>
      </c>
      <c r="CD577" s="41" t="e">
        <f>IF(#REF!=BE577,0,1)</f>
        <v>#REF!</v>
      </c>
      <c r="CE577" s="41" t="e">
        <f>IF(#REF!=BF577,0,1)</f>
        <v>#REF!</v>
      </c>
      <c r="CF577" s="41">
        <f t="shared" si="67"/>
        <v>0</v>
      </c>
      <c r="CG577" s="41">
        <f t="shared" si="68"/>
        <v>0</v>
      </c>
      <c r="CH577" s="41">
        <f t="shared" si="69"/>
        <v>0</v>
      </c>
      <c r="CI577" s="41">
        <f t="shared" si="70"/>
        <v>0</v>
      </c>
      <c r="CJ577" s="41">
        <f t="shared" si="71"/>
        <v>0</v>
      </c>
      <c r="CK577" s="41">
        <f t="shared" si="72"/>
        <v>0</v>
      </c>
      <c r="CL577" s="41">
        <f t="shared" si="73"/>
        <v>0</v>
      </c>
    </row>
    <row r="578" spans="1:90" x14ac:dyDescent="0.3">
      <c r="A578" s="41"/>
      <c r="B578" s="41"/>
      <c r="C578" s="41"/>
      <c r="D578" s="41"/>
      <c r="E578" s="41"/>
      <c r="F578" s="41"/>
      <c r="G578" s="64"/>
      <c r="H578" s="64"/>
      <c r="I578" s="53"/>
      <c r="J578" s="53"/>
      <c r="K578" s="53"/>
      <c r="L578" s="53"/>
      <c r="M578" s="53"/>
      <c r="N578" s="53"/>
      <c r="O578" s="64"/>
      <c r="P578" s="64"/>
      <c r="Q578" s="57">
        <f>c_lung+c_hosp_fu+c_CSG</f>
        <v>54529.510902399998</v>
      </c>
      <c r="R578" s="57"/>
      <c r="S578" s="129"/>
      <c r="T578" s="105"/>
      <c r="U578" s="133"/>
      <c r="V578" s="133"/>
      <c r="W578" s="133"/>
      <c r="X578" s="133"/>
      <c r="Y578" s="133"/>
      <c r="Z578" s="134"/>
      <c r="AA578" s="6"/>
      <c r="AW578">
        <v>42323.200000000004</v>
      </c>
      <c r="BF578" s="41">
        <f t="shared" si="45"/>
        <v>0</v>
      </c>
      <c r="BG578" s="41">
        <f t="shared" si="46"/>
        <v>0</v>
      </c>
      <c r="BH578" s="41">
        <f t="shared" si="47"/>
        <v>0</v>
      </c>
      <c r="BI578" s="41">
        <f t="shared" si="48"/>
        <v>0</v>
      </c>
      <c r="BJ578" s="41">
        <f t="shared" si="49"/>
        <v>0</v>
      </c>
      <c r="BK578" s="41">
        <f t="shared" si="50"/>
        <v>0</v>
      </c>
      <c r="BL578" s="41">
        <f t="shared" si="51"/>
        <v>0</v>
      </c>
      <c r="BM578" s="41">
        <f t="shared" si="52"/>
        <v>0</v>
      </c>
      <c r="BN578" s="41">
        <f t="shared" si="53"/>
        <v>0</v>
      </c>
      <c r="BO578" s="41">
        <f t="shared" si="54"/>
        <v>0</v>
      </c>
      <c r="BP578" s="41">
        <f t="shared" si="55"/>
        <v>0</v>
      </c>
      <c r="BQ578" s="41">
        <f t="shared" si="56"/>
        <v>0</v>
      </c>
      <c r="BR578" s="41">
        <f t="shared" si="57"/>
        <v>0</v>
      </c>
      <c r="BS578" s="41">
        <f t="shared" si="58"/>
        <v>0</v>
      </c>
      <c r="BT578" s="41">
        <f t="shared" si="59"/>
        <v>0</v>
      </c>
      <c r="BU578" s="41">
        <f t="shared" si="60"/>
        <v>0</v>
      </c>
      <c r="BV578" s="41">
        <f t="shared" si="61"/>
        <v>1</v>
      </c>
      <c r="BW578" s="41">
        <f t="shared" si="62"/>
        <v>0</v>
      </c>
      <c r="BX578" s="41">
        <f t="shared" si="63"/>
        <v>0</v>
      </c>
      <c r="BY578" s="41">
        <f t="shared" si="64"/>
        <v>0</v>
      </c>
      <c r="BZ578" s="41">
        <f t="shared" si="65"/>
        <v>0</v>
      </c>
      <c r="CA578" s="41" t="e">
        <f>IF(#REF!=BB578,0,1)</f>
        <v>#REF!</v>
      </c>
      <c r="CB578" s="41">
        <f t="shared" si="66"/>
        <v>0</v>
      </c>
      <c r="CC578" s="41" t="e">
        <f>IF(#REF!=BD578,0,1)</f>
        <v>#REF!</v>
      </c>
      <c r="CD578" s="41" t="e">
        <f>IF(#REF!=BE578,0,1)</f>
        <v>#REF!</v>
      </c>
      <c r="CE578" s="41" t="e">
        <f>IF(#REF!=BF578,0,1)</f>
        <v>#REF!</v>
      </c>
      <c r="CF578" s="41">
        <f t="shared" si="67"/>
        <v>0</v>
      </c>
      <c r="CG578" s="41">
        <f t="shared" si="68"/>
        <v>0</v>
      </c>
      <c r="CH578" s="41">
        <f t="shared" si="69"/>
        <v>0</v>
      </c>
      <c r="CI578" s="41">
        <f t="shared" si="70"/>
        <v>0</v>
      </c>
      <c r="CJ578" s="41">
        <f t="shared" si="71"/>
        <v>0</v>
      </c>
      <c r="CK578" s="41">
        <f t="shared" si="72"/>
        <v>0</v>
      </c>
      <c r="CL578" s="41">
        <f t="shared" si="73"/>
        <v>0</v>
      </c>
    </row>
    <row r="579" spans="1:90" x14ac:dyDescent="0.3">
      <c r="A579" s="41"/>
      <c r="B579" s="41"/>
      <c r="C579" s="41"/>
      <c r="D579" s="41"/>
      <c r="E579" s="41"/>
      <c r="F579" s="41"/>
      <c r="G579" s="64"/>
      <c r="H579" s="64"/>
      <c r="I579" s="53"/>
      <c r="J579" s="53"/>
      <c r="K579" s="53"/>
      <c r="L579" s="53"/>
      <c r="M579" s="53"/>
      <c r="N579" s="53"/>
      <c r="O579" s="64"/>
      <c r="P579" s="64"/>
      <c r="Q579" s="54" t="s">
        <v>226</v>
      </c>
      <c r="R579" s="54"/>
      <c r="S579" s="129"/>
      <c r="T579" s="105"/>
      <c r="U579" s="133">
        <f>$K$592*$I$581*$G$602*$E$531*$C$600*$A$555*$M$587*$O$582*Q580</f>
        <v>0</v>
      </c>
      <c r="V579" s="133"/>
      <c r="W579" s="134">
        <f>$K$593+$I$582+$G$603+$E$532+$C$601+$A$556+$M$588+$O$583+Q581</f>
        <v>55274.652256313741</v>
      </c>
      <c r="X579" s="133">
        <f>u_CongnitiveImpairement</f>
        <v>17.270393127285455</v>
      </c>
      <c r="Y579" s="133"/>
      <c r="Z579" s="134">
        <f>U579*W579</f>
        <v>0</v>
      </c>
      <c r="AA579" s="6">
        <f>U579*X579</f>
        <v>0</v>
      </c>
      <c r="AW579" t="s">
        <v>226</v>
      </c>
      <c r="AZ579">
        <v>0</v>
      </c>
      <c r="BF579" s="41">
        <f t="shared" si="45"/>
        <v>0</v>
      </c>
      <c r="BG579" s="41">
        <f t="shared" si="46"/>
        <v>0</v>
      </c>
      <c r="BH579" s="41">
        <f t="shared" si="47"/>
        <v>0</v>
      </c>
      <c r="BI579" s="41">
        <f t="shared" si="48"/>
        <v>0</v>
      </c>
      <c r="BJ579" s="41">
        <f t="shared" si="49"/>
        <v>0</v>
      </c>
      <c r="BK579" s="41">
        <f t="shared" si="50"/>
        <v>0</v>
      </c>
      <c r="BL579" s="41">
        <f t="shared" si="51"/>
        <v>0</v>
      </c>
      <c r="BM579" s="41">
        <f t="shared" si="52"/>
        <v>0</v>
      </c>
      <c r="BN579" s="41">
        <f t="shared" si="53"/>
        <v>0</v>
      </c>
      <c r="BO579" s="41">
        <f t="shared" si="54"/>
        <v>0</v>
      </c>
      <c r="BP579" s="41">
        <f t="shared" si="55"/>
        <v>0</v>
      </c>
      <c r="BQ579" s="41">
        <f t="shared" si="56"/>
        <v>0</v>
      </c>
      <c r="BR579" s="41">
        <f t="shared" si="57"/>
        <v>0</v>
      </c>
      <c r="BS579" s="41">
        <f t="shared" si="58"/>
        <v>0</v>
      </c>
      <c r="BT579" s="41">
        <f t="shared" si="59"/>
        <v>0</v>
      </c>
      <c r="BU579" s="41">
        <f t="shared" si="60"/>
        <v>0</v>
      </c>
      <c r="BV579" s="41">
        <f t="shared" si="61"/>
        <v>0</v>
      </c>
      <c r="BW579" s="41">
        <f t="shared" si="62"/>
        <v>0</v>
      </c>
      <c r="BX579" s="41">
        <f t="shared" si="63"/>
        <v>0</v>
      </c>
      <c r="BY579" s="41">
        <f t="shared" si="64"/>
        <v>0</v>
      </c>
      <c r="BZ579" s="41">
        <f t="shared" si="65"/>
        <v>0</v>
      </c>
      <c r="CA579" s="41" t="e">
        <f>IF(#REF!=BB579,0,1)</f>
        <v>#REF!</v>
      </c>
      <c r="CB579" s="41">
        <f t="shared" si="66"/>
        <v>1</v>
      </c>
      <c r="CC579" s="41" t="e">
        <f>IF(#REF!=BD579,0,1)</f>
        <v>#REF!</v>
      </c>
      <c r="CD579" s="41" t="e">
        <f>IF(#REF!=BE579,0,1)</f>
        <v>#REF!</v>
      </c>
      <c r="CE579" s="41" t="e">
        <f>IF(#REF!=BF579,0,1)</f>
        <v>#REF!</v>
      </c>
      <c r="CF579" s="41">
        <f t="shared" si="67"/>
        <v>1</v>
      </c>
      <c r="CG579" s="41">
        <f t="shared" si="68"/>
        <v>0</v>
      </c>
      <c r="CH579" s="41">
        <f t="shared" si="69"/>
        <v>0</v>
      </c>
      <c r="CI579" s="41">
        <f t="shared" si="70"/>
        <v>0</v>
      </c>
      <c r="CJ579" s="41">
        <f t="shared" si="71"/>
        <v>0</v>
      </c>
      <c r="CK579" s="41">
        <f t="shared" si="72"/>
        <v>0</v>
      </c>
      <c r="CL579" s="41">
        <f t="shared" si="73"/>
        <v>0</v>
      </c>
    </row>
    <row r="580" spans="1:90" x14ac:dyDescent="0.3">
      <c r="A580" s="41"/>
      <c r="B580" s="41"/>
      <c r="C580" s="41"/>
      <c r="D580" s="41"/>
      <c r="E580" s="41"/>
      <c r="F580" s="41"/>
      <c r="G580" s="64"/>
      <c r="H580" s="64"/>
      <c r="I580" s="54" t="s">
        <v>164</v>
      </c>
      <c r="J580" s="64"/>
      <c r="K580" s="64"/>
      <c r="L580" s="64"/>
      <c r="M580" s="64"/>
      <c r="N580" s="64"/>
      <c r="O580" s="64"/>
      <c r="P580" s="64"/>
      <c r="Q580" s="56">
        <f>Hypo2CI_2-(Hypo2CI_2*RDS2CLD_2)</f>
        <v>3.2801999999999998E-2</v>
      </c>
      <c r="R580" s="56"/>
      <c r="S580" s="129"/>
      <c r="T580" s="105"/>
      <c r="U580" s="133"/>
      <c r="V580" s="133">
        <v>0</v>
      </c>
      <c r="W580" s="133"/>
      <c r="X580" s="133"/>
      <c r="Y580" s="133"/>
      <c r="Z580" s="134"/>
      <c r="AA580" s="6"/>
      <c r="AO580" t="s">
        <v>164</v>
      </c>
      <c r="AW580">
        <v>3.2801999999999998E-2</v>
      </c>
      <c r="BF580" s="41">
        <f t="shared" si="45"/>
        <v>0</v>
      </c>
      <c r="BG580" s="41">
        <f t="shared" si="46"/>
        <v>0</v>
      </c>
      <c r="BH580" s="41">
        <f t="shared" si="47"/>
        <v>0</v>
      </c>
      <c r="BI580" s="41">
        <f t="shared" si="48"/>
        <v>0</v>
      </c>
      <c r="BJ580" s="41">
        <f t="shared" si="49"/>
        <v>0</v>
      </c>
      <c r="BK580" s="41">
        <f t="shared" si="50"/>
        <v>0</v>
      </c>
      <c r="BL580" s="41">
        <f t="shared" si="51"/>
        <v>0</v>
      </c>
      <c r="BM580" s="41">
        <f t="shared" si="52"/>
        <v>0</v>
      </c>
      <c r="BN580" s="41">
        <f t="shared" si="53"/>
        <v>0</v>
      </c>
      <c r="BO580" s="41">
        <f t="shared" si="54"/>
        <v>0</v>
      </c>
      <c r="BP580" s="41">
        <f t="shared" si="55"/>
        <v>0</v>
      </c>
      <c r="BQ580" s="41">
        <f t="shared" si="56"/>
        <v>0</v>
      </c>
      <c r="BR580" s="41">
        <f t="shared" si="57"/>
        <v>0</v>
      </c>
      <c r="BS580" s="41">
        <f t="shared" si="58"/>
        <v>0</v>
      </c>
      <c r="BT580" s="41">
        <f t="shared" si="59"/>
        <v>0</v>
      </c>
      <c r="BU580" s="41">
        <f t="shared" si="60"/>
        <v>0</v>
      </c>
      <c r="BV580" s="41">
        <f t="shared" si="61"/>
        <v>0</v>
      </c>
      <c r="BW580" s="41">
        <f t="shared" si="62"/>
        <v>0</v>
      </c>
      <c r="BX580" s="41">
        <f t="shared" si="63"/>
        <v>0</v>
      </c>
      <c r="BY580" s="41">
        <f t="shared" si="64"/>
        <v>0</v>
      </c>
      <c r="BZ580" s="41">
        <f t="shared" si="65"/>
        <v>0</v>
      </c>
      <c r="CA580" s="41" t="e">
        <f>IF(#REF!=BB580,0,1)</f>
        <v>#REF!</v>
      </c>
      <c r="CB580" s="41">
        <f t="shared" si="66"/>
        <v>0</v>
      </c>
      <c r="CC580" s="41" t="e">
        <f>IF(#REF!=BD580,0,1)</f>
        <v>#REF!</v>
      </c>
      <c r="CD580" s="41" t="e">
        <f>IF(#REF!=BE580,0,1)</f>
        <v>#REF!</v>
      </c>
      <c r="CE580" s="41" t="e">
        <f>IF(#REF!=BF580,0,1)</f>
        <v>#REF!</v>
      </c>
      <c r="CF580" s="41">
        <f t="shared" si="67"/>
        <v>0</v>
      </c>
      <c r="CG580" s="41">
        <f t="shared" si="68"/>
        <v>0</v>
      </c>
      <c r="CH580" s="41">
        <f t="shared" si="69"/>
        <v>0</v>
      </c>
      <c r="CI580" s="41">
        <f t="shared" si="70"/>
        <v>0</v>
      </c>
      <c r="CJ580" s="41">
        <f t="shared" si="71"/>
        <v>0</v>
      </c>
      <c r="CK580" s="41">
        <f t="shared" si="72"/>
        <v>0</v>
      </c>
      <c r="CL580" s="41">
        <f t="shared" si="73"/>
        <v>0</v>
      </c>
    </row>
    <row r="581" spans="1:90" x14ac:dyDescent="0.3">
      <c r="A581" s="41"/>
      <c r="B581" s="41"/>
      <c r="C581" s="41"/>
      <c r="D581" s="41"/>
      <c r="E581" s="41"/>
      <c r="F581" s="41"/>
      <c r="G581" s="64"/>
      <c r="H581" s="64"/>
      <c r="I581" s="56">
        <f>NBW_prem_2SGA_1</f>
        <v>0</v>
      </c>
      <c r="J581" s="64"/>
      <c r="K581" s="64"/>
      <c r="L581" s="64"/>
      <c r="M581" s="64"/>
      <c r="N581" s="64"/>
      <c r="O581" s="54" t="s">
        <v>161</v>
      </c>
      <c r="P581" s="64"/>
      <c r="Q581" s="57">
        <f>c_cog+c_hosp_fu+c_CSG</f>
        <v>15766</v>
      </c>
      <c r="R581" s="57"/>
      <c r="S581" s="129"/>
      <c r="T581" s="105"/>
      <c r="U581" s="133"/>
      <c r="V581" s="133"/>
      <c r="W581" s="133"/>
      <c r="X581" s="133"/>
      <c r="Y581" s="133"/>
      <c r="Z581" s="134"/>
      <c r="AA581" s="6"/>
      <c r="AO581">
        <v>0</v>
      </c>
      <c r="AU581" t="s">
        <v>161</v>
      </c>
      <c r="AW581">
        <v>4840</v>
      </c>
      <c r="BF581" s="41">
        <f t="shared" si="45"/>
        <v>0</v>
      </c>
      <c r="BG581" s="41">
        <f t="shared" si="46"/>
        <v>0</v>
      </c>
      <c r="BH581" s="41">
        <f t="shared" si="47"/>
        <v>0</v>
      </c>
      <c r="BI581" s="41">
        <f t="shared" si="48"/>
        <v>0</v>
      </c>
      <c r="BJ581" s="41">
        <f t="shared" si="49"/>
        <v>0</v>
      </c>
      <c r="BK581" s="41">
        <f t="shared" si="50"/>
        <v>0</v>
      </c>
      <c r="BL581" s="41">
        <f t="shared" si="51"/>
        <v>0</v>
      </c>
      <c r="BM581" s="41">
        <f t="shared" si="52"/>
        <v>0</v>
      </c>
      <c r="BN581" s="41">
        <f t="shared" si="53"/>
        <v>0</v>
      </c>
      <c r="BO581" s="41">
        <f t="shared" si="54"/>
        <v>0</v>
      </c>
      <c r="BP581" s="41">
        <f t="shared" si="55"/>
        <v>0</v>
      </c>
      <c r="BQ581" s="41">
        <f t="shared" si="56"/>
        <v>0</v>
      </c>
      <c r="BR581" s="41">
        <f t="shared" si="57"/>
        <v>0</v>
      </c>
      <c r="BS581" s="41">
        <f t="shared" si="58"/>
        <v>0</v>
      </c>
      <c r="BT581" s="41">
        <f t="shared" si="59"/>
        <v>0</v>
      </c>
      <c r="BU581" s="41">
        <f t="shared" si="60"/>
        <v>0</v>
      </c>
      <c r="BV581" s="41">
        <f t="shared" si="61"/>
        <v>1</v>
      </c>
      <c r="BW581" s="41">
        <f t="shared" si="62"/>
        <v>0</v>
      </c>
      <c r="BX581" s="41">
        <f t="shared" si="63"/>
        <v>0</v>
      </c>
      <c r="BY581" s="41">
        <f t="shared" si="64"/>
        <v>0</v>
      </c>
      <c r="BZ581" s="41">
        <f t="shared" si="65"/>
        <v>0</v>
      </c>
      <c r="CA581" s="41" t="e">
        <f>IF(#REF!=BB581,0,1)</f>
        <v>#REF!</v>
      </c>
      <c r="CB581" s="41">
        <f t="shared" si="66"/>
        <v>0</v>
      </c>
      <c r="CC581" s="41" t="e">
        <f>IF(#REF!=BD581,0,1)</f>
        <v>#REF!</v>
      </c>
      <c r="CD581" s="41" t="e">
        <f>IF(#REF!=BE581,0,1)</f>
        <v>#REF!</v>
      </c>
      <c r="CE581" s="41" t="e">
        <f>IF(#REF!=BF581,0,1)</f>
        <v>#REF!</v>
      </c>
      <c r="CF581" s="41">
        <f t="shared" si="67"/>
        <v>0</v>
      </c>
      <c r="CG581" s="41">
        <f t="shared" si="68"/>
        <v>0</v>
      </c>
      <c r="CH581" s="41">
        <f t="shared" si="69"/>
        <v>0</v>
      </c>
      <c r="CI581" s="41">
        <f t="shared" si="70"/>
        <v>0</v>
      </c>
      <c r="CJ581" s="41">
        <f t="shared" si="71"/>
        <v>0</v>
      </c>
      <c r="CK581" s="41">
        <f t="shared" si="72"/>
        <v>0</v>
      </c>
      <c r="CL581" s="41">
        <f t="shared" si="73"/>
        <v>0</v>
      </c>
    </row>
    <row r="582" spans="1:90" x14ac:dyDescent="0.3">
      <c r="A582" s="41"/>
      <c r="B582" s="41"/>
      <c r="C582" s="41"/>
      <c r="D582" s="41"/>
      <c r="E582" s="41"/>
      <c r="F582" s="41"/>
      <c r="G582" s="64"/>
      <c r="H582" s="64"/>
      <c r="I582" s="57"/>
      <c r="J582" s="64"/>
      <c r="K582" s="64"/>
      <c r="L582" s="64"/>
      <c r="M582" s="64"/>
      <c r="N582" s="64"/>
      <c r="O582" s="56">
        <f>SGA_prem_2hypoglycaemia_1</f>
        <v>0.2155</v>
      </c>
      <c r="P582" s="64"/>
      <c r="Q582" s="54" t="s">
        <v>369</v>
      </c>
      <c r="R582" s="54"/>
      <c r="S582" s="129"/>
      <c r="T582" s="105"/>
      <c r="U582" s="133">
        <f>$K$592*$I$581*$G$602*$E$531*$C$600*$A$555*$M$587*$O$582*Q583</f>
        <v>0</v>
      </c>
      <c r="V582" s="133"/>
      <c r="W582" s="134">
        <f>$K$593+$I$582+$G$603+$E$532+$C$601+$A$556+$M$588+$O$583+Q584</f>
        <v>97857.163158713738</v>
      </c>
      <c r="X582" s="133">
        <f>u_ChronicResp+u_CongnitiveImpairement</f>
        <v>17.805052694763283</v>
      </c>
      <c r="Y582" s="133"/>
      <c r="Z582" s="134">
        <f>U582*W582</f>
        <v>0</v>
      </c>
      <c r="AA582" s="6">
        <f>U582*X582</f>
        <v>0</v>
      </c>
      <c r="AU582">
        <v>0.2155</v>
      </c>
      <c r="AW582" t="s">
        <v>369</v>
      </c>
      <c r="AZ582">
        <v>0</v>
      </c>
      <c r="BF582" s="41">
        <f t="shared" si="45"/>
        <v>0</v>
      </c>
      <c r="BG582" s="41">
        <f t="shared" si="46"/>
        <v>0</v>
      </c>
      <c r="BH582" s="41">
        <f t="shared" si="47"/>
        <v>0</v>
      </c>
      <c r="BI582" s="41">
        <f t="shared" si="48"/>
        <v>0</v>
      </c>
      <c r="BJ582" s="41">
        <f t="shared" si="49"/>
        <v>0</v>
      </c>
      <c r="BK582" s="41">
        <f t="shared" si="50"/>
        <v>0</v>
      </c>
      <c r="BL582" s="41">
        <f t="shared" si="51"/>
        <v>0</v>
      </c>
      <c r="BM582" s="41">
        <f t="shared" si="52"/>
        <v>0</v>
      </c>
      <c r="BN582" s="41">
        <f t="shared" si="53"/>
        <v>0</v>
      </c>
      <c r="BO582" s="41">
        <f t="shared" si="54"/>
        <v>0</v>
      </c>
      <c r="BP582" s="41">
        <f t="shared" si="55"/>
        <v>0</v>
      </c>
      <c r="BQ582" s="41">
        <f t="shared" si="56"/>
        <v>0</v>
      </c>
      <c r="BR582" s="41">
        <f t="shared" si="57"/>
        <v>0</v>
      </c>
      <c r="BS582" s="41">
        <f t="shared" si="58"/>
        <v>0</v>
      </c>
      <c r="BT582" s="41">
        <f t="shared" si="59"/>
        <v>0</v>
      </c>
      <c r="BU582" s="41">
        <f t="shared" si="60"/>
        <v>0</v>
      </c>
      <c r="BV582" s="41">
        <f t="shared" si="61"/>
        <v>0</v>
      </c>
      <c r="BW582" s="41">
        <f t="shared" si="62"/>
        <v>0</v>
      </c>
      <c r="BX582" s="41">
        <f t="shared" si="63"/>
        <v>0</v>
      </c>
      <c r="BY582" s="41">
        <f t="shared" si="64"/>
        <v>0</v>
      </c>
      <c r="BZ582" s="41">
        <f t="shared" si="65"/>
        <v>0</v>
      </c>
      <c r="CA582" s="41" t="e">
        <f>IF(#REF!=BB582,0,1)</f>
        <v>#REF!</v>
      </c>
      <c r="CB582" s="41">
        <f t="shared" si="66"/>
        <v>1</v>
      </c>
      <c r="CC582" s="41" t="e">
        <f>IF(#REF!=BD582,0,1)</f>
        <v>#REF!</v>
      </c>
      <c r="CD582" s="41" t="e">
        <f>IF(#REF!=BE582,0,1)</f>
        <v>#REF!</v>
      </c>
      <c r="CE582" s="41" t="e">
        <f>IF(#REF!=BF582,0,1)</f>
        <v>#REF!</v>
      </c>
      <c r="CF582" s="41">
        <f t="shared" si="67"/>
        <v>1</v>
      </c>
      <c r="CG582" s="41">
        <f t="shared" si="68"/>
        <v>0</v>
      </c>
      <c r="CH582" s="41">
        <f t="shared" si="69"/>
        <v>0</v>
      </c>
      <c r="CI582" s="41">
        <f t="shared" si="70"/>
        <v>0</v>
      </c>
      <c r="CJ582" s="41">
        <f t="shared" si="71"/>
        <v>0</v>
      </c>
      <c r="CK582" s="41">
        <f t="shared" si="72"/>
        <v>0</v>
      </c>
      <c r="CL582" s="41">
        <f t="shared" si="73"/>
        <v>0</v>
      </c>
    </row>
    <row r="583" spans="1:90" x14ac:dyDescent="0.3">
      <c r="A583" s="41"/>
      <c r="B583" s="41"/>
      <c r="C583" s="41"/>
      <c r="D583" s="41"/>
      <c r="E583" s="41"/>
      <c r="F583" s="41"/>
      <c r="G583" s="64"/>
      <c r="H583" s="64"/>
      <c r="I583" s="64"/>
      <c r="J583" s="64"/>
      <c r="K583" s="64"/>
      <c r="L583" s="64"/>
      <c r="M583" s="64"/>
      <c r="N583" s="64"/>
      <c r="O583" s="57">
        <f>c_hypo</f>
        <v>2936.2604000000001</v>
      </c>
      <c r="P583" s="64"/>
      <c r="Q583" s="56">
        <f>Hypo2CI_2*RDS2CLD_2</f>
        <v>1.8531333333333334E-2</v>
      </c>
      <c r="R583" s="56"/>
      <c r="S583" s="129"/>
      <c r="T583" s="105"/>
      <c r="U583" s="133"/>
      <c r="V583" s="133">
        <v>0</v>
      </c>
      <c r="W583" s="133"/>
      <c r="X583" s="133"/>
      <c r="Y583" s="133"/>
      <c r="Z583" s="134"/>
      <c r="AA583" s="6"/>
      <c r="AU583">
        <v>2728.1</v>
      </c>
      <c r="AW583">
        <v>1.8531333333333334E-2</v>
      </c>
      <c r="BF583" s="41">
        <f t="shared" si="45"/>
        <v>0</v>
      </c>
      <c r="BG583" s="41">
        <f t="shared" si="46"/>
        <v>0</v>
      </c>
      <c r="BH583" s="41">
        <f t="shared" si="47"/>
        <v>0</v>
      </c>
      <c r="BI583" s="41">
        <f t="shared" si="48"/>
        <v>0</v>
      </c>
      <c r="BJ583" s="41">
        <f t="shared" si="49"/>
        <v>0</v>
      </c>
      <c r="BK583" s="41">
        <f t="shared" si="50"/>
        <v>0</v>
      </c>
      <c r="BL583" s="41">
        <f t="shared" si="51"/>
        <v>0</v>
      </c>
      <c r="BM583" s="41">
        <f t="shared" si="52"/>
        <v>0</v>
      </c>
      <c r="BN583" s="41">
        <f t="shared" si="53"/>
        <v>0</v>
      </c>
      <c r="BO583" s="41">
        <f t="shared" si="54"/>
        <v>0</v>
      </c>
      <c r="BP583" s="41">
        <f t="shared" si="55"/>
        <v>0</v>
      </c>
      <c r="BQ583" s="41">
        <f t="shared" si="56"/>
        <v>0</v>
      </c>
      <c r="BR583" s="41">
        <f t="shared" si="57"/>
        <v>0</v>
      </c>
      <c r="BS583" s="41">
        <f t="shared" si="58"/>
        <v>0</v>
      </c>
      <c r="BT583" s="41">
        <f t="shared" si="59"/>
        <v>1</v>
      </c>
      <c r="BU583" s="41">
        <f t="shared" si="60"/>
        <v>0</v>
      </c>
      <c r="BV583" s="41">
        <f t="shared" si="61"/>
        <v>0</v>
      </c>
      <c r="BW583" s="41">
        <f t="shared" si="62"/>
        <v>0</v>
      </c>
      <c r="BX583" s="41">
        <f t="shared" si="63"/>
        <v>0</v>
      </c>
      <c r="BY583" s="41">
        <f t="shared" si="64"/>
        <v>0</v>
      </c>
      <c r="BZ583" s="41">
        <f t="shared" si="65"/>
        <v>0</v>
      </c>
      <c r="CA583" s="41" t="e">
        <f>IF(#REF!=BB583,0,1)</f>
        <v>#REF!</v>
      </c>
      <c r="CB583" s="41">
        <f t="shared" si="66"/>
        <v>0</v>
      </c>
      <c r="CC583" s="41" t="e">
        <f>IF(#REF!=BD583,0,1)</f>
        <v>#REF!</v>
      </c>
      <c r="CD583" s="41" t="e">
        <f>IF(#REF!=BE583,0,1)</f>
        <v>#REF!</v>
      </c>
      <c r="CE583" s="41" t="e">
        <f>IF(#REF!=BF583,0,1)</f>
        <v>#REF!</v>
      </c>
      <c r="CF583" s="41">
        <f t="shared" si="67"/>
        <v>0</v>
      </c>
      <c r="CG583" s="41">
        <f t="shared" si="68"/>
        <v>0</v>
      </c>
      <c r="CH583" s="41">
        <f t="shared" si="69"/>
        <v>0</v>
      </c>
      <c r="CI583" s="41">
        <f t="shared" si="70"/>
        <v>0</v>
      </c>
      <c r="CJ583" s="41">
        <f t="shared" si="71"/>
        <v>0</v>
      </c>
      <c r="CK583" s="41">
        <f t="shared" si="72"/>
        <v>0</v>
      </c>
      <c r="CL583" s="41">
        <f t="shared" si="73"/>
        <v>0</v>
      </c>
    </row>
    <row r="584" spans="1:90" x14ac:dyDescent="0.3">
      <c r="A584" s="41"/>
      <c r="B584" s="41"/>
      <c r="C584" s="41"/>
      <c r="D584" s="41"/>
      <c r="E584" s="41"/>
      <c r="F584" s="41"/>
      <c r="G584" s="64"/>
      <c r="H584" s="64"/>
      <c r="I584" s="64"/>
      <c r="J584" s="64"/>
      <c r="K584" s="64"/>
      <c r="L584" s="64"/>
      <c r="M584" s="65"/>
      <c r="N584" s="64"/>
      <c r="O584" s="53"/>
      <c r="P584" s="64"/>
      <c r="Q584" s="57">
        <f>c_lung+c_cog+c_hosp_fu+c_CSG</f>
        <v>58348.510902399998</v>
      </c>
      <c r="R584" s="57"/>
      <c r="S584" s="129"/>
      <c r="T584" s="105"/>
      <c r="U584" s="133"/>
      <c r="V584" s="133"/>
      <c r="W584" s="133"/>
      <c r="X584" s="133"/>
      <c r="Y584" s="133"/>
      <c r="Z584" s="134"/>
      <c r="AA584" s="6"/>
      <c r="AW584">
        <v>45990.200000000004</v>
      </c>
      <c r="BF584" s="41">
        <f t="shared" si="45"/>
        <v>0</v>
      </c>
      <c r="BG584" s="41">
        <f t="shared" si="46"/>
        <v>0</v>
      </c>
      <c r="BH584" s="41">
        <f t="shared" si="47"/>
        <v>0</v>
      </c>
      <c r="BI584" s="41">
        <f t="shared" si="48"/>
        <v>0</v>
      </c>
      <c r="BJ584" s="41">
        <f t="shared" si="49"/>
        <v>0</v>
      </c>
      <c r="BK584" s="41">
        <f t="shared" si="50"/>
        <v>0</v>
      </c>
      <c r="BL584" s="41">
        <f t="shared" si="51"/>
        <v>0</v>
      </c>
      <c r="BM584" s="41">
        <f t="shared" si="52"/>
        <v>0</v>
      </c>
      <c r="BN584" s="41">
        <f t="shared" si="53"/>
        <v>0</v>
      </c>
      <c r="BO584" s="41">
        <f t="shared" si="54"/>
        <v>0</v>
      </c>
      <c r="BP584" s="41">
        <f t="shared" si="55"/>
        <v>0</v>
      </c>
      <c r="BQ584" s="41">
        <f t="shared" si="56"/>
        <v>0</v>
      </c>
      <c r="BR584" s="41">
        <f t="shared" si="57"/>
        <v>0</v>
      </c>
      <c r="BS584" s="41">
        <f t="shared" si="58"/>
        <v>0</v>
      </c>
      <c r="BT584" s="41">
        <f t="shared" si="59"/>
        <v>0</v>
      </c>
      <c r="BU584" s="41">
        <f t="shared" si="60"/>
        <v>0</v>
      </c>
      <c r="BV584" s="41">
        <f t="shared" si="61"/>
        <v>1</v>
      </c>
      <c r="BW584" s="41">
        <f t="shared" si="62"/>
        <v>0</v>
      </c>
      <c r="BX584" s="41">
        <f t="shared" si="63"/>
        <v>0</v>
      </c>
      <c r="BY584" s="41">
        <f t="shared" si="64"/>
        <v>0</v>
      </c>
      <c r="BZ584" s="41">
        <f t="shared" si="65"/>
        <v>0</v>
      </c>
      <c r="CA584" s="41" t="e">
        <f>IF(#REF!=BB584,0,1)</f>
        <v>#REF!</v>
      </c>
      <c r="CB584" s="41">
        <f t="shared" si="66"/>
        <v>0</v>
      </c>
      <c r="CC584" s="41" t="e">
        <f>IF(#REF!=BD584,0,1)</f>
        <v>#REF!</v>
      </c>
      <c r="CD584" s="41" t="e">
        <f>IF(#REF!=BE584,0,1)</f>
        <v>#REF!</v>
      </c>
      <c r="CE584" s="41" t="e">
        <f>IF(#REF!=BF584,0,1)</f>
        <v>#REF!</v>
      </c>
      <c r="CF584" s="41">
        <f t="shared" si="67"/>
        <v>0</v>
      </c>
      <c r="CG584" s="41">
        <f t="shared" si="68"/>
        <v>0</v>
      </c>
      <c r="CH584" s="41">
        <f t="shared" si="69"/>
        <v>0</v>
      </c>
      <c r="CI584" s="41">
        <f t="shared" si="70"/>
        <v>0</v>
      </c>
      <c r="CJ584" s="41">
        <f t="shared" si="71"/>
        <v>0</v>
      </c>
      <c r="CK584" s="41">
        <f t="shared" si="72"/>
        <v>0</v>
      </c>
      <c r="CL584" s="41">
        <f t="shared" si="73"/>
        <v>0</v>
      </c>
    </row>
    <row r="585" spans="1:90" x14ac:dyDescent="0.3">
      <c r="A585" s="41"/>
      <c r="B585" s="41"/>
      <c r="C585" s="41"/>
      <c r="D585" s="41"/>
      <c r="E585" s="41"/>
      <c r="F585" s="41"/>
      <c r="G585" s="41"/>
      <c r="H585" s="44"/>
      <c r="I585" s="64"/>
      <c r="J585" s="64"/>
      <c r="K585" s="64"/>
      <c r="L585" s="64"/>
      <c r="M585" s="64"/>
      <c r="N585" s="64"/>
      <c r="O585" s="64"/>
      <c r="P585" s="64"/>
      <c r="Q585" s="54" t="s">
        <v>370</v>
      </c>
      <c r="R585" s="54"/>
      <c r="S585" s="129"/>
      <c r="T585" s="105"/>
      <c r="U585" s="133">
        <f>$K$592*$I$581*$G$602*$E$531*$C$600*$A$555*$M$587*$O$582*Q586</f>
        <v>0</v>
      </c>
      <c r="V585" s="133"/>
      <c r="W585" s="134">
        <f>$K$593+$I$582+$G$603+$E$532+$C$601+$A$556+$M$588+$O$583+Q587</f>
        <v>53911.652256313741</v>
      </c>
      <c r="X585" s="133">
        <f>u_Healthy</f>
        <v>0</v>
      </c>
      <c r="Y585" s="133"/>
      <c r="Z585" s="134">
        <f>U585*W585</f>
        <v>0</v>
      </c>
      <c r="AA585" s="6">
        <f>U585*X585</f>
        <v>0</v>
      </c>
      <c r="AW585" t="s">
        <v>370</v>
      </c>
      <c r="AZ585">
        <v>0</v>
      </c>
      <c r="BF585" s="41">
        <f t="shared" si="45"/>
        <v>0</v>
      </c>
      <c r="BG585" s="41">
        <f t="shared" si="46"/>
        <v>0</v>
      </c>
      <c r="BH585" s="41">
        <f t="shared" si="47"/>
        <v>0</v>
      </c>
      <c r="BI585" s="41">
        <f t="shared" si="48"/>
        <v>0</v>
      </c>
      <c r="BJ585" s="41">
        <f t="shared" si="49"/>
        <v>0</v>
      </c>
      <c r="BK585" s="41">
        <f t="shared" si="50"/>
        <v>0</v>
      </c>
      <c r="BL585" s="41">
        <f t="shared" si="51"/>
        <v>0</v>
      </c>
      <c r="BM585" s="41">
        <f t="shared" si="52"/>
        <v>0</v>
      </c>
      <c r="BN585" s="41">
        <f t="shared" si="53"/>
        <v>0</v>
      </c>
      <c r="BO585" s="41">
        <f t="shared" si="54"/>
        <v>0</v>
      </c>
      <c r="BP585" s="41">
        <f t="shared" si="55"/>
        <v>0</v>
      </c>
      <c r="BQ585" s="41">
        <f t="shared" si="56"/>
        <v>0</v>
      </c>
      <c r="BR585" s="41">
        <f t="shared" si="57"/>
        <v>0</v>
      </c>
      <c r="BS585" s="41">
        <f t="shared" si="58"/>
        <v>0</v>
      </c>
      <c r="BT585" s="41">
        <f t="shared" si="59"/>
        <v>0</v>
      </c>
      <c r="BU585" s="41">
        <f t="shared" si="60"/>
        <v>0</v>
      </c>
      <c r="BV585" s="41">
        <f t="shared" si="61"/>
        <v>0</v>
      </c>
      <c r="BW585" s="41">
        <f t="shared" si="62"/>
        <v>0</v>
      </c>
      <c r="BX585" s="41">
        <f t="shared" si="63"/>
        <v>0</v>
      </c>
      <c r="BY585" s="41">
        <f t="shared" si="64"/>
        <v>0</v>
      </c>
      <c r="BZ585" s="41">
        <f t="shared" si="65"/>
        <v>0</v>
      </c>
      <c r="CA585" s="41" t="e">
        <f>IF(#REF!=BB585,0,1)</f>
        <v>#REF!</v>
      </c>
      <c r="CB585" s="41">
        <f t="shared" si="66"/>
        <v>1</v>
      </c>
      <c r="CC585" s="41" t="e">
        <f>IF(#REF!=BD585,0,1)</f>
        <v>#REF!</v>
      </c>
      <c r="CD585" s="41" t="e">
        <f>IF(#REF!=BE585,0,1)</f>
        <v>#REF!</v>
      </c>
      <c r="CE585" s="41" t="e">
        <f>IF(#REF!=BF585,0,1)</f>
        <v>#REF!</v>
      </c>
      <c r="CF585" s="41">
        <f t="shared" si="67"/>
        <v>0</v>
      </c>
      <c r="CG585" s="41">
        <f t="shared" si="68"/>
        <v>0</v>
      </c>
      <c r="CH585" s="41">
        <f t="shared" si="69"/>
        <v>0</v>
      </c>
      <c r="CI585" s="41">
        <f t="shared" si="70"/>
        <v>0</v>
      </c>
      <c r="CJ585" s="41">
        <f t="shared" si="71"/>
        <v>0</v>
      </c>
      <c r="CK585" s="41">
        <f t="shared" si="72"/>
        <v>0</v>
      </c>
      <c r="CL585" s="41">
        <f t="shared" si="73"/>
        <v>0</v>
      </c>
    </row>
    <row r="586" spans="1:90" x14ac:dyDescent="0.3">
      <c r="A586" s="41"/>
      <c r="B586" s="41"/>
      <c r="C586" s="41"/>
      <c r="D586" s="41"/>
      <c r="E586" s="41"/>
      <c r="F586" s="41"/>
      <c r="G586" s="64"/>
      <c r="H586" s="64"/>
      <c r="I586" s="64"/>
      <c r="J586" s="64"/>
      <c r="K586" s="64"/>
      <c r="L586" s="64"/>
      <c r="M586" s="54" t="s">
        <v>9</v>
      </c>
      <c r="N586" s="64"/>
      <c r="O586" s="64"/>
      <c r="P586" s="64"/>
      <c r="Q586" s="56">
        <f>1-Q577-Q580-Q583</f>
        <v>0.60619800000000001</v>
      </c>
      <c r="R586" s="56"/>
      <c r="S586" s="129"/>
      <c r="T586" s="105"/>
      <c r="U586" s="133"/>
      <c r="V586" s="133">
        <v>0</v>
      </c>
      <c r="W586" s="133"/>
      <c r="X586" s="133"/>
      <c r="Y586" s="133"/>
      <c r="Z586" s="134"/>
      <c r="AA586" s="6"/>
      <c r="AS586" t="s">
        <v>9</v>
      </c>
      <c r="AW586">
        <v>0.60619800000000001</v>
      </c>
      <c r="BF586" s="41">
        <f t="shared" si="45"/>
        <v>0</v>
      </c>
      <c r="BG586" s="41">
        <f t="shared" si="46"/>
        <v>0</v>
      </c>
      <c r="BH586" s="41">
        <f t="shared" si="47"/>
        <v>0</v>
      </c>
      <c r="BI586" s="41">
        <f t="shared" si="48"/>
        <v>0</v>
      </c>
      <c r="BJ586" s="41">
        <f t="shared" si="49"/>
        <v>0</v>
      </c>
      <c r="BK586" s="41">
        <f t="shared" si="50"/>
        <v>0</v>
      </c>
      <c r="BL586" s="41">
        <f t="shared" si="51"/>
        <v>0</v>
      </c>
      <c r="BM586" s="41">
        <f t="shared" si="52"/>
        <v>0</v>
      </c>
      <c r="BN586" s="41">
        <f t="shared" si="53"/>
        <v>0</v>
      </c>
      <c r="BO586" s="41">
        <f t="shared" si="54"/>
        <v>0</v>
      </c>
      <c r="BP586" s="41">
        <f t="shared" si="55"/>
        <v>0</v>
      </c>
      <c r="BQ586" s="41">
        <f t="shared" si="56"/>
        <v>0</v>
      </c>
      <c r="BR586" s="41">
        <f t="shared" si="57"/>
        <v>0</v>
      </c>
      <c r="BS586" s="41">
        <f t="shared" si="58"/>
        <v>0</v>
      </c>
      <c r="BT586" s="41">
        <f t="shared" si="59"/>
        <v>0</v>
      </c>
      <c r="BU586" s="41">
        <f t="shared" si="60"/>
        <v>0</v>
      </c>
      <c r="BV586" s="41">
        <f t="shared" si="61"/>
        <v>0</v>
      </c>
      <c r="BW586" s="41">
        <f t="shared" si="62"/>
        <v>0</v>
      </c>
      <c r="BX586" s="41">
        <f t="shared" si="63"/>
        <v>0</v>
      </c>
      <c r="BY586" s="41">
        <f t="shared" si="64"/>
        <v>0</v>
      </c>
      <c r="BZ586" s="41">
        <f t="shared" si="65"/>
        <v>0</v>
      </c>
      <c r="CA586" s="41" t="e">
        <f>IF(#REF!=BB586,0,1)</f>
        <v>#REF!</v>
      </c>
      <c r="CB586" s="41">
        <f t="shared" si="66"/>
        <v>0</v>
      </c>
      <c r="CC586" s="41" t="e">
        <f>IF(#REF!=BD586,0,1)</f>
        <v>#REF!</v>
      </c>
      <c r="CD586" s="41" t="e">
        <f>IF(#REF!=BE586,0,1)</f>
        <v>#REF!</v>
      </c>
      <c r="CE586" s="41" t="e">
        <f>IF(#REF!=BF586,0,1)</f>
        <v>#REF!</v>
      </c>
      <c r="CF586" s="41">
        <f t="shared" si="67"/>
        <v>0</v>
      </c>
      <c r="CG586" s="41">
        <f t="shared" si="68"/>
        <v>0</v>
      </c>
      <c r="CH586" s="41">
        <f t="shared" si="69"/>
        <v>0</v>
      </c>
      <c r="CI586" s="41">
        <f t="shared" si="70"/>
        <v>0</v>
      </c>
      <c r="CJ586" s="41">
        <f t="shared" si="71"/>
        <v>0</v>
      </c>
      <c r="CK586" s="41">
        <f t="shared" si="72"/>
        <v>0</v>
      </c>
      <c r="CL586" s="41">
        <f t="shared" si="73"/>
        <v>0</v>
      </c>
    </row>
    <row r="587" spans="1:90" x14ac:dyDescent="0.3">
      <c r="A587" s="41"/>
      <c r="B587" s="41"/>
      <c r="C587" s="41"/>
      <c r="D587" s="41"/>
      <c r="E587" s="41"/>
      <c r="F587" s="41"/>
      <c r="G587" s="64"/>
      <c r="H587" s="64"/>
      <c r="I587" s="64"/>
      <c r="J587" s="64"/>
      <c r="K587" s="65"/>
      <c r="L587" s="64"/>
      <c r="M587" s="56">
        <f>S_prem_2RDS_1</f>
        <v>0.45</v>
      </c>
      <c r="N587" s="64"/>
      <c r="O587" s="64"/>
      <c r="P587" s="64"/>
      <c r="Q587" s="57">
        <f>c_clinic_fu+c_CSG</f>
        <v>14403</v>
      </c>
      <c r="R587" s="57"/>
      <c r="S587" s="129"/>
      <c r="T587" s="105"/>
      <c r="U587" s="133"/>
      <c r="V587" s="133"/>
      <c r="W587" s="133"/>
      <c r="X587" s="133"/>
      <c r="Y587" s="133"/>
      <c r="Z587" s="134"/>
      <c r="AA587" s="6"/>
      <c r="AS587">
        <v>0.45</v>
      </c>
      <c r="AW587">
        <v>3230</v>
      </c>
      <c r="BF587" s="41">
        <f t="shared" si="45"/>
        <v>0</v>
      </c>
      <c r="BG587" s="41">
        <f t="shared" si="46"/>
        <v>0</v>
      </c>
      <c r="BH587" s="41">
        <f t="shared" si="47"/>
        <v>0</v>
      </c>
      <c r="BI587" s="41">
        <f t="shared" si="48"/>
        <v>0</v>
      </c>
      <c r="BJ587" s="41">
        <f t="shared" si="49"/>
        <v>0</v>
      </c>
      <c r="BK587" s="41">
        <f t="shared" si="50"/>
        <v>0</v>
      </c>
      <c r="BL587" s="41">
        <f t="shared" si="51"/>
        <v>0</v>
      </c>
      <c r="BM587" s="41">
        <f t="shared" si="52"/>
        <v>0</v>
      </c>
      <c r="BN587" s="41">
        <f t="shared" si="53"/>
        <v>0</v>
      </c>
      <c r="BO587" s="41">
        <f t="shared" si="54"/>
        <v>0</v>
      </c>
      <c r="BP587" s="41">
        <f t="shared" si="55"/>
        <v>0</v>
      </c>
      <c r="BQ587" s="41">
        <f t="shared" si="56"/>
        <v>0</v>
      </c>
      <c r="BR587" s="41">
        <f t="shared" si="57"/>
        <v>0</v>
      </c>
      <c r="BS587" s="41">
        <f t="shared" si="58"/>
        <v>0</v>
      </c>
      <c r="BT587" s="41">
        <f t="shared" si="59"/>
        <v>0</v>
      </c>
      <c r="BU587" s="41">
        <f t="shared" si="60"/>
        <v>0</v>
      </c>
      <c r="BV587" s="41">
        <f t="shared" si="61"/>
        <v>1</v>
      </c>
      <c r="BW587" s="41">
        <f t="shared" si="62"/>
        <v>0</v>
      </c>
      <c r="BX587" s="41">
        <f t="shared" si="63"/>
        <v>0</v>
      </c>
      <c r="BY587" s="41">
        <f t="shared" si="64"/>
        <v>0</v>
      </c>
      <c r="BZ587" s="41">
        <f t="shared" si="65"/>
        <v>0</v>
      </c>
      <c r="CA587" s="41" t="e">
        <f>IF(#REF!=BB587,0,1)</f>
        <v>#REF!</v>
      </c>
      <c r="CB587" s="41">
        <f t="shared" si="66"/>
        <v>0</v>
      </c>
      <c r="CC587" s="41" t="e">
        <f>IF(#REF!=BD587,0,1)</f>
        <v>#REF!</v>
      </c>
      <c r="CD587" s="41" t="e">
        <f>IF(#REF!=BE587,0,1)</f>
        <v>#REF!</v>
      </c>
      <c r="CE587" s="41" t="e">
        <f>IF(#REF!=BF587,0,1)</f>
        <v>#REF!</v>
      </c>
      <c r="CF587" s="41">
        <f t="shared" si="67"/>
        <v>0</v>
      </c>
      <c r="CG587" s="41">
        <f t="shared" si="68"/>
        <v>0</v>
      </c>
      <c r="CH587" s="41">
        <f t="shared" si="69"/>
        <v>0</v>
      </c>
      <c r="CI587" s="41">
        <f t="shared" si="70"/>
        <v>0</v>
      </c>
      <c r="CJ587" s="41">
        <f t="shared" si="71"/>
        <v>0</v>
      </c>
      <c r="CK587" s="41">
        <f t="shared" si="72"/>
        <v>0</v>
      </c>
      <c r="CL587" s="41">
        <f t="shared" si="73"/>
        <v>0</v>
      </c>
    </row>
    <row r="588" spans="1:90" x14ac:dyDescent="0.3">
      <c r="A588" s="41"/>
      <c r="B588" s="41"/>
      <c r="C588" s="41"/>
      <c r="D588" s="41"/>
      <c r="E588" s="41"/>
      <c r="F588" s="41"/>
      <c r="G588" s="64"/>
      <c r="H588" s="64"/>
      <c r="I588" s="64"/>
      <c r="J588" s="64"/>
      <c r="K588" s="65"/>
      <c r="L588" s="64"/>
      <c r="M588" s="57">
        <f>c_RDS</f>
        <v>30595.610148205637</v>
      </c>
      <c r="N588" s="64"/>
      <c r="O588" s="64"/>
      <c r="P588" s="64"/>
      <c r="Q588" s="65"/>
      <c r="R588" s="65"/>
      <c r="S588" s="129"/>
      <c r="T588" s="105"/>
      <c r="U588" s="133"/>
      <c r="V588" s="133"/>
      <c r="W588" s="133"/>
      <c r="X588" s="133"/>
      <c r="Y588" s="133"/>
      <c r="Z588" s="134"/>
      <c r="AA588" s="6"/>
      <c r="AS588">
        <v>23624</v>
      </c>
      <c r="BF588" s="41">
        <f t="shared" si="45"/>
        <v>0</v>
      </c>
      <c r="BG588" s="41">
        <f t="shared" si="46"/>
        <v>0</v>
      </c>
      <c r="BH588" s="41">
        <f t="shared" si="47"/>
        <v>0</v>
      </c>
      <c r="BI588" s="41">
        <f t="shared" si="48"/>
        <v>0</v>
      </c>
      <c r="BJ588" s="41">
        <f t="shared" si="49"/>
        <v>0</v>
      </c>
      <c r="BK588" s="41">
        <f t="shared" si="50"/>
        <v>0</v>
      </c>
      <c r="BL588" s="41">
        <f t="shared" si="51"/>
        <v>0</v>
      </c>
      <c r="BM588" s="41">
        <f t="shared" si="52"/>
        <v>0</v>
      </c>
      <c r="BN588" s="41">
        <f t="shared" si="53"/>
        <v>0</v>
      </c>
      <c r="BO588" s="41">
        <f t="shared" si="54"/>
        <v>0</v>
      </c>
      <c r="BP588" s="41">
        <f t="shared" si="55"/>
        <v>0</v>
      </c>
      <c r="BQ588" s="41">
        <f t="shared" si="56"/>
        <v>0</v>
      </c>
      <c r="BR588" s="41">
        <f t="shared" si="57"/>
        <v>1</v>
      </c>
      <c r="BS588" s="41">
        <f t="shared" si="58"/>
        <v>0</v>
      </c>
      <c r="BT588" s="41">
        <f t="shared" si="59"/>
        <v>0</v>
      </c>
      <c r="BU588" s="41">
        <f t="shared" si="60"/>
        <v>0</v>
      </c>
      <c r="BV588" s="41">
        <f t="shared" si="61"/>
        <v>0</v>
      </c>
      <c r="BW588" s="41">
        <f t="shared" si="62"/>
        <v>0</v>
      </c>
      <c r="BX588" s="41">
        <f t="shared" si="63"/>
        <v>0</v>
      </c>
      <c r="BY588" s="41">
        <f t="shared" si="64"/>
        <v>0</v>
      </c>
      <c r="BZ588" s="41">
        <f t="shared" si="65"/>
        <v>0</v>
      </c>
      <c r="CA588" s="41" t="e">
        <f>IF(#REF!=BB588,0,1)</f>
        <v>#REF!</v>
      </c>
      <c r="CB588" s="41">
        <f t="shared" si="66"/>
        <v>0</v>
      </c>
      <c r="CC588" s="41" t="e">
        <f>IF(#REF!=BD588,0,1)</f>
        <v>#REF!</v>
      </c>
      <c r="CD588" s="41" t="e">
        <f>IF(#REF!=BE588,0,1)</f>
        <v>#REF!</v>
      </c>
      <c r="CE588" s="41" t="e">
        <f>IF(#REF!=BF588,0,1)</f>
        <v>#REF!</v>
      </c>
      <c r="CF588" s="41">
        <f t="shared" si="67"/>
        <v>0</v>
      </c>
      <c r="CG588" s="41">
        <f t="shared" si="68"/>
        <v>0</v>
      </c>
      <c r="CH588" s="41">
        <f t="shared" si="69"/>
        <v>0</v>
      </c>
      <c r="CI588" s="41">
        <f t="shared" si="70"/>
        <v>0</v>
      </c>
      <c r="CJ588" s="41">
        <f t="shared" si="71"/>
        <v>0</v>
      </c>
      <c r="CK588" s="41">
        <f t="shared" si="72"/>
        <v>0</v>
      </c>
      <c r="CL588" s="41">
        <f t="shared" si="73"/>
        <v>0</v>
      </c>
    </row>
    <row r="589" spans="1:90" x14ac:dyDescent="0.3">
      <c r="A589" s="41"/>
      <c r="B589" s="41"/>
      <c r="C589" s="41"/>
      <c r="D589" s="41"/>
      <c r="E589" s="41"/>
      <c r="F589" s="41"/>
      <c r="G589" s="53"/>
      <c r="H589" s="64"/>
      <c r="I589" s="64"/>
      <c r="J589" s="64"/>
      <c r="K589" s="64"/>
      <c r="L589" s="64"/>
      <c r="M589" s="64"/>
      <c r="N589" s="64"/>
      <c r="O589" s="64"/>
      <c r="P589" s="64"/>
      <c r="Q589" s="54" t="s">
        <v>368</v>
      </c>
      <c r="R589" s="54"/>
      <c r="S589" s="129"/>
      <c r="T589" s="105"/>
      <c r="U589" s="133">
        <f>$K$592*$I$581*$G$602*$E$531*$C$600*$A$555*$M$587*$O$592*Q590</f>
        <v>0</v>
      </c>
      <c r="V589" s="133"/>
      <c r="W589" s="134">
        <f>$K$593+$I$582+$G$603+$E$532+$C$601+$A$556+$M$588+$O$593+Q591</f>
        <v>91101.902758713739</v>
      </c>
      <c r="X589" s="133">
        <f>u_ChronicResp</f>
        <v>0.53465956747782661</v>
      </c>
      <c r="Y589" s="133"/>
      <c r="Z589" s="134">
        <f>U589*W589</f>
        <v>0</v>
      </c>
      <c r="AA589" s="6">
        <f>U589*X589</f>
        <v>0</v>
      </c>
      <c r="AW589" t="s">
        <v>368</v>
      </c>
      <c r="AZ589">
        <v>0</v>
      </c>
      <c r="BF589" s="41">
        <f t="shared" si="45"/>
        <v>0</v>
      </c>
      <c r="BG589" s="41">
        <f t="shared" si="46"/>
        <v>0</v>
      </c>
      <c r="BH589" s="41">
        <f t="shared" si="47"/>
        <v>0</v>
      </c>
      <c r="BI589" s="41">
        <f t="shared" si="48"/>
        <v>0</v>
      </c>
      <c r="BJ589" s="41">
        <f t="shared" si="49"/>
        <v>0</v>
      </c>
      <c r="BK589" s="41">
        <f t="shared" si="50"/>
        <v>0</v>
      </c>
      <c r="BL589" s="41">
        <f t="shared" si="51"/>
        <v>0</v>
      </c>
      <c r="BM589" s="41">
        <f t="shared" si="52"/>
        <v>0</v>
      </c>
      <c r="BN589" s="41">
        <f t="shared" si="53"/>
        <v>0</v>
      </c>
      <c r="BO589" s="41">
        <f t="shared" si="54"/>
        <v>0</v>
      </c>
      <c r="BP589" s="41">
        <f t="shared" si="55"/>
        <v>0</v>
      </c>
      <c r="BQ589" s="41">
        <f t="shared" si="56"/>
        <v>0</v>
      </c>
      <c r="BR589" s="41">
        <f t="shared" si="57"/>
        <v>0</v>
      </c>
      <c r="BS589" s="41">
        <f t="shared" si="58"/>
        <v>0</v>
      </c>
      <c r="BT589" s="41">
        <f t="shared" si="59"/>
        <v>0</v>
      </c>
      <c r="BU589" s="41">
        <f t="shared" si="60"/>
        <v>0</v>
      </c>
      <c r="BV589" s="41">
        <f t="shared" si="61"/>
        <v>0</v>
      </c>
      <c r="BW589" s="41">
        <f t="shared" si="62"/>
        <v>0</v>
      </c>
      <c r="BX589" s="41">
        <f t="shared" si="63"/>
        <v>0</v>
      </c>
      <c r="BY589" s="41">
        <f t="shared" si="64"/>
        <v>0</v>
      </c>
      <c r="BZ589" s="41">
        <f t="shared" si="65"/>
        <v>0</v>
      </c>
      <c r="CA589" s="41" t="e">
        <f>IF(#REF!=BB589,0,1)</f>
        <v>#REF!</v>
      </c>
      <c r="CB589" s="41">
        <f t="shared" si="66"/>
        <v>1</v>
      </c>
      <c r="CC589" s="41" t="e">
        <f>IF(#REF!=BD589,0,1)</f>
        <v>#REF!</v>
      </c>
      <c r="CD589" s="41" t="e">
        <f>IF(#REF!=BE589,0,1)</f>
        <v>#REF!</v>
      </c>
      <c r="CE589" s="41" t="e">
        <f>IF(#REF!=BF589,0,1)</f>
        <v>#REF!</v>
      </c>
      <c r="CF589" s="41">
        <f t="shared" si="67"/>
        <v>1</v>
      </c>
      <c r="CG589" s="41">
        <f t="shared" si="68"/>
        <v>0</v>
      </c>
      <c r="CH589" s="41">
        <f t="shared" si="69"/>
        <v>0</v>
      </c>
      <c r="CI589" s="41">
        <f t="shared" si="70"/>
        <v>0</v>
      </c>
      <c r="CJ589" s="41">
        <f t="shared" si="71"/>
        <v>0</v>
      </c>
      <c r="CK589" s="41">
        <f t="shared" si="72"/>
        <v>0</v>
      </c>
      <c r="CL589" s="41">
        <f t="shared" si="73"/>
        <v>0</v>
      </c>
    </row>
    <row r="590" spans="1:90" x14ac:dyDescent="0.3">
      <c r="A590" s="41"/>
      <c r="B590" s="41"/>
      <c r="C590" s="41"/>
      <c r="D590" s="41"/>
      <c r="E590" s="41"/>
      <c r="F590" s="41"/>
      <c r="G590" s="53"/>
      <c r="H590" s="64"/>
      <c r="I590" s="64"/>
      <c r="J590" s="64"/>
      <c r="K590" s="64"/>
      <c r="L590" s="64"/>
      <c r="M590" s="64"/>
      <c r="N590" s="64"/>
      <c r="O590" s="64"/>
      <c r="P590" s="64"/>
      <c r="Q590" s="56">
        <f>RDS2CLD_2-(RDS2CLD_2*noHypo2CI_2)</f>
        <v>0.34905610687022898</v>
      </c>
      <c r="R590" s="56"/>
      <c r="S590" s="129"/>
      <c r="T590" s="105"/>
      <c r="U590" s="133"/>
      <c r="V590" s="133">
        <v>0</v>
      </c>
      <c r="W590" s="133"/>
      <c r="X590" s="133"/>
      <c r="Y590" s="133"/>
      <c r="Z590" s="134"/>
      <c r="AA590" s="6"/>
      <c r="AW590">
        <v>0.34905610687022898</v>
      </c>
      <c r="BF590" s="41">
        <f t="shared" si="45"/>
        <v>0</v>
      </c>
      <c r="BG590" s="41">
        <f t="shared" si="46"/>
        <v>0</v>
      </c>
      <c r="BH590" s="41">
        <f t="shared" si="47"/>
        <v>0</v>
      </c>
      <c r="BI590" s="41">
        <f t="shared" si="48"/>
        <v>0</v>
      </c>
      <c r="BJ590" s="41">
        <f t="shared" si="49"/>
        <v>0</v>
      </c>
      <c r="BK590" s="41">
        <f t="shared" si="50"/>
        <v>0</v>
      </c>
      <c r="BL590" s="41">
        <f t="shared" si="51"/>
        <v>0</v>
      </c>
      <c r="BM590" s="41">
        <f t="shared" si="52"/>
        <v>0</v>
      </c>
      <c r="BN590" s="41">
        <f t="shared" si="53"/>
        <v>0</v>
      </c>
      <c r="BO590" s="41">
        <f t="shared" si="54"/>
        <v>0</v>
      </c>
      <c r="BP590" s="41">
        <f t="shared" si="55"/>
        <v>0</v>
      </c>
      <c r="BQ590" s="41">
        <f t="shared" si="56"/>
        <v>0</v>
      </c>
      <c r="BR590" s="41">
        <f t="shared" si="57"/>
        <v>0</v>
      </c>
      <c r="BS590" s="41">
        <f t="shared" si="58"/>
        <v>0</v>
      </c>
      <c r="BT590" s="41">
        <f t="shared" si="59"/>
        <v>0</v>
      </c>
      <c r="BU590" s="41">
        <f t="shared" si="60"/>
        <v>0</v>
      </c>
      <c r="BV590" s="41">
        <f t="shared" si="61"/>
        <v>0</v>
      </c>
      <c r="BW590" s="41">
        <f t="shared" si="62"/>
        <v>0</v>
      </c>
      <c r="BX590" s="41">
        <f t="shared" si="63"/>
        <v>0</v>
      </c>
      <c r="BY590" s="41">
        <f t="shared" si="64"/>
        <v>0</v>
      </c>
      <c r="BZ590" s="41">
        <f t="shared" si="65"/>
        <v>0</v>
      </c>
      <c r="CA590" s="41" t="e">
        <f>IF(#REF!=BB590,0,1)</f>
        <v>#REF!</v>
      </c>
      <c r="CB590" s="41">
        <f t="shared" si="66"/>
        <v>0</v>
      </c>
      <c r="CC590" s="41" t="e">
        <f>IF(#REF!=BD590,0,1)</f>
        <v>#REF!</v>
      </c>
      <c r="CD590" s="41" t="e">
        <f>IF(#REF!=BE590,0,1)</f>
        <v>#REF!</v>
      </c>
      <c r="CE590" s="41" t="e">
        <f>IF(#REF!=BF590,0,1)</f>
        <v>#REF!</v>
      </c>
      <c r="CF590" s="41">
        <f t="shared" si="67"/>
        <v>0</v>
      </c>
      <c r="CG590" s="41">
        <f t="shared" si="68"/>
        <v>0</v>
      </c>
      <c r="CH590" s="41">
        <f t="shared" si="69"/>
        <v>0</v>
      </c>
      <c r="CI590" s="41">
        <f t="shared" si="70"/>
        <v>0</v>
      </c>
      <c r="CJ590" s="41">
        <f t="shared" si="71"/>
        <v>0</v>
      </c>
      <c r="CK590" s="41">
        <f t="shared" si="72"/>
        <v>0</v>
      </c>
      <c r="CL590" s="41">
        <f t="shared" si="73"/>
        <v>0</v>
      </c>
    </row>
    <row r="591" spans="1:90" x14ac:dyDescent="0.3">
      <c r="A591" s="41"/>
      <c r="B591" s="41"/>
      <c r="C591" s="41"/>
      <c r="D591" s="41"/>
      <c r="E591" s="41"/>
      <c r="F591" s="41"/>
      <c r="G591" s="53"/>
      <c r="H591" s="64"/>
      <c r="I591" s="64"/>
      <c r="J591" s="64"/>
      <c r="K591" s="54" t="s">
        <v>37</v>
      </c>
      <c r="L591" s="64"/>
      <c r="M591" s="65"/>
      <c r="N591" s="64"/>
      <c r="O591" s="54" t="s">
        <v>371</v>
      </c>
      <c r="P591" s="64"/>
      <c r="Q591" s="57">
        <f>c_lung+c_hosp_fu+c_CSG</f>
        <v>54529.510902399998</v>
      </c>
      <c r="R591" s="57"/>
      <c r="S591" s="129"/>
      <c r="T591" s="105"/>
      <c r="U591" s="133"/>
      <c r="V591" s="133"/>
      <c r="W591" s="133"/>
      <c r="X591" s="133"/>
      <c r="Y591" s="133"/>
      <c r="Z591" s="134"/>
      <c r="AA591" s="6"/>
      <c r="AQ591" t="s">
        <v>37</v>
      </c>
      <c r="AU591" t="s">
        <v>371</v>
      </c>
      <c r="AW591">
        <v>42323.200000000004</v>
      </c>
      <c r="BF591" s="41">
        <f t="shared" si="45"/>
        <v>0</v>
      </c>
      <c r="BG591" s="41">
        <f t="shared" si="46"/>
        <v>0</v>
      </c>
      <c r="BH591" s="41">
        <f t="shared" si="47"/>
        <v>0</v>
      </c>
      <c r="BI591" s="41">
        <f t="shared" si="48"/>
        <v>0</v>
      </c>
      <c r="BJ591" s="41">
        <f t="shared" si="49"/>
        <v>0</v>
      </c>
      <c r="BK591" s="41">
        <f t="shared" si="50"/>
        <v>0</v>
      </c>
      <c r="BL591" s="41">
        <f t="shared" si="51"/>
        <v>0</v>
      </c>
      <c r="BM591" s="41">
        <f t="shared" si="52"/>
        <v>0</v>
      </c>
      <c r="BN591" s="41">
        <f t="shared" si="53"/>
        <v>0</v>
      </c>
      <c r="BO591" s="41">
        <f t="shared" si="54"/>
        <v>0</v>
      </c>
      <c r="BP591" s="41">
        <f t="shared" si="55"/>
        <v>0</v>
      </c>
      <c r="BQ591" s="41">
        <f t="shared" si="56"/>
        <v>0</v>
      </c>
      <c r="BR591" s="41">
        <f t="shared" si="57"/>
        <v>0</v>
      </c>
      <c r="BS591" s="41">
        <f t="shared" si="58"/>
        <v>0</v>
      </c>
      <c r="BT591" s="41">
        <f t="shared" si="59"/>
        <v>0</v>
      </c>
      <c r="BU591" s="41">
        <f t="shared" si="60"/>
        <v>0</v>
      </c>
      <c r="BV591" s="41">
        <f t="shared" si="61"/>
        <v>1</v>
      </c>
      <c r="BW591" s="41">
        <f t="shared" si="62"/>
        <v>0</v>
      </c>
      <c r="BX591" s="41">
        <f t="shared" si="63"/>
        <v>0</v>
      </c>
      <c r="BY591" s="41">
        <f t="shared" si="64"/>
        <v>0</v>
      </c>
      <c r="BZ591" s="41">
        <f t="shared" si="65"/>
        <v>0</v>
      </c>
      <c r="CA591" s="41" t="e">
        <f>IF(#REF!=BB591,0,1)</f>
        <v>#REF!</v>
      </c>
      <c r="CB591" s="41">
        <f t="shared" si="66"/>
        <v>0</v>
      </c>
      <c r="CC591" s="41" t="e">
        <f>IF(#REF!=BD591,0,1)</f>
        <v>#REF!</v>
      </c>
      <c r="CD591" s="41" t="e">
        <f>IF(#REF!=BE591,0,1)</f>
        <v>#REF!</v>
      </c>
      <c r="CE591" s="41" t="e">
        <f>IF(#REF!=BF591,0,1)</f>
        <v>#REF!</v>
      </c>
      <c r="CF591" s="41">
        <f t="shared" si="67"/>
        <v>0</v>
      </c>
      <c r="CG591" s="41">
        <f t="shared" si="68"/>
        <v>0</v>
      </c>
      <c r="CH591" s="41">
        <f t="shared" si="69"/>
        <v>0</v>
      </c>
      <c r="CI591" s="41">
        <f t="shared" si="70"/>
        <v>0</v>
      </c>
      <c r="CJ591" s="41">
        <f t="shared" si="71"/>
        <v>0</v>
      </c>
      <c r="CK591" s="41">
        <f t="shared" si="72"/>
        <v>0</v>
      </c>
      <c r="CL591" s="41">
        <f t="shared" si="73"/>
        <v>0</v>
      </c>
    </row>
    <row r="592" spans="1:90" x14ac:dyDescent="0.3">
      <c r="A592" s="41"/>
      <c r="B592" s="41"/>
      <c r="C592" s="41"/>
      <c r="D592" s="41"/>
      <c r="E592" s="41"/>
      <c r="F592" s="41"/>
      <c r="G592" s="53"/>
      <c r="H592" s="64"/>
      <c r="I592" s="64"/>
      <c r="J592" s="64"/>
      <c r="K592" s="56">
        <f>SGA_prem_2s_1</f>
        <v>0.92518066666666665</v>
      </c>
      <c r="L592" s="64"/>
      <c r="M592" s="64"/>
      <c r="N592" s="64"/>
      <c r="O592" s="56">
        <f>SGA_prem_2normoglycaemia_1</f>
        <v>0.78449999999999998</v>
      </c>
      <c r="P592" s="64"/>
      <c r="Q592" s="54" t="s">
        <v>226</v>
      </c>
      <c r="R592" s="54"/>
      <c r="S592" s="129"/>
      <c r="T592" s="105"/>
      <c r="U592" s="133">
        <f>$K$592*$I$581*$G$602*$E$531*$C$600*$A$555*$M$587*$O$592*Q593</f>
        <v>0</v>
      </c>
      <c r="V592" s="133"/>
      <c r="W592" s="134">
        <f>$K$593+$I$582+$G$603+$E$532+$C$601+$A$556+$M$588+$O$593+Q594</f>
        <v>52338.391856313741</v>
      </c>
      <c r="X592" s="133">
        <f>u_CongnitiveImpairement</f>
        <v>17.270393127285455</v>
      </c>
      <c r="Y592" s="133"/>
      <c r="Z592" s="134">
        <f>U592*W592</f>
        <v>0</v>
      </c>
      <c r="AA592" s="6">
        <f>U592*X592</f>
        <v>0</v>
      </c>
      <c r="AQ592">
        <v>0.91593333333333338</v>
      </c>
      <c r="AU592">
        <v>0.78449999999999998</v>
      </c>
      <c r="AW592" t="s">
        <v>226</v>
      </c>
      <c r="AZ592">
        <v>0</v>
      </c>
      <c r="BF592" s="41">
        <f t="shared" si="45"/>
        <v>0</v>
      </c>
      <c r="BG592" s="41">
        <f t="shared" si="46"/>
        <v>0</v>
      </c>
      <c r="BH592" s="41">
        <f t="shared" si="47"/>
        <v>0</v>
      </c>
      <c r="BI592" s="41">
        <f t="shared" si="48"/>
        <v>0</v>
      </c>
      <c r="BJ592" s="41">
        <f t="shared" si="49"/>
        <v>0</v>
      </c>
      <c r="BK592" s="41">
        <f t="shared" si="50"/>
        <v>0</v>
      </c>
      <c r="BL592" s="41">
        <f t="shared" si="51"/>
        <v>0</v>
      </c>
      <c r="BM592" s="41">
        <f t="shared" si="52"/>
        <v>0</v>
      </c>
      <c r="BN592" s="41">
        <f t="shared" si="53"/>
        <v>0</v>
      </c>
      <c r="BO592" s="41">
        <f t="shared" si="54"/>
        <v>0</v>
      </c>
      <c r="BP592" s="41">
        <f t="shared" si="55"/>
        <v>1</v>
      </c>
      <c r="BQ592" s="41">
        <f t="shared" si="56"/>
        <v>0</v>
      </c>
      <c r="BR592" s="41">
        <f t="shared" si="57"/>
        <v>0</v>
      </c>
      <c r="BS592" s="41">
        <f t="shared" si="58"/>
        <v>0</v>
      </c>
      <c r="BT592" s="41">
        <f t="shared" si="59"/>
        <v>0</v>
      </c>
      <c r="BU592" s="41">
        <f t="shared" si="60"/>
        <v>0</v>
      </c>
      <c r="BV592" s="41">
        <f t="shared" si="61"/>
        <v>0</v>
      </c>
      <c r="BW592" s="41">
        <f t="shared" si="62"/>
        <v>0</v>
      </c>
      <c r="BX592" s="41">
        <f t="shared" si="63"/>
        <v>0</v>
      </c>
      <c r="BY592" s="41">
        <f t="shared" si="64"/>
        <v>0</v>
      </c>
      <c r="BZ592" s="41">
        <f t="shared" si="65"/>
        <v>0</v>
      </c>
      <c r="CA592" s="41" t="e">
        <f>IF(#REF!=BB592,0,1)</f>
        <v>#REF!</v>
      </c>
      <c r="CB592" s="41">
        <f t="shared" si="66"/>
        <v>1</v>
      </c>
      <c r="CC592" s="41" t="e">
        <f>IF(#REF!=BD592,0,1)</f>
        <v>#REF!</v>
      </c>
      <c r="CD592" s="41" t="e">
        <f>IF(#REF!=BE592,0,1)</f>
        <v>#REF!</v>
      </c>
      <c r="CE592" s="41" t="e">
        <f>IF(#REF!=BF592,0,1)</f>
        <v>#REF!</v>
      </c>
      <c r="CF592" s="41">
        <f t="shared" si="67"/>
        <v>1</v>
      </c>
      <c r="CG592" s="41">
        <f t="shared" si="68"/>
        <v>0</v>
      </c>
      <c r="CH592" s="41">
        <f t="shared" si="69"/>
        <v>0</v>
      </c>
      <c r="CI592" s="41">
        <f t="shared" si="70"/>
        <v>0</v>
      </c>
      <c r="CJ592" s="41">
        <f t="shared" si="71"/>
        <v>0</v>
      </c>
      <c r="CK592" s="41">
        <f t="shared" si="72"/>
        <v>0</v>
      </c>
      <c r="CL592" s="41">
        <f t="shared" si="73"/>
        <v>0</v>
      </c>
    </row>
    <row r="593" spans="1:90" x14ac:dyDescent="0.3">
      <c r="A593" s="41"/>
      <c r="B593" s="41"/>
      <c r="C593" s="41"/>
      <c r="D593" s="41"/>
      <c r="E593" s="41"/>
      <c r="F593" s="41"/>
      <c r="G593" s="53"/>
      <c r="H593" s="64"/>
      <c r="I593" s="64"/>
      <c r="J593" s="64"/>
      <c r="K593" s="57"/>
      <c r="L593" s="64"/>
      <c r="M593" s="64"/>
      <c r="N593" s="64"/>
      <c r="O593" s="57"/>
      <c r="P593" s="64"/>
      <c r="Q593" s="56">
        <f>noHypo2CI_2-(RDS2CLD_2*noHypo2CI_2)</f>
        <v>2.1141683406990762E-2</v>
      </c>
      <c r="R593" s="56"/>
      <c r="S593" s="129"/>
      <c r="T593" s="105"/>
      <c r="U593" s="133"/>
      <c r="V593" s="133">
        <v>0</v>
      </c>
      <c r="W593" s="133"/>
      <c r="X593" s="133"/>
      <c r="Y593" s="133"/>
      <c r="Z593" s="134"/>
      <c r="AA593" s="6"/>
      <c r="AW593">
        <v>2.1141683406990762E-2</v>
      </c>
      <c r="BF593" s="41">
        <f t="shared" si="45"/>
        <v>0</v>
      </c>
      <c r="BG593" s="41">
        <f t="shared" si="46"/>
        <v>0</v>
      </c>
      <c r="BH593" s="41">
        <f t="shared" si="47"/>
        <v>0</v>
      </c>
      <c r="BI593" s="41">
        <f t="shared" si="48"/>
        <v>0</v>
      </c>
      <c r="BJ593" s="41">
        <f t="shared" si="49"/>
        <v>0</v>
      </c>
      <c r="BK593" s="41">
        <f t="shared" si="50"/>
        <v>0</v>
      </c>
      <c r="BL593" s="41">
        <f t="shared" si="51"/>
        <v>0</v>
      </c>
      <c r="BM593" s="41">
        <f t="shared" si="52"/>
        <v>0</v>
      </c>
      <c r="BN593" s="41">
        <f t="shared" si="53"/>
        <v>0</v>
      </c>
      <c r="BO593" s="41">
        <f t="shared" si="54"/>
        <v>0</v>
      </c>
      <c r="BP593" s="41">
        <f t="shared" si="55"/>
        <v>0</v>
      </c>
      <c r="BQ593" s="41">
        <f t="shared" si="56"/>
        <v>0</v>
      </c>
      <c r="BR593" s="41">
        <f t="shared" si="57"/>
        <v>0</v>
      </c>
      <c r="BS593" s="41">
        <f t="shared" si="58"/>
        <v>0</v>
      </c>
      <c r="BT593" s="41">
        <f t="shared" si="59"/>
        <v>0</v>
      </c>
      <c r="BU593" s="41">
        <f t="shared" si="60"/>
        <v>0</v>
      </c>
      <c r="BV593" s="41">
        <f t="shared" si="61"/>
        <v>0</v>
      </c>
      <c r="BW593" s="41">
        <f t="shared" si="62"/>
        <v>0</v>
      </c>
      <c r="BX593" s="41">
        <f t="shared" si="63"/>
        <v>0</v>
      </c>
      <c r="BY593" s="41">
        <f t="shared" si="64"/>
        <v>0</v>
      </c>
      <c r="BZ593" s="41">
        <f t="shared" si="65"/>
        <v>0</v>
      </c>
      <c r="CA593" s="41" t="e">
        <f>IF(#REF!=BB593,0,1)</f>
        <v>#REF!</v>
      </c>
      <c r="CB593" s="41">
        <f t="shared" si="66"/>
        <v>0</v>
      </c>
      <c r="CC593" s="41" t="e">
        <f>IF(#REF!=BD593,0,1)</f>
        <v>#REF!</v>
      </c>
      <c r="CD593" s="41" t="e">
        <f>IF(#REF!=BE593,0,1)</f>
        <v>#REF!</v>
      </c>
      <c r="CE593" s="41" t="e">
        <f>IF(#REF!=BF593,0,1)</f>
        <v>#REF!</v>
      </c>
      <c r="CF593" s="41">
        <f t="shared" si="67"/>
        <v>0</v>
      </c>
      <c r="CG593" s="41">
        <f t="shared" si="68"/>
        <v>0</v>
      </c>
      <c r="CH593" s="41">
        <f t="shared" si="69"/>
        <v>0</v>
      </c>
      <c r="CI593" s="41">
        <f t="shared" si="70"/>
        <v>0</v>
      </c>
      <c r="CJ593" s="41">
        <f t="shared" si="71"/>
        <v>0</v>
      </c>
      <c r="CK593" s="41">
        <f t="shared" si="72"/>
        <v>0</v>
      </c>
      <c r="CL593" s="41">
        <f t="shared" si="73"/>
        <v>0</v>
      </c>
    </row>
    <row r="594" spans="1:90" x14ac:dyDescent="0.3">
      <c r="A594" s="41"/>
      <c r="B594" s="41"/>
      <c r="C594" s="41"/>
      <c r="D594" s="41"/>
      <c r="E594" s="41"/>
      <c r="F594" s="41"/>
      <c r="G594" s="64"/>
      <c r="H594" s="64"/>
      <c r="I594" s="64"/>
      <c r="J594" s="64"/>
      <c r="K594" s="64"/>
      <c r="L594" s="64"/>
      <c r="M594" s="64"/>
      <c r="N594" s="64"/>
      <c r="O594" s="53"/>
      <c r="P594" s="64"/>
      <c r="Q594" s="57">
        <f>c_cog+c_hosp_fu+c_CSG</f>
        <v>15766</v>
      </c>
      <c r="R594" s="57"/>
      <c r="S594" s="129"/>
      <c r="T594" s="105"/>
      <c r="U594" s="133"/>
      <c r="V594" s="133"/>
      <c r="W594" s="133"/>
      <c r="X594" s="133"/>
      <c r="Y594" s="133"/>
      <c r="Z594" s="134"/>
      <c r="AA594" s="6"/>
      <c r="AW594">
        <v>4840</v>
      </c>
      <c r="BF594" s="41">
        <f t="shared" ref="BF594:BF601" si="74">IF(A594=AG594,0,1)</f>
        <v>0</v>
      </c>
      <c r="BG594" s="41">
        <f t="shared" ref="BG594:BG601" si="75">IF(B594=AH594,0,1)</f>
        <v>0</v>
      </c>
      <c r="BH594" s="41">
        <f t="shared" ref="BH594:BH601" si="76">IF(C594=AI594,0,1)</f>
        <v>0</v>
      </c>
      <c r="BI594" s="41">
        <f t="shared" ref="BI594:BI601" si="77">IF(D594=AJ594,0,1)</f>
        <v>0</v>
      </c>
      <c r="BJ594" s="41">
        <f t="shared" ref="BJ594:BJ601" si="78">IF(E594=AK594,0,1)</f>
        <v>0</v>
      </c>
      <c r="BK594" s="41">
        <f t="shared" ref="BK594:BK601" si="79">IF(F594=AL594,0,1)</f>
        <v>0</v>
      </c>
      <c r="BL594" s="41">
        <f t="shared" ref="BL594:BL601" si="80">IF(G594=AM594,0,1)</f>
        <v>0</v>
      </c>
      <c r="BM594" s="41">
        <f t="shared" ref="BM594:BM601" si="81">IF(H594=AN594,0,1)</f>
        <v>0</v>
      </c>
      <c r="BN594" s="41">
        <f t="shared" ref="BN594:BN601" si="82">IF(I594=AO594,0,1)</f>
        <v>0</v>
      </c>
      <c r="BO594" s="41">
        <f t="shared" ref="BO594:BO601" si="83">IF(J594=AP594,0,1)</f>
        <v>0</v>
      </c>
      <c r="BP594" s="41">
        <f t="shared" ref="BP594:BP601" si="84">IF(K594=AQ594,0,1)</f>
        <v>0</v>
      </c>
      <c r="BQ594" s="41">
        <f t="shared" ref="BQ594:BQ601" si="85">IF(L594=AR594,0,1)</f>
        <v>0</v>
      </c>
      <c r="BR594" s="41">
        <f t="shared" ref="BR594:BR601" si="86">IF(M594=AS594,0,1)</f>
        <v>0</v>
      </c>
      <c r="BS594" s="41">
        <f t="shared" ref="BS594:BS601" si="87">IF(N594=AT594,0,1)</f>
        <v>0</v>
      </c>
      <c r="BT594" s="41">
        <f t="shared" ref="BT594:BT601" si="88">IF(O594=AU594,0,1)</f>
        <v>0</v>
      </c>
      <c r="BU594" s="41">
        <f t="shared" ref="BU594:BU601" si="89">IF(P594=AV594,0,1)</f>
        <v>0</v>
      </c>
      <c r="BV594" s="41">
        <f t="shared" ref="BV594:BV601" si="90">IF(Q594=AW594,0,1)</f>
        <v>1</v>
      </c>
      <c r="BW594" s="41">
        <f t="shared" ref="BW594:BW601" si="91">IF(S594=AX594,0,1)</f>
        <v>0</v>
      </c>
      <c r="BX594" s="41">
        <f t="shared" ref="BX594:BX601" si="92">IF(T594=AY594,0,1)</f>
        <v>0</v>
      </c>
      <c r="BY594" s="41">
        <f t="shared" ref="BY594:BY601" si="93">IF(U594=AZ594,0,1)</f>
        <v>0</v>
      </c>
      <c r="BZ594" s="41">
        <f t="shared" ref="BZ594:BZ601" si="94">IF(V595=BA594,0,1)</f>
        <v>0</v>
      </c>
      <c r="CA594" s="41" t="e">
        <f>IF(#REF!=BB594,0,1)</f>
        <v>#REF!</v>
      </c>
      <c r="CB594" s="41">
        <f t="shared" ref="CB594:CB601" si="95">IF(W594=BC594,0,1)</f>
        <v>0</v>
      </c>
      <c r="CC594" s="41" t="e">
        <f>IF(#REF!=BD594,0,1)</f>
        <v>#REF!</v>
      </c>
      <c r="CD594" s="41" t="e">
        <f>IF(#REF!=BE594,0,1)</f>
        <v>#REF!</v>
      </c>
      <c r="CE594" s="41" t="e">
        <f>IF(#REF!=BF594,0,1)</f>
        <v>#REF!</v>
      </c>
      <c r="CF594" s="41">
        <f t="shared" ref="CF594:CF601" si="96">IF(X594=BG594,0,1)</f>
        <v>0</v>
      </c>
      <c r="CG594" s="41">
        <f t="shared" ref="CG594:CG601" si="97">IF(Z594=BH594,0,1)</f>
        <v>0</v>
      </c>
      <c r="CH594" s="41">
        <f t="shared" ref="CH594:CH601" si="98">IF(AA594=BI594,0,1)</f>
        <v>0</v>
      </c>
      <c r="CI594" s="41">
        <f t="shared" ref="CI594:CI601" si="99">IF(AB594=BJ594,0,1)</f>
        <v>0</v>
      </c>
      <c r="CJ594" s="41">
        <f t="shared" ref="CJ594:CJ601" si="100">IF(AC594=BK594,0,1)</f>
        <v>0</v>
      </c>
      <c r="CK594" s="41">
        <f t="shared" ref="CK594:CK601" si="101">IF(AD594=BL594,0,1)</f>
        <v>0</v>
      </c>
      <c r="CL594" s="41">
        <f t="shared" ref="CL594:CL601" si="102">IF(AE594=BM594,0,1)</f>
        <v>0</v>
      </c>
    </row>
    <row r="595" spans="1:90" x14ac:dyDescent="0.3">
      <c r="A595" s="41"/>
      <c r="B595" s="41"/>
      <c r="C595" s="41"/>
      <c r="D595" s="41"/>
      <c r="E595" s="41"/>
      <c r="F595" s="41"/>
      <c r="G595" s="64"/>
      <c r="H595" s="64"/>
      <c r="I595" s="64"/>
      <c r="J595" s="64"/>
      <c r="K595" s="64"/>
      <c r="L595" s="64"/>
      <c r="M595" s="64"/>
      <c r="N595" s="64"/>
      <c r="O595" s="53"/>
      <c r="P595" s="64"/>
      <c r="Q595" s="54" t="s">
        <v>369</v>
      </c>
      <c r="R595" s="54"/>
      <c r="S595" s="129"/>
      <c r="T595" s="105"/>
      <c r="U595" s="133">
        <f>$K$592*$I$581*$G$602*$E$531*$C$600*$A$555*$M$587*$O$592*Q596</f>
        <v>0</v>
      </c>
      <c r="V595" s="133"/>
      <c r="W595" s="134">
        <f>$K$593+$I$582+$G$603+$E$532+$C$601+$A$556+$M$588+$O$593+Q597</f>
        <v>94920.902758713739</v>
      </c>
      <c r="X595" s="133">
        <f>u_ChronicResp+u_CongnitiveImpairement</f>
        <v>17.805052694763283</v>
      </c>
      <c r="Y595" s="133"/>
      <c r="Z595" s="134">
        <f>U595*W595</f>
        <v>0</v>
      </c>
      <c r="AA595" s="6">
        <f>U595*X595</f>
        <v>0</v>
      </c>
      <c r="AW595" t="s">
        <v>369</v>
      </c>
      <c r="AZ595">
        <v>0</v>
      </c>
      <c r="BF595" s="41">
        <f t="shared" si="74"/>
        <v>0</v>
      </c>
      <c r="BG595" s="41">
        <f t="shared" si="75"/>
        <v>0</v>
      </c>
      <c r="BH595" s="41">
        <f t="shared" si="76"/>
        <v>0</v>
      </c>
      <c r="BI595" s="41">
        <f t="shared" si="77"/>
        <v>0</v>
      </c>
      <c r="BJ595" s="41">
        <f t="shared" si="78"/>
        <v>0</v>
      </c>
      <c r="BK595" s="41">
        <f t="shared" si="79"/>
        <v>0</v>
      </c>
      <c r="BL595" s="41">
        <f t="shared" si="80"/>
        <v>0</v>
      </c>
      <c r="BM595" s="41">
        <f t="shared" si="81"/>
        <v>0</v>
      </c>
      <c r="BN595" s="41">
        <f t="shared" si="82"/>
        <v>0</v>
      </c>
      <c r="BO595" s="41">
        <f t="shared" si="83"/>
        <v>0</v>
      </c>
      <c r="BP595" s="41">
        <f t="shared" si="84"/>
        <v>0</v>
      </c>
      <c r="BQ595" s="41">
        <f t="shared" si="85"/>
        <v>0</v>
      </c>
      <c r="BR595" s="41">
        <f t="shared" si="86"/>
        <v>0</v>
      </c>
      <c r="BS595" s="41">
        <f t="shared" si="87"/>
        <v>0</v>
      </c>
      <c r="BT595" s="41">
        <f t="shared" si="88"/>
        <v>0</v>
      </c>
      <c r="BU595" s="41">
        <f t="shared" si="89"/>
        <v>0</v>
      </c>
      <c r="BV595" s="41">
        <f t="shared" si="90"/>
        <v>0</v>
      </c>
      <c r="BW595" s="41">
        <f t="shared" si="91"/>
        <v>0</v>
      </c>
      <c r="BX595" s="41">
        <f t="shared" si="92"/>
        <v>0</v>
      </c>
      <c r="BY595" s="41">
        <f t="shared" si="93"/>
        <v>0</v>
      </c>
      <c r="BZ595" s="41">
        <f t="shared" si="94"/>
        <v>0</v>
      </c>
      <c r="CA595" s="41" t="e">
        <f>IF(#REF!=BB595,0,1)</f>
        <v>#REF!</v>
      </c>
      <c r="CB595" s="41">
        <f t="shared" si="95"/>
        <v>1</v>
      </c>
      <c r="CC595" s="41" t="e">
        <f>IF(#REF!=BD595,0,1)</f>
        <v>#REF!</v>
      </c>
      <c r="CD595" s="41" t="e">
        <f>IF(#REF!=BE595,0,1)</f>
        <v>#REF!</v>
      </c>
      <c r="CE595" s="41" t="e">
        <f>IF(#REF!=BF595,0,1)</f>
        <v>#REF!</v>
      </c>
      <c r="CF595" s="41">
        <f t="shared" si="96"/>
        <v>1</v>
      </c>
      <c r="CG595" s="41">
        <f t="shared" si="97"/>
        <v>0</v>
      </c>
      <c r="CH595" s="41">
        <f t="shared" si="98"/>
        <v>0</v>
      </c>
      <c r="CI595" s="41">
        <f t="shared" si="99"/>
        <v>0</v>
      </c>
      <c r="CJ595" s="41">
        <f t="shared" si="100"/>
        <v>0</v>
      </c>
      <c r="CK595" s="41">
        <f t="shared" si="101"/>
        <v>0</v>
      </c>
      <c r="CL595" s="41">
        <f t="shared" si="102"/>
        <v>0</v>
      </c>
    </row>
    <row r="596" spans="1:90" x14ac:dyDescent="0.3">
      <c r="A596" s="41"/>
      <c r="B596" s="41"/>
      <c r="C596" s="41"/>
      <c r="D596" s="41"/>
      <c r="E596" s="41"/>
      <c r="F596" s="41"/>
      <c r="G596" s="64"/>
      <c r="H596" s="64"/>
      <c r="I596" s="64"/>
      <c r="J596" s="64"/>
      <c r="K596" s="64"/>
      <c r="L596" s="64"/>
      <c r="M596" s="64"/>
      <c r="N596" s="64"/>
      <c r="O596" s="53"/>
      <c r="P596" s="64"/>
      <c r="Q596" s="56">
        <f>RDS2CLD_2*noHypo2CI_2</f>
        <v>1.1943893129770991E-2</v>
      </c>
      <c r="R596" s="56"/>
      <c r="S596" s="129"/>
      <c r="T596" s="105"/>
      <c r="U596" s="133"/>
      <c r="V596" s="133">
        <v>0</v>
      </c>
      <c r="W596" s="133"/>
      <c r="X596" s="133"/>
      <c r="Y596" s="133"/>
      <c r="Z596" s="134"/>
      <c r="AA596" s="6"/>
      <c r="AW596">
        <v>1.1943893129770991E-2</v>
      </c>
      <c r="BF596" s="41">
        <f t="shared" si="74"/>
        <v>0</v>
      </c>
      <c r="BG596" s="41">
        <f t="shared" si="75"/>
        <v>0</v>
      </c>
      <c r="BH596" s="41">
        <f t="shared" si="76"/>
        <v>0</v>
      </c>
      <c r="BI596" s="41">
        <f t="shared" si="77"/>
        <v>0</v>
      </c>
      <c r="BJ596" s="41">
        <f t="shared" si="78"/>
        <v>0</v>
      </c>
      <c r="BK596" s="41">
        <f t="shared" si="79"/>
        <v>0</v>
      </c>
      <c r="BL596" s="41">
        <f t="shared" si="80"/>
        <v>0</v>
      </c>
      <c r="BM596" s="41">
        <f t="shared" si="81"/>
        <v>0</v>
      </c>
      <c r="BN596" s="41">
        <f t="shared" si="82"/>
        <v>0</v>
      </c>
      <c r="BO596" s="41">
        <f t="shared" si="83"/>
        <v>0</v>
      </c>
      <c r="BP596" s="41">
        <f t="shared" si="84"/>
        <v>0</v>
      </c>
      <c r="BQ596" s="41">
        <f t="shared" si="85"/>
        <v>0</v>
      </c>
      <c r="BR596" s="41">
        <f t="shared" si="86"/>
        <v>0</v>
      </c>
      <c r="BS596" s="41">
        <f t="shared" si="87"/>
        <v>0</v>
      </c>
      <c r="BT596" s="41">
        <f t="shared" si="88"/>
        <v>0</v>
      </c>
      <c r="BU596" s="41">
        <f t="shared" si="89"/>
        <v>0</v>
      </c>
      <c r="BV596" s="41">
        <f t="shared" si="90"/>
        <v>0</v>
      </c>
      <c r="BW596" s="41">
        <f t="shared" si="91"/>
        <v>0</v>
      </c>
      <c r="BX596" s="41">
        <f t="shared" si="92"/>
        <v>0</v>
      </c>
      <c r="BY596" s="41">
        <f t="shared" si="93"/>
        <v>0</v>
      </c>
      <c r="BZ596" s="41">
        <f t="shared" si="94"/>
        <v>0</v>
      </c>
      <c r="CA596" s="41" t="e">
        <f>IF(#REF!=BB596,0,1)</f>
        <v>#REF!</v>
      </c>
      <c r="CB596" s="41">
        <f t="shared" si="95"/>
        <v>0</v>
      </c>
      <c r="CC596" s="41" t="e">
        <f>IF(#REF!=BD596,0,1)</f>
        <v>#REF!</v>
      </c>
      <c r="CD596" s="41" t="e">
        <f>IF(#REF!=BE596,0,1)</f>
        <v>#REF!</v>
      </c>
      <c r="CE596" s="41" t="e">
        <f>IF(#REF!=BF596,0,1)</f>
        <v>#REF!</v>
      </c>
      <c r="CF596" s="41">
        <f t="shared" si="96"/>
        <v>0</v>
      </c>
      <c r="CG596" s="41">
        <f t="shared" si="97"/>
        <v>0</v>
      </c>
      <c r="CH596" s="41">
        <f t="shared" si="98"/>
        <v>0</v>
      </c>
      <c r="CI596" s="41">
        <f t="shared" si="99"/>
        <v>0</v>
      </c>
      <c r="CJ596" s="41">
        <f t="shared" si="100"/>
        <v>0</v>
      </c>
      <c r="CK596" s="41">
        <f t="shared" si="101"/>
        <v>0</v>
      </c>
      <c r="CL596" s="41">
        <f t="shared" si="102"/>
        <v>0</v>
      </c>
    </row>
    <row r="597" spans="1:90" x14ac:dyDescent="0.3">
      <c r="A597" s="41"/>
      <c r="B597" s="41"/>
      <c r="C597" s="41"/>
      <c r="D597" s="41"/>
      <c r="E597" s="41"/>
      <c r="F597" s="41"/>
      <c r="G597" s="64"/>
      <c r="H597" s="64"/>
      <c r="I597" s="64"/>
      <c r="J597" s="64"/>
      <c r="K597" s="64"/>
      <c r="L597" s="64"/>
      <c r="M597" s="64"/>
      <c r="N597" s="64"/>
      <c r="O597" s="53"/>
      <c r="P597" s="64"/>
      <c r="Q597" s="57">
        <f>c_cog+c_lung+c_hosp_fu+c_CSG</f>
        <v>58348.510902399998</v>
      </c>
      <c r="R597" s="57"/>
      <c r="S597" s="129"/>
      <c r="T597" s="105"/>
      <c r="U597" s="133"/>
      <c r="V597" s="133"/>
      <c r="W597" s="133"/>
      <c r="X597" s="133"/>
      <c r="Y597" s="133"/>
      <c r="Z597" s="134"/>
      <c r="AA597" s="6"/>
      <c r="AW597">
        <v>45990.200000000004</v>
      </c>
      <c r="BF597" s="41">
        <f t="shared" si="74"/>
        <v>0</v>
      </c>
      <c r="BG597" s="41">
        <f t="shared" si="75"/>
        <v>0</v>
      </c>
      <c r="BH597" s="41">
        <f t="shared" si="76"/>
        <v>0</v>
      </c>
      <c r="BI597" s="41">
        <f t="shared" si="77"/>
        <v>0</v>
      </c>
      <c r="BJ597" s="41">
        <f t="shared" si="78"/>
        <v>0</v>
      </c>
      <c r="BK597" s="41">
        <f t="shared" si="79"/>
        <v>0</v>
      </c>
      <c r="BL597" s="41">
        <f t="shared" si="80"/>
        <v>0</v>
      </c>
      <c r="BM597" s="41">
        <f t="shared" si="81"/>
        <v>0</v>
      </c>
      <c r="BN597" s="41">
        <f t="shared" si="82"/>
        <v>0</v>
      </c>
      <c r="BO597" s="41">
        <f t="shared" si="83"/>
        <v>0</v>
      </c>
      <c r="BP597" s="41">
        <f t="shared" si="84"/>
        <v>0</v>
      </c>
      <c r="BQ597" s="41">
        <f t="shared" si="85"/>
        <v>0</v>
      </c>
      <c r="BR597" s="41">
        <f t="shared" si="86"/>
        <v>0</v>
      </c>
      <c r="BS597" s="41">
        <f t="shared" si="87"/>
        <v>0</v>
      </c>
      <c r="BT597" s="41">
        <f t="shared" si="88"/>
        <v>0</v>
      </c>
      <c r="BU597" s="41">
        <f t="shared" si="89"/>
        <v>0</v>
      </c>
      <c r="BV597" s="41">
        <f t="shared" si="90"/>
        <v>1</v>
      </c>
      <c r="BW597" s="41">
        <f t="shared" si="91"/>
        <v>0</v>
      </c>
      <c r="BX597" s="41">
        <f t="shared" si="92"/>
        <v>0</v>
      </c>
      <c r="BY597" s="41">
        <f t="shared" si="93"/>
        <v>0</v>
      </c>
      <c r="BZ597" s="41">
        <f t="shared" si="94"/>
        <v>0</v>
      </c>
      <c r="CA597" s="41" t="e">
        <f>IF(#REF!=BB597,0,1)</f>
        <v>#REF!</v>
      </c>
      <c r="CB597" s="41">
        <f t="shared" si="95"/>
        <v>0</v>
      </c>
      <c r="CC597" s="41" t="e">
        <f>IF(#REF!=BD597,0,1)</f>
        <v>#REF!</v>
      </c>
      <c r="CD597" s="41" t="e">
        <f>IF(#REF!=BE597,0,1)</f>
        <v>#REF!</v>
      </c>
      <c r="CE597" s="41" t="e">
        <f>IF(#REF!=BF597,0,1)</f>
        <v>#REF!</v>
      </c>
      <c r="CF597" s="41">
        <f t="shared" si="96"/>
        <v>0</v>
      </c>
      <c r="CG597" s="41">
        <f t="shared" si="97"/>
        <v>0</v>
      </c>
      <c r="CH597" s="41">
        <f t="shared" si="98"/>
        <v>0</v>
      </c>
      <c r="CI597" s="41">
        <f t="shared" si="99"/>
        <v>0</v>
      </c>
      <c r="CJ597" s="41">
        <f t="shared" si="100"/>
        <v>0</v>
      </c>
      <c r="CK597" s="41">
        <f t="shared" si="101"/>
        <v>0</v>
      </c>
      <c r="CL597" s="41">
        <f t="shared" si="102"/>
        <v>0</v>
      </c>
    </row>
    <row r="598" spans="1:90" x14ac:dyDescent="0.3">
      <c r="A598" s="41"/>
      <c r="B598" s="41"/>
      <c r="C598" s="41"/>
      <c r="D598" s="41"/>
      <c r="E598" s="41"/>
      <c r="F598" s="41"/>
      <c r="G598" s="64"/>
      <c r="H598" s="64"/>
      <c r="I598" s="64"/>
      <c r="J598" s="64"/>
      <c r="K598" s="64"/>
      <c r="L598" s="64"/>
      <c r="M598" s="64"/>
      <c r="N598" s="64"/>
      <c r="O598" s="53"/>
      <c r="P598" s="64"/>
      <c r="Q598" s="54" t="s">
        <v>370</v>
      </c>
      <c r="R598" s="54"/>
      <c r="S598" s="129"/>
      <c r="T598" s="105"/>
      <c r="U598" s="133">
        <f>$K$592*$I$581*$G$602*$E$531*$C$600*$A$555*$M$587*$O$592*Q599</f>
        <v>0</v>
      </c>
      <c r="V598" s="133"/>
      <c r="W598" s="134">
        <f>$K$593+$I$582+$G$603+$E$532+$C$601+$A$556+$M$588+$O$593+Q600</f>
        <v>50975.391856313741</v>
      </c>
      <c r="X598" s="133">
        <f>u_Healthy</f>
        <v>0</v>
      </c>
      <c r="Y598" s="133"/>
      <c r="Z598" s="134">
        <f>U598*W598</f>
        <v>0</v>
      </c>
      <c r="AA598" s="6">
        <f>U598*X598</f>
        <v>0</v>
      </c>
      <c r="AW598" t="s">
        <v>370</v>
      </c>
      <c r="AZ598">
        <v>0</v>
      </c>
      <c r="BF598" s="41">
        <f t="shared" si="74"/>
        <v>0</v>
      </c>
      <c r="BG598" s="41">
        <f t="shared" si="75"/>
        <v>0</v>
      </c>
      <c r="BH598" s="41">
        <f t="shared" si="76"/>
        <v>0</v>
      </c>
      <c r="BI598" s="41">
        <f t="shared" si="77"/>
        <v>0</v>
      </c>
      <c r="BJ598" s="41">
        <f t="shared" si="78"/>
        <v>0</v>
      </c>
      <c r="BK598" s="41">
        <f t="shared" si="79"/>
        <v>0</v>
      </c>
      <c r="BL598" s="41">
        <f t="shared" si="80"/>
        <v>0</v>
      </c>
      <c r="BM598" s="41">
        <f t="shared" si="81"/>
        <v>0</v>
      </c>
      <c r="BN598" s="41">
        <f t="shared" si="82"/>
        <v>0</v>
      </c>
      <c r="BO598" s="41">
        <f t="shared" si="83"/>
        <v>0</v>
      </c>
      <c r="BP598" s="41">
        <f t="shared" si="84"/>
        <v>0</v>
      </c>
      <c r="BQ598" s="41">
        <f t="shared" si="85"/>
        <v>0</v>
      </c>
      <c r="BR598" s="41">
        <f t="shared" si="86"/>
        <v>0</v>
      </c>
      <c r="BS598" s="41">
        <f t="shared" si="87"/>
        <v>0</v>
      </c>
      <c r="BT598" s="41">
        <f t="shared" si="88"/>
        <v>0</v>
      </c>
      <c r="BU598" s="41">
        <f t="shared" si="89"/>
        <v>0</v>
      </c>
      <c r="BV598" s="41">
        <f t="shared" si="90"/>
        <v>0</v>
      </c>
      <c r="BW598" s="41">
        <f t="shared" si="91"/>
        <v>0</v>
      </c>
      <c r="BX598" s="41">
        <f t="shared" si="92"/>
        <v>0</v>
      </c>
      <c r="BY598" s="41">
        <f t="shared" si="93"/>
        <v>0</v>
      </c>
      <c r="BZ598" s="41">
        <f t="shared" si="94"/>
        <v>0</v>
      </c>
      <c r="CA598" s="41" t="e">
        <f>IF(#REF!=BB598,0,1)</f>
        <v>#REF!</v>
      </c>
      <c r="CB598" s="41">
        <f t="shared" si="95"/>
        <v>1</v>
      </c>
      <c r="CC598" s="41" t="e">
        <f>IF(#REF!=BD598,0,1)</f>
        <v>#REF!</v>
      </c>
      <c r="CD598" s="41" t="e">
        <f>IF(#REF!=BE598,0,1)</f>
        <v>#REF!</v>
      </c>
      <c r="CE598" s="41" t="e">
        <f>IF(#REF!=BF598,0,1)</f>
        <v>#REF!</v>
      </c>
      <c r="CF598" s="41">
        <f t="shared" si="96"/>
        <v>0</v>
      </c>
      <c r="CG598" s="41">
        <f t="shared" si="97"/>
        <v>0</v>
      </c>
      <c r="CH598" s="41">
        <f t="shared" si="98"/>
        <v>0</v>
      </c>
      <c r="CI598" s="41">
        <f t="shared" si="99"/>
        <v>0</v>
      </c>
      <c r="CJ598" s="41">
        <f t="shared" si="100"/>
        <v>0</v>
      </c>
      <c r="CK598" s="41">
        <f t="shared" si="101"/>
        <v>0</v>
      </c>
      <c r="CL598" s="41">
        <f t="shared" si="102"/>
        <v>0</v>
      </c>
    </row>
    <row r="599" spans="1:90" x14ac:dyDescent="0.3">
      <c r="A599" s="41"/>
      <c r="B599" s="41"/>
      <c r="C599" s="54" t="s">
        <v>373</v>
      </c>
      <c r="D599" s="41"/>
      <c r="E599" s="41"/>
      <c r="F599" s="41"/>
      <c r="G599" s="64"/>
      <c r="H599" s="64"/>
      <c r="I599" s="64"/>
      <c r="J599" s="64"/>
      <c r="K599" s="64"/>
      <c r="L599" s="64"/>
      <c r="M599" s="64"/>
      <c r="N599" s="64"/>
      <c r="O599" s="53"/>
      <c r="P599" s="64"/>
      <c r="Q599" s="56">
        <f>1-Q596-Q593-Q590</f>
        <v>0.61785831659300938</v>
      </c>
      <c r="R599" s="56"/>
      <c r="T599" s="105"/>
      <c r="U599" s="133"/>
      <c r="V599" s="133">
        <v>0</v>
      </c>
      <c r="W599" s="133"/>
      <c r="X599" s="133"/>
      <c r="Y599" s="133"/>
      <c r="Z599" s="134"/>
      <c r="AA599" s="6"/>
      <c r="AI599" t="s">
        <v>373</v>
      </c>
      <c r="AW599">
        <v>0.61785831659300938</v>
      </c>
      <c r="BF599" s="41">
        <f t="shared" si="74"/>
        <v>0</v>
      </c>
      <c r="BG599" s="41">
        <f t="shared" si="75"/>
        <v>0</v>
      </c>
      <c r="BH599" s="41">
        <f t="shared" si="76"/>
        <v>0</v>
      </c>
      <c r="BI599" s="41">
        <f t="shared" si="77"/>
        <v>0</v>
      </c>
      <c r="BJ599" s="41">
        <f t="shared" si="78"/>
        <v>0</v>
      </c>
      <c r="BK599" s="41">
        <f t="shared" si="79"/>
        <v>0</v>
      </c>
      <c r="BL599" s="41">
        <f t="shared" si="80"/>
        <v>0</v>
      </c>
      <c r="BM599" s="41">
        <f t="shared" si="81"/>
        <v>0</v>
      </c>
      <c r="BN599" s="41">
        <f t="shared" si="82"/>
        <v>0</v>
      </c>
      <c r="BO599" s="41">
        <f t="shared" si="83"/>
        <v>0</v>
      </c>
      <c r="BP599" s="41">
        <f t="shared" si="84"/>
        <v>0</v>
      </c>
      <c r="BQ599" s="41">
        <f t="shared" si="85"/>
        <v>0</v>
      </c>
      <c r="BR599" s="41">
        <f t="shared" si="86"/>
        <v>0</v>
      </c>
      <c r="BS599" s="41">
        <f t="shared" si="87"/>
        <v>0</v>
      </c>
      <c r="BT599" s="41">
        <f t="shared" si="88"/>
        <v>0</v>
      </c>
      <c r="BU599" s="41">
        <f t="shared" si="89"/>
        <v>0</v>
      </c>
      <c r="BV599" s="41">
        <f t="shared" si="90"/>
        <v>0</v>
      </c>
      <c r="BW599" s="41">
        <f t="shared" si="91"/>
        <v>0</v>
      </c>
      <c r="BX599" s="41">
        <f t="shared" si="92"/>
        <v>0</v>
      </c>
      <c r="BY599" s="41">
        <f t="shared" si="93"/>
        <v>0</v>
      </c>
      <c r="BZ599" s="41">
        <f t="shared" si="94"/>
        <v>0</v>
      </c>
      <c r="CA599" s="41" t="e">
        <f>IF(#REF!=BB599,0,1)</f>
        <v>#REF!</v>
      </c>
      <c r="CB599" s="41">
        <f t="shared" si="95"/>
        <v>0</v>
      </c>
      <c r="CC599" s="41" t="e">
        <f>IF(#REF!=BD599,0,1)</f>
        <v>#REF!</v>
      </c>
      <c r="CD599" s="41" t="e">
        <f>IF(#REF!=BE599,0,1)</f>
        <v>#REF!</v>
      </c>
      <c r="CE599" s="41" t="e">
        <f>IF(#REF!=BF599,0,1)</f>
        <v>#REF!</v>
      </c>
      <c r="CF599" s="41">
        <f t="shared" si="96"/>
        <v>0</v>
      </c>
      <c r="CG599" s="41">
        <f t="shared" si="97"/>
        <v>0</v>
      </c>
      <c r="CH599" s="41">
        <f t="shared" si="98"/>
        <v>0</v>
      </c>
      <c r="CI599" s="41">
        <f t="shared" si="99"/>
        <v>0</v>
      </c>
      <c r="CJ599" s="41">
        <f t="shared" si="100"/>
        <v>0</v>
      </c>
      <c r="CK599" s="41">
        <f t="shared" si="101"/>
        <v>0</v>
      </c>
      <c r="CL599" s="41">
        <f t="shared" si="102"/>
        <v>0</v>
      </c>
    </row>
    <row r="600" spans="1:90" x14ac:dyDescent="0.3">
      <c r="A600" s="41"/>
      <c r="B600" s="41"/>
      <c r="C600" s="56">
        <f>NoANC2LB_2</f>
        <v>0.96843702579666158</v>
      </c>
      <c r="D600" s="41"/>
      <c r="E600" s="41"/>
      <c r="F600" s="41"/>
      <c r="G600" s="64"/>
      <c r="H600" s="64"/>
      <c r="I600" s="64"/>
      <c r="J600" s="64"/>
      <c r="K600" s="64"/>
      <c r="L600" s="64"/>
      <c r="M600" s="64"/>
      <c r="N600" s="64"/>
      <c r="O600" s="64"/>
      <c r="P600" s="64"/>
      <c r="Q600" s="57">
        <f>c_clinic_fu+c_CSG</f>
        <v>14403</v>
      </c>
      <c r="R600" s="57"/>
      <c r="S600" s="129"/>
      <c r="T600" s="105"/>
      <c r="U600" s="133"/>
      <c r="V600" s="133"/>
      <c r="W600" s="133"/>
      <c r="X600" s="133"/>
      <c r="Y600" s="133"/>
      <c r="Z600" s="134"/>
      <c r="AA600" s="6"/>
      <c r="AI600">
        <v>0.96843702579666158</v>
      </c>
      <c r="AW600">
        <v>3230</v>
      </c>
      <c r="BF600" s="41">
        <f t="shared" si="74"/>
        <v>0</v>
      </c>
      <c r="BG600" s="41">
        <f t="shared" si="75"/>
        <v>0</v>
      </c>
      <c r="BH600" s="41">
        <f t="shared" si="76"/>
        <v>0</v>
      </c>
      <c r="BI600" s="41">
        <f t="shared" si="77"/>
        <v>0</v>
      </c>
      <c r="BJ600" s="41">
        <f t="shared" si="78"/>
        <v>0</v>
      </c>
      <c r="BK600" s="41">
        <f t="shared" si="79"/>
        <v>0</v>
      </c>
      <c r="BL600" s="41">
        <f t="shared" si="80"/>
        <v>0</v>
      </c>
      <c r="BM600" s="41">
        <f t="shared" si="81"/>
        <v>0</v>
      </c>
      <c r="BN600" s="41">
        <f t="shared" si="82"/>
        <v>0</v>
      </c>
      <c r="BO600" s="41">
        <f t="shared" si="83"/>
        <v>0</v>
      </c>
      <c r="BP600" s="41">
        <f t="shared" si="84"/>
        <v>0</v>
      </c>
      <c r="BQ600" s="41">
        <f t="shared" si="85"/>
        <v>0</v>
      </c>
      <c r="BR600" s="41">
        <f t="shared" si="86"/>
        <v>0</v>
      </c>
      <c r="BS600" s="41">
        <f t="shared" si="87"/>
        <v>0</v>
      </c>
      <c r="BT600" s="41">
        <f t="shared" si="88"/>
        <v>0</v>
      </c>
      <c r="BU600" s="41">
        <f t="shared" si="89"/>
        <v>0</v>
      </c>
      <c r="BV600" s="41">
        <f t="shared" si="90"/>
        <v>1</v>
      </c>
      <c r="BW600" s="41">
        <f t="shared" si="91"/>
        <v>0</v>
      </c>
      <c r="BX600" s="41">
        <f t="shared" si="92"/>
        <v>0</v>
      </c>
      <c r="BY600" s="41">
        <f t="shared" si="93"/>
        <v>0</v>
      </c>
      <c r="BZ600" s="41">
        <f t="shared" si="94"/>
        <v>0</v>
      </c>
      <c r="CA600" s="41" t="e">
        <f>IF(#REF!=BB600,0,1)</f>
        <v>#REF!</v>
      </c>
      <c r="CB600" s="41">
        <f t="shared" si="95"/>
        <v>0</v>
      </c>
      <c r="CC600" s="41" t="e">
        <f>IF(#REF!=BD600,0,1)</f>
        <v>#REF!</v>
      </c>
      <c r="CD600" s="41" t="e">
        <f>IF(#REF!=BE600,0,1)</f>
        <v>#REF!</v>
      </c>
      <c r="CE600" s="41" t="e">
        <f>IF(#REF!=BF600,0,1)</f>
        <v>#REF!</v>
      </c>
      <c r="CF600" s="41">
        <f t="shared" si="96"/>
        <v>0</v>
      </c>
      <c r="CG600" s="41">
        <f t="shared" si="97"/>
        <v>0</v>
      </c>
      <c r="CH600" s="41">
        <f t="shared" si="98"/>
        <v>0</v>
      </c>
      <c r="CI600" s="41">
        <f t="shared" si="99"/>
        <v>0</v>
      </c>
      <c r="CJ600" s="41">
        <f t="shared" si="100"/>
        <v>0</v>
      </c>
      <c r="CK600" s="41">
        <f t="shared" si="101"/>
        <v>0</v>
      </c>
      <c r="CL600" s="41">
        <f t="shared" si="102"/>
        <v>0</v>
      </c>
    </row>
    <row r="601" spans="1:90" x14ac:dyDescent="0.3">
      <c r="A601" s="41"/>
      <c r="B601" s="41"/>
      <c r="C601" s="57"/>
      <c r="D601" s="41"/>
      <c r="E601" s="41"/>
      <c r="F601" s="41"/>
      <c r="G601" s="54" t="s">
        <v>372</v>
      </c>
      <c r="H601" s="64"/>
      <c r="I601" s="64"/>
      <c r="J601" s="64"/>
      <c r="K601" s="64"/>
      <c r="L601" s="64"/>
      <c r="M601" s="64"/>
      <c r="N601" s="64"/>
      <c r="O601" s="64"/>
      <c r="P601" s="64"/>
      <c r="Q601" s="65"/>
      <c r="R601" s="65"/>
      <c r="S601" s="129"/>
      <c r="T601" s="105"/>
      <c r="U601" s="133"/>
      <c r="V601" s="133"/>
      <c r="W601" s="133"/>
      <c r="X601" s="133"/>
      <c r="Y601" s="133"/>
      <c r="Z601" s="134"/>
      <c r="AA601" s="6"/>
      <c r="AM601" t="s">
        <v>372</v>
      </c>
      <c r="BF601" s="41">
        <f t="shared" si="74"/>
        <v>0</v>
      </c>
      <c r="BG601" s="41">
        <f t="shared" si="75"/>
        <v>0</v>
      </c>
      <c r="BH601" s="41">
        <f t="shared" si="76"/>
        <v>0</v>
      </c>
      <c r="BI601" s="41">
        <f t="shared" si="77"/>
        <v>0</v>
      </c>
      <c r="BJ601" s="41">
        <f t="shared" si="78"/>
        <v>0</v>
      </c>
      <c r="BK601" s="41">
        <f t="shared" si="79"/>
        <v>0</v>
      </c>
      <c r="BL601" s="41">
        <f t="shared" si="80"/>
        <v>0</v>
      </c>
      <c r="BM601" s="41">
        <f t="shared" si="81"/>
        <v>0</v>
      </c>
      <c r="BN601" s="41">
        <f t="shared" si="82"/>
        <v>0</v>
      </c>
      <c r="BO601" s="41">
        <f t="shared" si="83"/>
        <v>0</v>
      </c>
      <c r="BP601" s="41">
        <f t="shared" si="84"/>
        <v>0</v>
      </c>
      <c r="BQ601" s="41">
        <f t="shared" si="85"/>
        <v>0</v>
      </c>
      <c r="BR601" s="41">
        <f t="shared" si="86"/>
        <v>0</v>
      </c>
      <c r="BS601" s="41">
        <f t="shared" si="87"/>
        <v>0</v>
      </c>
      <c r="BT601" s="41">
        <f t="shared" si="88"/>
        <v>0</v>
      </c>
      <c r="BU601" s="41">
        <f t="shared" si="89"/>
        <v>0</v>
      </c>
      <c r="BV601" s="41">
        <f t="shared" si="90"/>
        <v>0</v>
      </c>
      <c r="BW601" s="41">
        <f t="shared" si="91"/>
        <v>0</v>
      </c>
      <c r="BX601" s="41">
        <f t="shared" si="92"/>
        <v>0</v>
      </c>
      <c r="BY601" s="41">
        <f t="shared" si="93"/>
        <v>0</v>
      </c>
      <c r="BZ601" s="41">
        <f t="shared" si="94"/>
        <v>0</v>
      </c>
      <c r="CA601" s="41" t="e">
        <f>IF(#REF!=BB601,0,1)</f>
        <v>#REF!</v>
      </c>
      <c r="CB601" s="41">
        <f t="shared" si="95"/>
        <v>0</v>
      </c>
      <c r="CC601" s="41" t="e">
        <f>IF(#REF!=BD601,0,1)</f>
        <v>#REF!</v>
      </c>
      <c r="CD601" s="41" t="e">
        <f>IF(#REF!=BE601,0,1)</f>
        <v>#REF!</v>
      </c>
      <c r="CE601" s="41" t="e">
        <f>IF(#REF!=BF601,0,1)</f>
        <v>#REF!</v>
      </c>
      <c r="CF601" s="41">
        <f t="shared" si="96"/>
        <v>0</v>
      </c>
      <c r="CG601" s="41">
        <f t="shared" si="97"/>
        <v>0</v>
      </c>
      <c r="CH601" s="41">
        <f t="shared" si="98"/>
        <v>0</v>
      </c>
      <c r="CI601" s="41">
        <f t="shared" si="99"/>
        <v>0</v>
      </c>
      <c r="CJ601" s="41">
        <f t="shared" si="100"/>
        <v>0</v>
      </c>
      <c r="CK601" s="41">
        <f t="shared" si="101"/>
        <v>0</v>
      </c>
      <c r="CL601" s="41">
        <f t="shared" si="102"/>
        <v>0</v>
      </c>
    </row>
    <row r="602" spans="1:90" x14ac:dyDescent="0.3">
      <c r="A602" s="41"/>
      <c r="B602" s="41"/>
      <c r="C602" s="41"/>
      <c r="D602" s="41"/>
      <c r="E602" s="41"/>
      <c r="F602" s="41"/>
      <c r="G602" s="56">
        <f>Prem2NBW_1</f>
        <v>0.51623728813559322</v>
      </c>
      <c r="H602" s="64"/>
      <c r="I602" s="64"/>
      <c r="J602" s="64"/>
      <c r="K602" s="64"/>
      <c r="L602" s="64"/>
      <c r="M602" s="64"/>
      <c r="N602" s="64"/>
      <c r="O602" s="64"/>
      <c r="P602" s="64"/>
      <c r="Q602" s="54" t="s">
        <v>368</v>
      </c>
      <c r="R602" s="54"/>
      <c r="S602" s="129"/>
      <c r="T602" s="105"/>
      <c r="U602" s="133">
        <f>$K$592*$I$581*$G$602*$E$531*$C$600*$A$555*$M$607*$O$605*Q603</f>
        <v>0</v>
      </c>
      <c r="V602" s="133"/>
      <c r="W602" s="134">
        <f>$K$593+$I$582+$G$603+$E$532+$C$601+$A$556+$M$608+$O$606+Q604</f>
        <v>63442.553010508105</v>
      </c>
      <c r="X602" s="133">
        <f>u_ChronicResp</f>
        <v>0.53465956747782661</v>
      </c>
      <c r="Y602" s="133"/>
      <c r="Z602" s="134">
        <f>U602*W602</f>
        <v>0</v>
      </c>
      <c r="AA602" s="6">
        <f>U602*X602</f>
        <v>0</v>
      </c>
    </row>
    <row r="603" spans="1:90" x14ac:dyDescent="0.3">
      <c r="A603" s="41"/>
      <c r="B603" s="41"/>
      <c r="C603" s="41"/>
      <c r="D603" s="41"/>
      <c r="E603" s="41"/>
      <c r="F603" s="41"/>
      <c r="G603" s="57">
        <f>c_NICU_NBW</f>
        <v>3098.88</v>
      </c>
      <c r="H603" s="64"/>
      <c r="I603" s="64"/>
      <c r="J603" s="64"/>
      <c r="K603" s="64"/>
      <c r="L603" s="64"/>
      <c r="M603" s="64"/>
      <c r="N603" s="64"/>
      <c r="O603" s="64"/>
      <c r="P603" s="64"/>
      <c r="Q603" s="56">
        <f>RDS2CLD_2-(Hypo2CI_2*RDS2CLD_2)</f>
        <v>0.34246866666666664</v>
      </c>
      <c r="R603" s="56"/>
      <c r="S603" s="129"/>
      <c r="T603" s="105"/>
      <c r="U603" s="133"/>
      <c r="V603" s="133">
        <v>0</v>
      </c>
      <c r="W603" s="133"/>
      <c r="X603" s="133"/>
      <c r="Y603" s="133"/>
      <c r="Z603" s="134"/>
      <c r="AA603" s="6"/>
    </row>
    <row r="604" spans="1:90" x14ac:dyDescent="0.3">
      <c r="A604" s="41"/>
      <c r="B604" s="41"/>
      <c r="C604" s="41"/>
      <c r="D604" s="41"/>
      <c r="E604" s="41"/>
      <c r="F604" s="41"/>
      <c r="G604" s="64"/>
      <c r="H604" s="64"/>
      <c r="I604" s="64"/>
      <c r="J604" s="64"/>
      <c r="K604" s="64"/>
      <c r="L604" s="64"/>
      <c r="M604" s="64"/>
      <c r="N604" s="64"/>
      <c r="O604" s="54" t="s">
        <v>161</v>
      </c>
      <c r="P604" s="64"/>
      <c r="Q604" s="57">
        <f>c_lung+c_hosp_fu+c_CSG</f>
        <v>54529.510902399998</v>
      </c>
      <c r="R604" s="57"/>
      <c r="S604" s="129"/>
      <c r="T604" s="105"/>
      <c r="U604" s="133"/>
      <c r="V604" s="133"/>
      <c r="W604" s="133"/>
      <c r="X604" s="133"/>
      <c r="Y604" s="133"/>
      <c r="Z604" s="134"/>
      <c r="AA604" s="6"/>
    </row>
    <row r="605" spans="1:90" x14ac:dyDescent="0.3">
      <c r="A605" s="41"/>
      <c r="B605" s="41"/>
      <c r="C605" s="41"/>
      <c r="D605" s="41"/>
      <c r="E605" s="41"/>
      <c r="F605" s="41"/>
      <c r="G605" s="64"/>
      <c r="H605" s="64"/>
      <c r="I605" s="64"/>
      <c r="J605" s="64"/>
      <c r="K605" s="64"/>
      <c r="L605" s="64"/>
      <c r="M605" s="64"/>
      <c r="N605" s="64"/>
      <c r="O605" s="56">
        <f>SGA_prem_2hypoglycaemia_1</f>
        <v>0.2155</v>
      </c>
      <c r="P605" s="64"/>
      <c r="Q605" s="54" t="s">
        <v>226</v>
      </c>
      <c r="R605" s="54"/>
      <c r="S605" s="129"/>
      <c r="T605" s="105"/>
      <c r="U605" s="133">
        <f>$K$592*$I$581*$G$602*$E$531*$C$600*$A$555*$M$607*$O$605*Q606</f>
        <v>0</v>
      </c>
      <c r="V605" s="133"/>
      <c r="W605" s="134">
        <f>$K$593+$I$582+$G$603+$E$532+$C$601+$A$556+$M$608+$O$606+Q607</f>
        <v>24679.042108108108</v>
      </c>
      <c r="X605" s="133">
        <f>u_CongnitiveImpairement</f>
        <v>17.270393127285455</v>
      </c>
      <c r="Y605" s="133"/>
      <c r="Z605" s="134">
        <f>U605*W605</f>
        <v>0</v>
      </c>
      <c r="AA605" s="6">
        <f>U605*X605</f>
        <v>0</v>
      </c>
    </row>
    <row r="606" spans="1:90" x14ac:dyDescent="0.3">
      <c r="A606" s="41"/>
      <c r="B606" s="41"/>
      <c r="C606" s="41"/>
      <c r="D606" s="41"/>
      <c r="E606" s="41"/>
      <c r="F606" s="41"/>
      <c r="G606" s="64"/>
      <c r="H606" s="64"/>
      <c r="I606" s="64"/>
      <c r="J606" s="64"/>
      <c r="K606" s="64"/>
      <c r="L606" s="64"/>
      <c r="M606" s="54" t="s">
        <v>203</v>
      </c>
      <c r="N606" s="64"/>
      <c r="O606" s="57">
        <f>c_hypo</f>
        <v>2936.2604000000001</v>
      </c>
      <c r="P606" s="64"/>
      <c r="Q606" s="56">
        <f>Hypo2CI_2-(Hypo2CI_2*RDS2CLD_2)</f>
        <v>3.2801999999999998E-2</v>
      </c>
      <c r="R606" s="56"/>
      <c r="S606" s="129"/>
      <c r="T606" s="105"/>
      <c r="U606" s="133"/>
      <c r="V606" s="133">
        <v>0</v>
      </c>
      <c r="W606" s="133"/>
      <c r="X606" s="133"/>
      <c r="Y606" s="133"/>
      <c r="Z606" s="134"/>
      <c r="AA606" s="6"/>
    </row>
    <row r="607" spans="1:90" x14ac:dyDescent="0.3">
      <c r="A607" s="41"/>
      <c r="B607" s="41"/>
      <c r="C607" s="41"/>
      <c r="D607" s="41"/>
      <c r="E607" s="41"/>
      <c r="F607" s="41"/>
      <c r="G607" s="64"/>
      <c r="H607" s="64"/>
      <c r="I607" s="64"/>
      <c r="J607" s="64"/>
      <c r="K607" s="64"/>
      <c r="L607" s="64"/>
      <c r="M607" s="56">
        <f>S_prem_2noRDS_1</f>
        <v>0.55000000000000004</v>
      </c>
      <c r="N607" s="64"/>
      <c r="O607" s="53"/>
      <c r="P607" s="64"/>
      <c r="Q607" s="57">
        <f>c_cog+c_hosp_fu+c_CSG</f>
        <v>15766</v>
      </c>
      <c r="R607" s="57"/>
      <c r="S607" s="129"/>
      <c r="T607" s="105"/>
      <c r="U607" s="133"/>
      <c r="V607" s="133"/>
      <c r="W607" s="133"/>
      <c r="X607" s="133"/>
      <c r="Y607" s="133"/>
      <c r="Z607" s="134"/>
      <c r="AA607" s="6"/>
    </row>
    <row r="608" spans="1:90" x14ac:dyDescent="0.3">
      <c r="A608" s="41"/>
      <c r="B608" s="41"/>
      <c r="C608" s="41"/>
      <c r="D608" s="41"/>
      <c r="E608" s="41"/>
      <c r="F608" s="41"/>
      <c r="G608" s="65"/>
      <c r="H608" s="64"/>
      <c r="I608" s="64"/>
      <c r="J608" s="64"/>
      <c r="K608" s="64"/>
      <c r="L608" s="64"/>
      <c r="M608" s="57"/>
      <c r="N608" s="64"/>
      <c r="O608" s="65"/>
      <c r="P608" s="64"/>
      <c r="Q608" s="54" t="s">
        <v>369</v>
      </c>
      <c r="R608" s="54"/>
      <c r="S608" s="129"/>
      <c r="T608" s="105"/>
      <c r="U608" s="133">
        <f>$K$592*$I$581*$G$602*$E$531*$C$600*$A$555*$M$607*$O$605*Q609</f>
        <v>0</v>
      </c>
      <c r="V608" s="133"/>
      <c r="W608" s="134">
        <f>$K$593+$I$582+$G$603+$E$532+$C$601+$A$556+$M$608+$O$606+Q610</f>
        <v>67261.553010508098</v>
      </c>
      <c r="X608" s="133">
        <f>u_ChronicResp+u_CongnitiveImpairement</f>
        <v>17.805052694763283</v>
      </c>
      <c r="Y608" s="133"/>
      <c r="Z608" s="134">
        <f>U608*W608</f>
        <v>0</v>
      </c>
      <c r="AA608" s="6">
        <f>U608*X608</f>
        <v>0</v>
      </c>
    </row>
    <row r="609" spans="1:27" x14ac:dyDescent="0.3">
      <c r="A609" s="41"/>
      <c r="B609" s="41"/>
      <c r="C609" s="41"/>
      <c r="D609" s="41"/>
      <c r="E609" s="41"/>
      <c r="F609" s="41"/>
      <c r="G609" s="64"/>
      <c r="H609" s="64"/>
      <c r="I609" s="64"/>
      <c r="J609" s="64"/>
      <c r="K609" s="64"/>
      <c r="L609" s="64"/>
      <c r="M609" s="65"/>
      <c r="N609" s="64"/>
      <c r="O609" s="41"/>
      <c r="P609" s="64"/>
      <c r="Q609" s="56">
        <f>Hypo2CI_2*RDS2CLD_2</f>
        <v>1.8531333333333334E-2</v>
      </c>
      <c r="R609" s="56"/>
      <c r="S609" s="129"/>
      <c r="T609" s="105"/>
      <c r="U609" s="133"/>
      <c r="V609" s="133">
        <v>0</v>
      </c>
      <c r="W609" s="133"/>
      <c r="X609" s="133"/>
      <c r="Y609" s="133"/>
      <c r="Z609" s="134"/>
      <c r="AA609" s="6"/>
    </row>
    <row r="610" spans="1:27" x14ac:dyDescent="0.3">
      <c r="A610" s="41"/>
      <c r="B610" s="41"/>
      <c r="C610" s="41"/>
      <c r="D610" s="41"/>
      <c r="E610" s="41"/>
      <c r="F610" s="41"/>
      <c r="G610" s="64"/>
      <c r="H610" s="64"/>
      <c r="I610" s="64"/>
      <c r="J610" s="64"/>
      <c r="K610" s="64"/>
      <c r="L610" s="64"/>
      <c r="M610" s="65"/>
      <c r="N610" s="64"/>
      <c r="O610" s="41"/>
      <c r="P610" s="64"/>
      <c r="Q610" s="57">
        <f>c_lung+c_cog+c_hosp_fu+c_CSG</f>
        <v>58348.510902399998</v>
      </c>
      <c r="R610" s="57"/>
      <c r="S610" s="129"/>
      <c r="T610" s="105"/>
      <c r="U610" s="133"/>
      <c r="V610" s="133"/>
      <c r="W610" s="133"/>
      <c r="X610" s="133"/>
      <c r="Y610" s="133"/>
      <c r="Z610" s="134"/>
      <c r="AA610" s="6"/>
    </row>
    <row r="611" spans="1:27" x14ac:dyDescent="0.3">
      <c r="A611" s="41"/>
      <c r="B611" s="41"/>
      <c r="C611" s="41"/>
      <c r="D611" s="41"/>
      <c r="E611" s="41"/>
      <c r="F611" s="41"/>
      <c r="G611" s="64"/>
      <c r="H611" s="64"/>
      <c r="I611" s="64"/>
      <c r="J611" s="64"/>
      <c r="K611" s="64"/>
      <c r="L611" s="64"/>
      <c r="M611" s="65"/>
      <c r="N611" s="64"/>
      <c r="O611" s="41"/>
      <c r="P611" s="64"/>
      <c r="Q611" s="54" t="s">
        <v>370</v>
      </c>
      <c r="R611" s="54"/>
      <c r="S611" s="129"/>
      <c r="T611" s="105"/>
      <c r="U611" s="133">
        <f>$K$592*$I$581*$G$602*$E$531*$C$600*$A$555*$M$607*$O$605*Q612</f>
        <v>0</v>
      </c>
      <c r="V611" s="133"/>
      <c r="W611" s="134">
        <f>$K$593+$I$582+$G$603+$E$532+$C$601+$A$556+$M$608+$O$606+Q613</f>
        <v>23316.042108108108</v>
      </c>
      <c r="X611" s="133">
        <f>u_Healthy</f>
        <v>0</v>
      </c>
      <c r="Y611" s="133"/>
      <c r="Z611" s="134">
        <f>U611*W611</f>
        <v>0</v>
      </c>
      <c r="AA611" s="6">
        <f>U611*X611</f>
        <v>0</v>
      </c>
    </row>
    <row r="612" spans="1:27" x14ac:dyDescent="0.3">
      <c r="A612" s="41"/>
      <c r="B612" s="41"/>
      <c r="C612" s="41"/>
      <c r="D612" s="41"/>
      <c r="E612" s="41"/>
      <c r="F612" s="41"/>
      <c r="G612" s="64"/>
      <c r="H612" s="64"/>
      <c r="I612" s="64"/>
      <c r="J612" s="64"/>
      <c r="K612" s="64"/>
      <c r="L612" s="64"/>
      <c r="M612" s="65"/>
      <c r="N612" s="64"/>
      <c r="O612" s="65"/>
      <c r="P612" s="64"/>
      <c r="Q612" s="56">
        <f>1-Q603-Q606-Q609</f>
        <v>0.60619800000000001</v>
      </c>
      <c r="R612" s="56"/>
      <c r="S612" s="129"/>
      <c r="T612" s="105"/>
      <c r="U612" s="133"/>
      <c r="V612" s="133">
        <v>0</v>
      </c>
      <c r="W612" s="133"/>
      <c r="X612" s="133"/>
      <c r="Y612" s="133"/>
      <c r="Z612" s="134"/>
      <c r="AA612" s="6"/>
    </row>
    <row r="613" spans="1:27" x14ac:dyDescent="0.3">
      <c r="A613" s="41"/>
      <c r="B613" s="41"/>
      <c r="C613" s="41"/>
      <c r="D613" s="41"/>
      <c r="E613" s="41"/>
      <c r="F613" s="41"/>
      <c r="G613" s="64"/>
      <c r="H613" s="64"/>
      <c r="I613" s="64"/>
      <c r="J613" s="64"/>
      <c r="K613" s="64"/>
      <c r="L613" s="64"/>
      <c r="M613" s="65"/>
      <c r="N613" s="64"/>
      <c r="O613" s="64"/>
      <c r="P613" s="64"/>
      <c r="Q613" s="57">
        <f>c_clinic_fu+c_CSG</f>
        <v>14403</v>
      </c>
      <c r="R613" s="57"/>
      <c r="T613" s="105"/>
      <c r="U613" s="133"/>
      <c r="V613" s="133"/>
      <c r="W613" s="133"/>
      <c r="X613" s="133"/>
      <c r="Y613" s="133"/>
      <c r="Z613" s="134"/>
      <c r="AA613" s="6"/>
    </row>
    <row r="614" spans="1:27" x14ac:dyDescent="0.3">
      <c r="A614" s="41"/>
      <c r="B614" s="41"/>
      <c r="C614" s="41"/>
      <c r="D614" s="41"/>
      <c r="E614" s="41"/>
      <c r="F614" s="41"/>
      <c r="G614" s="64"/>
      <c r="H614" s="64"/>
      <c r="I614" s="64"/>
      <c r="J614" s="64"/>
      <c r="K614" s="64"/>
      <c r="L614" s="64"/>
      <c r="M614" s="65"/>
      <c r="N614" s="64"/>
      <c r="O614" s="64"/>
      <c r="P614" s="64"/>
      <c r="Q614" s="65"/>
      <c r="R614" s="65"/>
      <c r="S614" s="130"/>
      <c r="T614" s="105"/>
      <c r="U614" s="133"/>
      <c r="V614" s="133"/>
      <c r="W614" s="133"/>
      <c r="X614" s="133"/>
      <c r="Y614" s="133"/>
      <c r="Z614" s="134"/>
      <c r="AA614" s="6"/>
    </row>
    <row r="615" spans="1:27" x14ac:dyDescent="0.3">
      <c r="A615" s="41"/>
      <c r="B615" s="41"/>
      <c r="C615" s="41"/>
      <c r="D615" s="41"/>
      <c r="E615" s="41"/>
      <c r="F615" s="41"/>
      <c r="G615" s="64"/>
      <c r="H615" s="64"/>
      <c r="I615" s="64"/>
      <c r="J615" s="64"/>
      <c r="K615" s="64"/>
      <c r="L615" s="64"/>
      <c r="M615" s="65"/>
      <c r="N615" s="64"/>
      <c r="O615" s="64"/>
      <c r="P615" s="64"/>
      <c r="Q615" s="54" t="s">
        <v>368</v>
      </c>
      <c r="R615" s="54"/>
      <c r="S615" s="129"/>
      <c r="T615" s="105"/>
      <c r="U615" s="133">
        <f>$K$592*$I$581*$G$602*$E$531*$C$600*$A$555*$M$607*$O$619*Q616</f>
        <v>0</v>
      </c>
      <c r="V615" s="133"/>
      <c r="W615" s="134">
        <f>$K$593+$I$582+$G$603+$E$532+$C$601+$A$556+$M$608+$O$620+Q617</f>
        <v>60506.292610508106</v>
      </c>
      <c r="X615" s="133">
        <f>u_ChronicResp</f>
        <v>0.53465956747782661</v>
      </c>
      <c r="Y615" s="133"/>
      <c r="Z615" s="134">
        <f>U615*W615</f>
        <v>0</v>
      </c>
      <c r="AA615" s="6">
        <f>U615*X615</f>
        <v>0</v>
      </c>
    </row>
    <row r="616" spans="1:27" x14ac:dyDescent="0.3">
      <c r="A616" s="41"/>
      <c r="B616" s="41"/>
      <c r="C616" s="41"/>
      <c r="D616" s="41"/>
      <c r="E616" s="41"/>
      <c r="F616" s="41"/>
      <c r="G616" s="64"/>
      <c r="H616" s="64"/>
      <c r="I616" s="64"/>
      <c r="J616" s="64"/>
      <c r="K616" s="64"/>
      <c r="L616" s="64"/>
      <c r="M616" s="65"/>
      <c r="N616" s="64"/>
      <c r="O616" s="64"/>
      <c r="P616" s="64"/>
      <c r="Q616" s="56">
        <f>RDS2CLD_2-(RDS2CLD_2*noHypo2CI_2)</f>
        <v>0.34905610687022898</v>
      </c>
      <c r="R616" s="56"/>
      <c r="S616" s="129"/>
      <c r="T616" s="105"/>
      <c r="U616" s="133"/>
      <c r="V616" s="133">
        <v>0</v>
      </c>
      <c r="W616" s="133"/>
      <c r="X616" s="133"/>
      <c r="Y616" s="133"/>
      <c r="Z616" s="134"/>
      <c r="AA616" s="6"/>
    </row>
    <row r="617" spans="1:27" x14ac:dyDescent="0.3">
      <c r="A617" s="41"/>
      <c r="B617" s="41"/>
      <c r="C617" s="41"/>
      <c r="D617" s="41"/>
      <c r="E617" s="41"/>
      <c r="F617" s="41"/>
      <c r="G617" s="64"/>
      <c r="H617" s="64"/>
      <c r="I617" s="64"/>
      <c r="J617" s="64"/>
      <c r="K617" s="64"/>
      <c r="L617" s="64"/>
      <c r="M617" s="65"/>
      <c r="N617" s="64"/>
      <c r="O617" s="64"/>
      <c r="P617" s="64"/>
      <c r="Q617" s="57">
        <f>c_lung+c_hosp_fu+c_CSG</f>
        <v>54529.510902399998</v>
      </c>
      <c r="R617" s="57"/>
      <c r="S617" s="129"/>
      <c r="T617" s="105"/>
      <c r="U617" s="133"/>
      <c r="V617" s="133"/>
      <c r="W617" s="133"/>
      <c r="X617" s="133"/>
      <c r="Y617" s="133"/>
      <c r="Z617" s="134"/>
      <c r="AA617" s="6"/>
    </row>
    <row r="618" spans="1:27" x14ac:dyDescent="0.3">
      <c r="A618" s="41"/>
      <c r="B618" s="41"/>
      <c r="C618" s="41"/>
      <c r="D618" s="41"/>
      <c r="E618" s="41"/>
      <c r="F618" s="41"/>
      <c r="G618" s="64"/>
      <c r="H618" s="64"/>
      <c r="I618" s="64"/>
      <c r="J618" s="64"/>
      <c r="K618" s="64"/>
      <c r="L618" s="64"/>
      <c r="M618" s="65"/>
      <c r="N618" s="64"/>
      <c r="O618" s="54" t="s">
        <v>371</v>
      </c>
      <c r="P618" s="64"/>
      <c r="Q618" s="54" t="s">
        <v>226</v>
      </c>
      <c r="R618" s="54"/>
      <c r="S618" s="129"/>
      <c r="T618" s="105"/>
      <c r="U618" s="133">
        <f>$K$592*$I$581*$G$602*$E$531*$C$600*$A$555*$M$607*$O$619*Q619</f>
        <v>0</v>
      </c>
      <c r="V618" s="133"/>
      <c r="W618" s="134">
        <f>$K$593+$I$582+$G$603+$E$532+$C$601+$A$556+$M$608+$O$620+Q620</f>
        <v>21742.781708108108</v>
      </c>
      <c r="X618" s="133">
        <f>u_CongnitiveImpairement</f>
        <v>17.270393127285455</v>
      </c>
      <c r="Y618" s="133"/>
      <c r="Z618" s="134">
        <f>U618*W618</f>
        <v>0</v>
      </c>
      <c r="AA618" s="6">
        <f>U618*X618</f>
        <v>0</v>
      </c>
    </row>
    <row r="619" spans="1:27" x14ac:dyDescent="0.3">
      <c r="A619" s="41"/>
      <c r="B619" s="41"/>
      <c r="C619" s="41"/>
      <c r="D619" s="41"/>
      <c r="E619" s="41"/>
      <c r="F619" s="41"/>
      <c r="G619" s="64"/>
      <c r="H619" s="64"/>
      <c r="I619" s="64"/>
      <c r="J619" s="64"/>
      <c r="K619" s="64"/>
      <c r="L619" s="64"/>
      <c r="M619" s="65"/>
      <c r="N619" s="64"/>
      <c r="O619" s="56">
        <f>SGA_prem_2normoglycaemia_1</f>
        <v>0.78449999999999998</v>
      </c>
      <c r="P619" s="64"/>
      <c r="Q619" s="56">
        <f>noHypo2CI_2-(RDS2CLD_2*noHypo2CI_2)</f>
        <v>2.1141683406990762E-2</v>
      </c>
      <c r="R619" s="56"/>
      <c r="S619" s="129"/>
      <c r="T619" s="105"/>
      <c r="U619" s="133"/>
      <c r="V619" s="133">
        <v>0</v>
      </c>
      <c r="W619" s="133"/>
      <c r="X619" s="133"/>
      <c r="Y619" s="133"/>
      <c r="Z619" s="134"/>
      <c r="AA619" s="6"/>
    </row>
    <row r="620" spans="1:27" x14ac:dyDescent="0.3">
      <c r="A620" s="41"/>
      <c r="B620" s="41"/>
      <c r="C620" s="41"/>
      <c r="D620" s="41"/>
      <c r="E620" s="41"/>
      <c r="F620" s="41"/>
      <c r="G620" s="64"/>
      <c r="H620" s="64"/>
      <c r="I620" s="64"/>
      <c r="J620" s="64"/>
      <c r="K620" s="64"/>
      <c r="L620" s="64"/>
      <c r="M620" s="65"/>
      <c r="N620" s="64"/>
      <c r="O620" s="57"/>
      <c r="P620" s="64"/>
      <c r="Q620" s="57">
        <f>c_cog+c_hosp_fu+c_CSG</f>
        <v>15766</v>
      </c>
      <c r="R620" s="57"/>
      <c r="S620" s="129"/>
      <c r="T620" s="105"/>
      <c r="U620" s="133"/>
      <c r="V620" s="133"/>
      <c r="W620" s="133"/>
      <c r="X620" s="133"/>
      <c r="Y620" s="133"/>
      <c r="Z620" s="134"/>
      <c r="AA620" s="6"/>
    </row>
    <row r="621" spans="1:27" x14ac:dyDescent="0.3">
      <c r="A621" s="41"/>
      <c r="B621" s="41"/>
      <c r="C621" s="41"/>
      <c r="D621" s="41"/>
      <c r="E621" s="41"/>
      <c r="F621" s="41"/>
      <c r="G621" s="64"/>
      <c r="H621" s="64"/>
      <c r="I621" s="64"/>
      <c r="J621" s="64"/>
      <c r="K621" s="64"/>
      <c r="L621" s="64"/>
      <c r="M621" s="65"/>
      <c r="N621" s="64"/>
      <c r="O621" s="64"/>
      <c r="P621" s="64"/>
      <c r="Q621" s="54" t="s">
        <v>369</v>
      </c>
      <c r="R621" s="54"/>
      <c r="S621" s="129"/>
      <c r="T621" s="105"/>
      <c r="U621" s="133">
        <f>$K$592*$I$581*$G$602*$E$531*$C$600*$A$555*$M$607*$O$619*Q622</f>
        <v>0</v>
      </c>
      <c r="V621" s="133"/>
      <c r="W621" s="134">
        <f>$K$593+$I$582+$G$603+$E$532+$C$601+$A$556+$M$608+$O$620+Q623</f>
        <v>64325.292610508106</v>
      </c>
      <c r="X621" s="133">
        <f>u_ChronicResp+u_CongnitiveImpairement</f>
        <v>17.805052694763283</v>
      </c>
      <c r="Y621" s="133"/>
      <c r="Z621" s="134">
        <f>U621*W621</f>
        <v>0</v>
      </c>
      <c r="AA621" s="6">
        <f>U621*X621</f>
        <v>0</v>
      </c>
    </row>
    <row r="622" spans="1:27" x14ac:dyDescent="0.3">
      <c r="A622" s="41"/>
      <c r="B622" s="41"/>
      <c r="C622" s="41"/>
      <c r="D622" s="41"/>
      <c r="E622" s="41"/>
      <c r="F622" s="41"/>
      <c r="G622" s="64"/>
      <c r="H622" s="64"/>
      <c r="I622" s="64"/>
      <c r="J622" s="64"/>
      <c r="K622" s="64"/>
      <c r="L622" s="64"/>
      <c r="M622" s="65"/>
      <c r="N622" s="64"/>
      <c r="O622" s="64"/>
      <c r="P622" s="64"/>
      <c r="Q622" s="56">
        <f>RDS2CLD_2*noHypo2CI_2</f>
        <v>1.1943893129770991E-2</v>
      </c>
      <c r="R622" s="56"/>
      <c r="S622" s="129"/>
      <c r="T622" s="105"/>
      <c r="U622" s="133"/>
      <c r="V622" s="133">
        <v>0</v>
      </c>
      <c r="W622" s="133"/>
      <c r="X622" s="133"/>
      <c r="Y622" s="133"/>
      <c r="Z622" s="134"/>
      <c r="AA622" s="6"/>
    </row>
    <row r="623" spans="1:27" x14ac:dyDescent="0.3">
      <c r="A623" s="41"/>
      <c r="B623" s="41"/>
      <c r="C623" s="41"/>
      <c r="D623" s="41"/>
      <c r="E623" s="41"/>
      <c r="F623" s="41"/>
      <c r="G623" s="64"/>
      <c r="H623" s="64"/>
      <c r="I623" s="64"/>
      <c r="J623" s="64"/>
      <c r="K623" s="64"/>
      <c r="L623" s="64"/>
      <c r="M623" s="65"/>
      <c r="N623" s="64"/>
      <c r="O623" s="64"/>
      <c r="P623" s="64"/>
      <c r="Q623" s="57">
        <f>c_cog+c_lung+c_hosp_fu+c_CSG</f>
        <v>58348.510902399998</v>
      </c>
      <c r="R623" s="57"/>
      <c r="S623" s="129"/>
      <c r="T623" s="105"/>
      <c r="U623" s="133"/>
      <c r="V623" s="133"/>
      <c r="W623" s="133"/>
      <c r="X623" s="133"/>
      <c r="Y623" s="133"/>
      <c r="Z623" s="134"/>
      <c r="AA623" s="6"/>
    </row>
    <row r="624" spans="1:27" x14ac:dyDescent="0.3">
      <c r="A624" s="41"/>
      <c r="B624" s="41"/>
      <c r="C624" s="41"/>
      <c r="D624" s="41"/>
      <c r="E624" s="41"/>
      <c r="F624" s="41"/>
      <c r="G624" s="64"/>
      <c r="H624" s="64"/>
      <c r="I624" s="64"/>
      <c r="J624" s="64"/>
      <c r="K624" s="64"/>
      <c r="L624" s="64"/>
      <c r="M624" s="65"/>
      <c r="N624" s="64"/>
      <c r="O624" s="64"/>
      <c r="P624" s="64"/>
      <c r="Q624" s="54" t="s">
        <v>370</v>
      </c>
      <c r="R624" s="54"/>
      <c r="S624" s="129"/>
      <c r="T624" s="105"/>
      <c r="U624" s="133">
        <f>$K$592*$I$581*$G$602*$E$531*$C$600*$A$555*$M$607*$O$619*Q625</f>
        <v>0</v>
      </c>
      <c r="V624" s="133"/>
      <c r="W624" s="134">
        <f>$K$593+$I$582+$G$603+$E$532+$C$601+$A$556+$M$608+$O$620+Q626</f>
        <v>20379.781708108108</v>
      </c>
      <c r="X624" s="133">
        <f>u_Healthy</f>
        <v>0</v>
      </c>
      <c r="Y624" s="133"/>
      <c r="Z624" s="134">
        <f>U624*W624</f>
        <v>0</v>
      </c>
      <c r="AA624" s="6">
        <f>U624*X624</f>
        <v>0</v>
      </c>
    </row>
    <row r="625" spans="1:27" x14ac:dyDescent="0.3">
      <c r="A625" s="41"/>
      <c r="B625" s="41"/>
      <c r="C625" s="41"/>
      <c r="D625" s="41"/>
      <c r="E625" s="41"/>
      <c r="F625" s="41"/>
      <c r="G625" s="64"/>
      <c r="H625" s="64"/>
      <c r="I625" s="64"/>
      <c r="J625" s="64"/>
      <c r="K625" s="64"/>
      <c r="L625" s="64"/>
      <c r="M625" s="65"/>
      <c r="N625" s="64"/>
      <c r="O625" s="64"/>
      <c r="P625" s="64"/>
      <c r="Q625" s="56">
        <f>1-Q622-Q619-Q616</f>
        <v>0.61785831659300938</v>
      </c>
      <c r="R625" s="56"/>
      <c r="T625" s="105"/>
      <c r="U625" s="133"/>
      <c r="V625" s="133">
        <v>0</v>
      </c>
      <c r="W625" s="133"/>
      <c r="X625" s="133"/>
      <c r="Y625" s="133"/>
      <c r="Z625" s="134"/>
      <c r="AA625" s="6"/>
    </row>
    <row r="626" spans="1:27" x14ac:dyDescent="0.3">
      <c r="A626" s="41"/>
      <c r="B626" s="41"/>
      <c r="C626" s="41"/>
      <c r="D626" s="41"/>
      <c r="E626" s="41"/>
      <c r="F626" s="41"/>
      <c r="G626" s="64"/>
      <c r="H626" s="64"/>
      <c r="I626" s="64"/>
      <c r="J626" s="64"/>
      <c r="K626" s="64"/>
      <c r="L626" s="64"/>
      <c r="M626" s="65"/>
      <c r="N626" s="64"/>
      <c r="O626" s="64"/>
      <c r="P626" s="64"/>
      <c r="Q626" s="57">
        <f>c_clinic_fu+c_CSG</f>
        <v>14403</v>
      </c>
      <c r="R626" s="57"/>
      <c r="S626" s="129"/>
      <c r="T626" s="105"/>
      <c r="U626" s="133"/>
      <c r="V626" s="133"/>
      <c r="W626" s="133"/>
      <c r="X626" s="133"/>
      <c r="Y626" s="133"/>
      <c r="Z626" s="134"/>
      <c r="AA626" s="6"/>
    </row>
    <row r="627" spans="1:27" x14ac:dyDescent="0.3">
      <c r="A627" s="41"/>
      <c r="B627" s="41"/>
      <c r="C627" s="41"/>
      <c r="D627" s="41"/>
      <c r="E627" s="41"/>
      <c r="F627" s="41"/>
      <c r="G627" s="64"/>
      <c r="H627" s="64"/>
      <c r="I627" s="64"/>
      <c r="J627" s="64"/>
      <c r="K627" s="64"/>
      <c r="L627" s="64"/>
      <c r="M627" s="65"/>
      <c r="N627" s="64"/>
      <c r="O627" s="64"/>
      <c r="P627" s="64"/>
      <c r="Q627" s="65"/>
      <c r="R627" s="65"/>
      <c r="S627" s="129"/>
      <c r="T627" s="105"/>
      <c r="U627" s="133"/>
      <c r="V627" s="133"/>
      <c r="W627" s="133"/>
      <c r="X627" s="133"/>
      <c r="Y627" s="133"/>
      <c r="Z627" s="134"/>
      <c r="AA627" s="6"/>
    </row>
    <row r="628" spans="1:27" x14ac:dyDescent="0.3">
      <c r="A628" s="41"/>
      <c r="B628" s="41"/>
      <c r="C628" s="41"/>
      <c r="D628" s="41"/>
      <c r="E628" s="41"/>
      <c r="F628" s="41"/>
      <c r="G628" s="64"/>
      <c r="H628" s="64"/>
      <c r="I628" s="64"/>
      <c r="J628" s="64"/>
      <c r="K628" s="54" t="s">
        <v>165</v>
      </c>
      <c r="L628" s="54"/>
      <c r="M628" s="54"/>
      <c r="N628" s="54"/>
      <c r="O628" s="54"/>
      <c r="P628" s="54"/>
      <c r="Q628" s="54"/>
      <c r="R628" s="54"/>
      <c r="S628" s="129"/>
      <c r="T628" s="105"/>
      <c r="U628" s="133">
        <f>$K$629*$I$637*$G$602*$E$531*$C$600*$A$555</f>
        <v>1.7544010353954891E-4</v>
      </c>
      <c r="V628" s="133">
        <v>3.180512596551397E-4</v>
      </c>
      <c r="W628" s="134">
        <f>$K$630+$I$638+$G$603+$E$532+$C$601+$A$556</f>
        <v>7768.7817081081084</v>
      </c>
      <c r="X628" s="133">
        <f>u_Death</f>
        <v>19.181538114427529</v>
      </c>
      <c r="Y628" s="133"/>
      <c r="Z628" s="134">
        <f>U628*W628</f>
        <v>1.3629558672466402</v>
      </c>
      <c r="AA628" s="6">
        <f>U628*X628</f>
        <v>3.3652110328429696E-3</v>
      </c>
    </row>
    <row r="629" spans="1:27" x14ac:dyDescent="0.3">
      <c r="A629" s="41"/>
      <c r="B629" s="41"/>
      <c r="C629" s="41"/>
      <c r="D629" s="41"/>
      <c r="E629" s="41"/>
      <c r="F629" s="41"/>
      <c r="G629" s="64"/>
      <c r="H629" s="64"/>
      <c r="I629" s="64"/>
      <c r="J629" s="64"/>
      <c r="K629" s="56">
        <f>AGA_prem_2d_2</f>
        <v>3.130575E-2</v>
      </c>
      <c r="L629" s="64"/>
      <c r="M629" s="64"/>
      <c r="N629" s="64"/>
      <c r="O629" s="64"/>
      <c r="P629" s="64"/>
      <c r="Q629" s="64"/>
      <c r="R629" s="64"/>
      <c r="S629" s="129"/>
      <c r="T629" s="105"/>
      <c r="U629" s="133"/>
      <c r="V629" s="133"/>
      <c r="W629" s="133"/>
      <c r="X629" s="133"/>
      <c r="Y629" s="133"/>
      <c r="Z629" s="134"/>
      <c r="AA629" s="6"/>
    </row>
    <row r="630" spans="1:27" x14ac:dyDescent="0.3">
      <c r="A630" s="41"/>
      <c r="B630" s="41"/>
      <c r="C630" s="41"/>
      <c r="D630" s="41"/>
      <c r="E630" s="41"/>
      <c r="F630" s="41"/>
      <c r="G630" s="64"/>
      <c r="H630" s="64"/>
      <c r="I630" s="64"/>
      <c r="J630" s="64"/>
      <c r="K630" s="57">
        <f>c_SB</f>
        <v>1792</v>
      </c>
      <c r="L630" s="64"/>
      <c r="M630" s="64"/>
      <c r="N630" s="64"/>
      <c r="O630" s="64"/>
      <c r="P630" s="64"/>
      <c r="Q630" s="64"/>
      <c r="R630" s="64"/>
      <c r="S630" s="129"/>
      <c r="T630" s="105"/>
      <c r="U630" s="133"/>
      <c r="V630" s="133"/>
      <c r="W630" s="133"/>
      <c r="X630" s="133"/>
      <c r="Y630" s="133"/>
      <c r="Z630" s="134"/>
      <c r="AA630" s="6"/>
    </row>
    <row r="631" spans="1:27" x14ac:dyDescent="0.3">
      <c r="A631" s="41"/>
      <c r="B631" s="41"/>
      <c r="C631" s="41"/>
      <c r="D631" s="41"/>
      <c r="E631" s="41"/>
      <c r="F631" s="41"/>
      <c r="G631" s="64"/>
      <c r="H631" s="64"/>
      <c r="I631" s="64"/>
      <c r="J631" s="64"/>
      <c r="K631" s="53"/>
      <c r="L631" s="53"/>
      <c r="M631" s="53"/>
      <c r="N631" s="53"/>
      <c r="O631" s="53"/>
      <c r="P631" s="53"/>
      <c r="Q631" s="53"/>
      <c r="R631" s="53"/>
      <c r="S631" s="129"/>
      <c r="T631" s="105"/>
      <c r="U631" s="133"/>
      <c r="V631" s="133"/>
      <c r="W631" s="133"/>
      <c r="X631" s="133"/>
      <c r="Y631" s="133"/>
      <c r="Z631" s="134"/>
      <c r="AA631" s="6"/>
    </row>
    <row r="632" spans="1:27" x14ac:dyDescent="0.3">
      <c r="A632" s="41"/>
      <c r="B632" s="41"/>
      <c r="C632" s="41"/>
      <c r="D632" s="41"/>
      <c r="E632" s="41"/>
      <c r="F632" s="41"/>
      <c r="G632" s="64"/>
      <c r="H632" s="64"/>
      <c r="I632" s="64"/>
      <c r="J632" s="64"/>
      <c r="K632" s="53"/>
      <c r="L632" s="53"/>
      <c r="M632" s="53"/>
      <c r="N632" s="53"/>
      <c r="O632" s="53"/>
      <c r="P632" s="53"/>
      <c r="Q632" s="54" t="s">
        <v>368</v>
      </c>
      <c r="R632" s="54"/>
      <c r="S632" s="129"/>
      <c r="T632" s="105"/>
      <c r="U632" s="133">
        <f>$K$648*$I$637*$G$602*$E$531*$C$600*$A$555*$M$643*$O$638*Q633</f>
        <v>1.2549201705269191E-4</v>
      </c>
      <c r="V632" s="133">
        <v>2.0166762222624391E-4</v>
      </c>
      <c r="W632" s="134">
        <f>$K$649+$I$638+$G$603+$E$532+$C$601+$A$556+$M$644+$O$639+Q634</f>
        <v>94038.163158713738</v>
      </c>
      <c r="X632" s="133">
        <f>u_ChronicResp</f>
        <v>0.53465956747782661</v>
      </c>
      <c r="Y632" s="133"/>
      <c r="Z632" s="134">
        <f>U632*W632</f>
        <v>11.801038774717128</v>
      </c>
      <c r="AA632" s="6">
        <f>U632*X632</f>
        <v>6.7095507559312295E-5</v>
      </c>
    </row>
    <row r="633" spans="1:27" x14ac:dyDescent="0.3">
      <c r="A633" s="41"/>
      <c r="B633" s="41"/>
      <c r="C633" s="41"/>
      <c r="D633" s="41"/>
      <c r="E633" s="41"/>
      <c r="F633" s="41"/>
      <c r="G633" s="64"/>
      <c r="H633" s="64"/>
      <c r="I633" s="64"/>
      <c r="J633" s="64"/>
      <c r="K633" s="53"/>
      <c r="L633" s="53"/>
      <c r="M633" s="53"/>
      <c r="N633" s="53"/>
      <c r="O633" s="64"/>
      <c r="P633" s="64"/>
      <c r="Q633" s="56">
        <f>RDS2CLD_2-(Hypo2CI_2*RDS2CLD_2)</f>
        <v>0.34246866666666664</v>
      </c>
      <c r="R633" s="56"/>
      <c r="S633" s="129"/>
      <c r="T633" s="105"/>
      <c r="U633" s="133"/>
      <c r="V633" s="133"/>
      <c r="W633" s="133"/>
      <c r="X633" s="133"/>
      <c r="Y633" s="133"/>
      <c r="Z633" s="134"/>
      <c r="AA633" s="6"/>
    </row>
    <row r="634" spans="1:27" x14ac:dyDescent="0.3">
      <c r="A634" s="41"/>
      <c r="B634" s="41"/>
      <c r="C634" s="41"/>
      <c r="D634" s="41"/>
      <c r="E634" s="41"/>
      <c r="F634" s="41"/>
      <c r="G634" s="64"/>
      <c r="H634" s="64"/>
      <c r="I634" s="64"/>
      <c r="J634" s="64"/>
      <c r="K634" s="53"/>
      <c r="L634" s="53"/>
      <c r="M634" s="53"/>
      <c r="N634" s="53"/>
      <c r="O634" s="64"/>
      <c r="P634" s="64"/>
      <c r="Q634" s="57">
        <f>c_lung+c_hosp_fu+c_CSG</f>
        <v>54529.510902399998</v>
      </c>
      <c r="R634" s="57"/>
      <c r="S634" s="129"/>
      <c r="T634" s="105"/>
      <c r="U634" s="133"/>
      <c r="V634" s="133"/>
      <c r="W634" s="133"/>
      <c r="X634" s="133"/>
      <c r="Y634" s="133"/>
      <c r="Z634" s="134"/>
      <c r="AA634" s="6"/>
    </row>
    <row r="635" spans="1:27" x14ac:dyDescent="0.3">
      <c r="A635" s="41"/>
      <c r="B635" s="41"/>
      <c r="C635" s="41"/>
      <c r="D635" s="41"/>
      <c r="E635" s="41"/>
      <c r="F635" s="41"/>
      <c r="G635" s="64"/>
      <c r="H635" s="64"/>
      <c r="I635" s="64"/>
      <c r="J635" s="64"/>
      <c r="K635" s="53"/>
      <c r="L635" s="53"/>
      <c r="M635" s="53"/>
      <c r="N635" s="53"/>
      <c r="O635" s="64"/>
      <c r="P635" s="64"/>
      <c r="Q635" s="54" t="s">
        <v>226</v>
      </c>
      <c r="R635" s="54"/>
      <c r="S635" s="129"/>
      <c r="T635" s="105"/>
      <c r="U635" s="133">
        <f>$K$648*$I$637*$G$602*$E$531*$C$600*$A$555*$M$643*$O$638*Q636</f>
        <v>1.2019754050577085E-5</v>
      </c>
      <c r="V635" s="133">
        <v>1.9315931611062969E-5</v>
      </c>
      <c r="W635" s="134">
        <f>$K$649+$I$638+$G$603+$E$532+$C$601+$A$556+$M$644+$O$639+Q637</f>
        <v>55274.652256313741</v>
      </c>
      <c r="X635" s="133">
        <f>u_CongnitiveImpairement</f>
        <v>17.270393127285455</v>
      </c>
      <c r="Y635" s="133"/>
      <c r="Z635" s="134">
        <f>U635*W635</f>
        <v>0.66438772535206692</v>
      </c>
      <c r="AA635" s="6">
        <f>U635*X635</f>
        <v>2.0758587774674799E-4</v>
      </c>
    </row>
    <row r="636" spans="1:27" x14ac:dyDescent="0.3">
      <c r="A636" s="41"/>
      <c r="B636" s="41"/>
      <c r="C636" s="41"/>
      <c r="D636" s="41"/>
      <c r="E636" s="41"/>
      <c r="F636" s="41"/>
      <c r="G636" s="64"/>
      <c r="H636" s="64"/>
      <c r="I636" s="54" t="s">
        <v>425</v>
      </c>
      <c r="J636" s="64"/>
      <c r="K636" s="64"/>
      <c r="L636" s="64"/>
      <c r="M636" s="64"/>
      <c r="N636" s="64"/>
      <c r="O636" s="64"/>
      <c r="P636" s="64"/>
      <c r="Q636" s="56">
        <f>Hypo2CI_2-(Hypo2CI_2*RDS2CLD_2)</f>
        <v>3.2801999999999998E-2</v>
      </c>
      <c r="R636" s="56"/>
      <c r="S636" s="129"/>
      <c r="T636" s="105"/>
      <c r="U636" s="133"/>
      <c r="V636" s="133"/>
      <c r="W636" s="133"/>
      <c r="X636" s="133"/>
      <c r="Y636" s="133"/>
      <c r="Z636" s="134"/>
      <c r="AA636" s="6"/>
    </row>
    <row r="637" spans="1:27" x14ac:dyDescent="0.3">
      <c r="A637" s="41"/>
      <c r="B637" s="41"/>
      <c r="C637" s="41"/>
      <c r="D637" s="41"/>
      <c r="E637" s="41"/>
      <c r="F637" s="41"/>
      <c r="G637" s="64"/>
      <c r="H637" s="64"/>
      <c r="I637" s="56">
        <f>NBW_prem_2AGA_2</f>
        <v>1</v>
      </c>
      <c r="J637" s="64"/>
      <c r="K637" s="64"/>
      <c r="L637" s="64"/>
      <c r="M637" s="64"/>
      <c r="N637" s="64"/>
      <c r="O637" s="54" t="s">
        <v>161</v>
      </c>
      <c r="P637" s="64"/>
      <c r="Q637" s="57">
        <f>c_cog+c_hosp_fu+c_CSG</f>
        <v>15766</v>
      </c>
      <c r="R637" s="57"/>
      <c r="S637" s="129"/>
      <c r="T637" s="105"/>
      <c r="U637" s="133"/>
      <c r="V637" s="133"/>
      <c r="W637" s="133"/>
      <c r="X637" s="133"/>
      <c r="Y637" s="133"/>
      <c r="Z637" s="134"/>
      <c r="AA637" s="6"/>
    </row>
    <row r="638" spans="1:27" x14ac:dyDescent="0.3">
      <c r="A638" s="41"/>
      <c r="B638" s="41"/>
      <c r="C638" s="41"/>
      <c r="D638" s="41"/>
      <c r="E638" s="41"/>
      <c r="F638" s="41"/>
      <c r="G638" s="64"/>
      <c r="H638" s="64"/>
      <c r="I638" s="57"/>
      <c r="J638" s="64"/>
      <c r="K638" s="64"/>
      <c r="L638" s="64"/>
      <c r="M638" s="64"/>
      <c r="N638" s="64"/>
      <c r="O638" s="56">
        <f>AGA_prem_2hypoglycaemia_2</f>
        <v>0.15</v>
      </c>
      <c r="P638" s="64"/>
      <c r="Q638" s="54" t="s">
        <v>369</v>
      </c>
      <c r="R638" s="54"/>
      <c r="S638" s="129"/>
      <c r="T638" s="105"/>
      <c r="U638" s="133">
        <f>$K$648*$I$637*$G$602*$E$531*$C$600*$A$555*$M$643*$O$638*Q639</f>
        <v>6.7905026795904977E-6</v>
      </c>
      <c r="V638" s="133">
        <v>1.0912443367126341E-5</v>
      </c>
      <c r="W638" s="134">
        <f>$K$649+$I$638+$G$603+$E$532+$C$601+$A$556+$M$644+$O$639+Q640</f>
        <v>97857.163158713738</v>
      </c>
      <c r="X638" s="133">
        <f>u_ChronicResp+u_CongnitiveImpairement</f>
        <v>17.805052694763283</v>
      </c>
      <c r="Y638" s="133"/>
      <c r="Z638" s="134">
        <f>U638*W638</f>
        <v>0.66449932864637018</v>
      </c>
      <c r="AA638" s="6">
        <f>U638*X638</f>
        <v>1.2090525803404008E-4</v>
      </c>
    </row>
    <row r="639" spans="1:27" x14ac:dyDescent="0.3">
      <c r="A639" s="41"/>
      <c r="B639" s="41"/>
      <c r="C639" s="41"/>
      <c r="D639" s="41"/>
      <c r="E639" s="41"/>
      <c r="F639" s="41"/>
      <c r="G639" s="64"/>
      <c r="H639" s="64"/>
      <c r="I639" s="64"/>
      <c r="J639" s="64"/>
      <c r="K639" s="64"/>
      <c r="L639" s="64"/>
      <c r="M639" s="64"/>
      <c r="N639" s="64"/>
      <c r="O639" s="57">
        <f>c_hypo</f>
        <v>2936.2604000000001</v>
      </c>
      <c r="P639" s="64"/>
      <c r="Q639" s="56">
        <f>Hypo2CI_2*RDS2CLD_2</f>
        <v>1.8531333333333334E-2</v>
      </c>
      <c r="R639" s="56"/>
      <c r="S639" s="129"/>
      <c r="T639" s="105"/>
      <c r="U639" s="133"/>
      <c r="V639" s="133"/>
      <c r="W639" s="133"/>
      <c r="X639" s="133"/>
      <c r="Y639" s="133"/>
      <c r="Z639" s="134"/>
      <c r="AA639" s="6"/>
    </row>
    <row r="640" spans="1:27" x14ac:dyDescent="0.3">
      <c r="A640" s="41"/>
      <c r="B640" s="41"/>
      <c r="C640" s="41"/>
      <c r="D640" s="41"/>
      <c r="E640" s="41"/>
      <c r="F640" s="41"/>
      <c r="G640" s="64"/>
      <c r="H640" s="64"/>
      <c r="I640" s="64"/>
      <c r="J640" s="64"/>
      <c r="K640" s="64"/>
      <c r="L640" s="64"/>
      <c r="M640" s="65"/>
      <c r="N640" s="64"/>
      <c r="O640" s="53"/>
      <c r="P640" s="64"/>
      <c r="Q640" s="57">
        <f>c_lung+c_cog+c_hosp_fu+c_CSG</f>
        <v>58348.510902399998</v>
      </c>
      <c r="R640" s="57"/>
      <c r="S640" s="129"/>
      <c r="T640" s="105"/>
      <c r="U640" s="133"/>
      <c r="V640" s="133"/>
      <c r="W640" s="133"/>
      <c r="X640" s="133"/>
      <c r="Y640" s="133"/>
      <c r="Z640" s="134"/>
      <c r="AA640" s="6"/>
    </row>
    <row r="641" spans="1:27" x14ac:dyDescent="0.3">
      <c r="A641" s="41"/>
      <c r="B641" s="41"/>
      <c r="C641" s="41"/>
      <c r="D641" s="41"/>
      <c r="E641" s="41"/>
      <c r="F641" s="41"/>
      <c r="G641" s="64"/>
      <c r="H641" s="64"/>
      <c r="I641" s="64"/>
      <c r="J641" s="64"/>
      <c r="K641" s="64"/>
      <c r="L641" s="64"/>
      <c r="M641" s="64"/>
      <c r="N641" s="64"/>
      <c r="O641" s="64"/>
      <c r="P641" s="64"/>
      <c r="Q641" s="54" t="s">
        <v>370</v>
      </c>
      <c r="R641" s="54"/>
      <c r="S641" s="129"/>
      <c r="T641" s="105"/>
      <c r="U641" s="133">
        <f>$K$648*$I$637*$G$602*$E$531*$C$600*$A$555*$M$643*$O$638*Q642</f>
        <v>2.2213129888274278E-4</v>
      </c>
      <c r="V641" s="133">
        <v>3.5696845042263126E-4</v>
      </c>
      <c r="W641" s="134">
        <f>$K$649+$I$638+$G$603+$E$532+$C$601+$A$556+$M$644+$O$639+Q643</f>
        <v>53911.652256313741</v>
      </c>
      <c r="X641" s="133">
        <f>u_Healthy</f>
        <v>0</v>
      </c>
      <c r="Y641" s="133"/>
      <c r="Z641" s="134">
        <f>U641*W641</f>
        <v>11.975465340609722</v>
      </c>
      <c r="AA641" s="6">
        <f>U641*X641</f>
        <v>0</v>
      </c>
    </row>
    <row r="642" spans="1:27" x14ac:dyDescent="0.3">
      <c r="A642" s="41"/>
      <c r="B642" s="41"/>
      <c r="C642" s="41"/>
      <c r="D642" s="41"/>
      <c r="E642" s="41"/>
      <c r="F642" s="41"/>
      <c r="G642" s="64"/>
      <c r="H642" s="64"/>
      <c r="I642" s="64"/>
      <c r="J642" s="64"/>
      <c r="K642" s="64"/>
      <c r="L642" s="64"/>
      <c r="M642" s="54" t="s">
        <v>9</v>
      </c>
      <c r="N642" s="64"/>
      <c r="O642" s="64"/>
      <c r="P642" s="64"/>
      <c r="Q642" s="56">
        <f>1-Q633-Q636-Q639</f>
        <v>0.60619800000000001</v>
      </c>
      <c r="R642" s="56"/>
      <c r="S642" s="129"/>
      <c r="T642" s="105"/>
      <c r="U642" s="133"/>
      <c r="V642" s="133"/>
      <c r="W642" s="133"/>
      <c r="X642" s="133"/>
      <c r="Y642" s="133"/>
      <c r="Z642" s="134"/>
      <c r="AA642" s="6"/>
    </row>
    <row r="643" spans="1:27" x14ac:dyDescent="0.3">
      <c r="A643" s="41"/>
      <c r="B643" s="41"/>
      <c r="C643" s="41"/>
      <c r="D643" s="41"/>
      <c r="E643" s="41"/>
      <c r="F643" s="41"/>
      <c r="G643" s="64"/>
      <c r="H643" s="64"/>
      <c r="I643" s="64"/>
      <c r="J643" s="64"/>
      <c r="K643" s="65"/>
      <c r="L643" s="64"/>
      <c r="M643" s="56">
        <f>S_prem_2RDS_2</f>
        <v>0.45</v>
      </c>
      <c r="N643" s="64"/>
      <c r="O643" s="64"/>
      <c r="P643" s="64"/>
      <c r="Q643" s="57">
        <f>c_clinic_fu+c_CSG</f>
        <v>14403</v>
      </c>
      <c r="R643" s="57"/>
      <c r="S643" s="129"/>
      <c r="T643" s="105"/>
      <c r="U643" s="133"/>
      <c r="V643" s="133"/>
      <c r="W643" s="133"/>
      <c r="X643" s="133"/>
      <c r="Y643" s="133"/>
      <c r="Z643" s="134"/>
      <c r="AA643" s="6"/>
    </row>
    <row r="644" spans="1:27" x14ac:dyDescent="0.3">
      <c r="A644" s="41"/>
      <c r="B644" s="41"/>
      <c r="C644" s="41"/>
      <c r="D644" s="41"/>
      <c r="E644" s="41"/>
      <c r="F644" s="41"/>
      <c r="G644" s="64"/>
      <c r="H644" s="64"/>
      <c r="I644" s="64"/>
      <c r="J644" s="64"/>
      <c r="K644" s="65"/>
      <c r="L644" s="64"/>
      <c r="M644" s="57">
        <f>c_RDS</f>
        <v>30595.610148205637</v>
      </c>
      <c r="N644" s="64"/>
      <c r="O644" s="64"/>
      <c r="P644" s="64"/>
      <c r="Q644" s="65"/>
      <c r="R644" s="65"/>
      <c r="S644" s="129"/>
      <c r="T644" s="105"/>
      <c r="U644" s="133"/>
      <c r="V644" s="133"/>
      <c r="W644" s="133"/>
      <c r="X644" s="133"/>
      <c r="Y644" s="133"/>
      <c r="Z644" s="134"/>
      <c r="AA644" s="6"/>
    </row>
    <row r="645" spans="1:27" x14ac:dyDescent="0.3">
      <c r="A645" s="41"/>
      <c r="B645" s="41"/>
      <c r="C645" s="41"/>
      <c r="D645" s="41"/>
      <c r="E645" s="41"/>
      <c r="F645" s="41"/>
      <c r="G645" s="64"/>
      <c r="H645" s="64"/>
      <c r="I645" s="64"/>
      <c r="J645" s="64"/>
      <c r="K645" s="64"/>
      <c r="L645" s="64"/>
      <c r="M645" s="64"/>
      <c r="N645" s="64"/>
      <c r="O645" s="64"/>
      <c r="P645" s="64"/>
      <c r="Q645" s="54" t="s">
        <v>368</v>
      </c>
      <c r="R645" s="54"/>
      <c r="S645" s="129"/>
      <c r="T645" s="105"/>
      <c r="U645" s="133">
        <f>$K$648*$I$637*$G$602*$E$531*$C$600*$A$555*$M$643*$O$648*Q646</f>
        <v>7.2479996570682422E-4</v>
      </c>
      <c r="V645" s="133">
        <v>1.1647648121902823E-3</v>
      </c>
      <c r="W645" s="134">
        <f>$K$649+$I$638+$G$603+$E$532+$C$601+$A$556+$M$644+$O$649+Q647</f>
        <v>91101.902758713739</v>
      </c>
      <c r="X645" s="133">
        <f>u_ChronicResp</f>
        <v>0.53465956747782661</v>
      </c>
      <c r="Y645" s="133"/>
      <c r="Z645" s="134">
        <f>U645*W645</f>
        <v>66.030655995342158</v>
      </c>
      <c r="AA645" s="6">
        <f>U645*X645</f>
        <v>3.875212361727542E-4</v>
      </c>
    </row>
    <row r="646" spans="1:27" x14ac:dyDescent="0.3">
      <c r="A646" s="41"/>
      <c r="B646" s="41"/>
      <c r="C646" s="41"/>
      <c r="D646" s="41"/>
      <c r="E646" s="41"/>
      <c r="F646" s="41"/>
      <c r="G646" s="64"/>
      <c r="H646" s="64"/>
      <c r="I646" s="64"/>
      <c r="J646" s="64"/>
      <c r="K646" s="64"/>
      <c r="L646" s="64"/>
      <c r="M646" s="64"/>
      <c r="N646" s="64"/>
      <c r="O646" s="64"/>
      <c r="P646" s="64"/>
      <c r="Q646" s="56">
        <f>RDS2CLD_2-(RDS2CLD_2*noHypo2CI_2)</f>
        <v>0.34905610687022898</v>
      </c>
      <c r="R646" s="56"/>
      <c r="S646" s="129"/>
      <c r="T646" s="105"/>
      <c r="U646" s="133"/>
      <c r="V646" s="133"/>
      <c r="W646" s="133"/>
      <c r="X646" s="133"/>
      <c r="Y646" s="133"/>
      <c r="Z646" s="134"/>
      <c r="AA646" s="6"/>
    </row>
    <row r="647" spans="1:27" x14ac:dyDescent="0.3">
      <c r="A647" s="41"/>
      <c r="B647" s="41"/>
      <c r="C647" s="41"/>
      <c r="D647" s="41"/>
      <c r="E647" s="41"/>
      <c r="F647" s="41"/>
      <c r="G647" s="64"/>
      <c r="H647" s="64"/>
      <c r="I647" s="64"/>
      <c r="J647" s="64"/>
      <c r="K647" s="54" t="s">
        <v>37</v>
      </c>
      <c r="L647" s="64"/>
      <c r="M647" s="65"/>
      <c r="N647" s="64"/>
      <c r="O647" s="54" t="s">
        <v>371</v>
      </c>
      <c r="P647" s="64"/>
      <c r="Q647" s="57">
        <f>c_lung+c_hosp_fu+c_CSG</f>
        <v>54529.510902399998</v>
      </c>
      <c r="R647" s="57"/>
      <c r="S647" s="129"/>
      <c r="T647" s="105"/>
      <c r="U647" s="133"/>
      <c r="V647" s="133"/>
      <c r="W647" s="133"/>
      <c r="X647" s="133"/>
      <c r="Y647" s="133"/>
      <c r="Z647" s="134"/>
      <c r="AA647" s="6"/>
    </row>
    <row r="648" spans="1:27" x14ac:dyDescent="0.3">
      <c r="A648" s="41"/>
      <c r="B648" s="41"/>
      <c r="C648" s="41"/>
      <c r="D648" s="41"/>
      <c r="E648" s="41"/>
      <c r="F648" s="41"/>
      <c r="G648" s="64"/>
      <c r="H648" s="64"/>
      <c r="I648" s="64"/>
      <c r="J648" s="64"/>
      <c r="K648" s="56">
        <f>AGA_prem_2s_2</f>
        <v>0.96869424999999998</v>
      </c>
      <c r="L648" s="64"/>
      <c r="M648" s="64"/>
      <c r="N648" s="64"/>
      <c r="O648" s="56">
        <f>AGA_prem_2normoglycaemia_2</f>
        <v>0.85</v>
      </c>
      <c r="P648" s="64"/>
      <c r="Q648" s="54" t="s">
        <v>226</v>
      </c>
      <c r="R648" s="54"/>
      <c r="S648" s="129"/>
      <c r="T648" s="105"/>
      <c r="U648" s="133">
        <f>$K$648*$I$637*$G$602*$E$531*$C$600*$A$555*$M$643*$O$648*Q649</f>
        <v>4.3899794636936006E-5</v>
      </c>
      <c r="V648" s="133">
        <v>7.0547652421062041E-5</v>
      </c>
      <c r="W648" s="134">
        <f>$K$649+$I$638+$G$603+$E$532+$C$601+$A$556+$M$644+$O$649+Q650</f>
        <v>52338.391856313741</v>
      </c>
      <c r="X648" s="133">
        <f>u_CongnitiveImpairement</f>
        <v>17.270393127285455</v>
      </c>
      <c r="Y648" s="133"/>
      <c r="Z648" s="134">
        <f>U648*W648</f>
        <v>2.2976446541196571</v>
      </c>
      <c r="AA648" s="6">
        <f>U648*X648</f>
        <v>7.5816671158698249E-4</v>
      </c>
    </row>
    <row r="649" spans="1:27" x14ac:dyDescent="0.3">
      <c r="A649" s="41"/>
      <c r="B649" s="41"/>
      <c r="C649" s="41"/>
      <c r="D649" s="41"/>
      <c r="E649" s="41"/>
      <c r="F649" s="41"/>
      <c r="G649" s="64"/>
      <c r="H649" s="64"/>
      <c r="I649" s="64"/>
      <c r="J649" s="64"/>
      <c r="K649" s="57"/>
      <c r="L649" s="64"/>
      <c r="M649" s="64"/>
      <c r="N649" s="64"/>
      <c r="O649" s="57"/>
      <c r="P649" s="64"/>
      <c r="Q649" s="56">
        <f>noHypo2CI_2-(RDS2CLD_2*noHypo2CI_2)</f>
        <v>2.1141683406990762E-2</v>
      </c>
      <c r="R649" s="56"/>
      <c r="S649" s="129"/>
      <c r="T649" s="105"/>
      <c r="U649" s="133"/>
      <c r="V649" s="133"/>
      <c r="W649" s="133"/>
      <c r="X649" s="133"/>
      <c r="Y649" s="133"/>
      <c r="Z649" s="134"/>
      <c r="AA649" s="6"/>
    </row>
    <row r="650" spans="1:27" x14ac:dyDescent="0.3">
      <c r="A650" s="41"/>
      <c r="B650" s="41"/>
      <c r="C650" s="41"/>
      <c r="D650" s="41"/>
      <c r="E650" s="41"/>
      <c r="F650" s="41"/>
      <c r="G650" s="64"/>
      <c r="H650" s="64"/>
      <c r="I650" s="64"/>
      <c r="J650" s="64"/>
      <c r="K650" s="64"/>
      <c r="L650" s="64"/>
      <c r="M650" s="64"/>
      <c r="N650" s="64"/>
      <c r="O650" s="53"/>
      <c r="P650" s="64"/>
      <c r="Q650" s="57">
        <f>c_cog+c_hosp_fu+c_CSG</f>
        <v>15766</v>
      </c>
      <c r="R650" s="57"/>
      <c r="S650" s="129"/>
      <c r="T650" s="105"/>
      <c r="U650" s="133"/>
      <c r="V650" s="133"/>
      <c r="W650" s="133"/>
      <c r="X650" s="133"/>
      <c r="Y650" s="133"/>
      <c r="Z650" s="134"/>
      <c r="AA650" s="6"/>
    </row>
    <row r="651" spans="1:27" x14ac:dyDescent="0.3">
      <c r="A651" s="41"/>
      <c r="B651" s="41"/>
      <c r="C651" s="41"/>
      <c r="D651" s="41"/>
      <c r="E651" s="41"/>
      <c r="F651" s="41"/>
      <c r="G651" s="64"/>
      <c r="H651" s="64"/>
      <c r="I651" s="64"/>
      <c r="J651" s="64"/>
      <c r="K651" s="64"/>
      <c r="L651" s="64"/>
      <c r="M651" s="64"/>
      <c r="N651" s="64"/>
      <c r="O651" s="53"/>
      <c r="P651" s="64"/>
      <c r="Q651" s="54" t="s">
        <v>369</v>
      </c>
      <c r="R651" s="54"/>
      <c r="S651" s="129"/>
      <c r="T651" s="105"/>
      <c r="U651" s="133">
        <f>$K$648*$I$637*$G$602*$E$531*$C$600*$A$555*$M$643*$O$648*Q652</f>
        <v>2.4800979442776049E-5</v>
      </c>
      <c r="V651" s="133">
        <v>3.9855559505482618E-5</v>
      </c>
      <c r="W651" s="134">
        <f>$K$649+$I$638+$G$603+$E$532+$C$601+$A$556+$M$644+$O$649+Q653</f>
        <v>94920.902758713739</v>
      </c>
      <c r="X651" s="133">
        <f>u_ChronicResp+u_CongnitiveImpairement</f>
        <v>17.805052694763283</v>
      </c>
      <c r="Y651" s="133"/>
      <c r="Z651" s="134">
        <f>U651*W651</f>
        <v>2.3541313580086038</v>
      </c>
      <c r="AA651" s="6">
        <f>U651*X651</f>
        <v>4.4158274586036846E-4</v>
      </c>
    </row>
    <row r="652" spans="1:27" x14ac:dyDescent="0.3">
      <c r="A652" s="41"/>
      <c r="B652" s="41"/>
      <c r="C652" s="41"/>
      <c r="D652" s="41"/>
      <c r="E652" s="41"/>
      <c r="F652" s="41"/>
      <c r="G652" s="64"/>
      <c r="H652" s="64"/>
      <c r="I652" s="64"/>
      <c r="J652" s="64"/>
      <c r="K652" s="64"/>
      <c r="L652" s="64"/>
      <c r="M652" s="64"/>
      <c r="N652" s="64"/>
      <c r="O652" s="53"/>
      <c r="P652" s="64"/>
      <c r="Q652" s="56">
        <f>RDS2CLD_2*noHypo2CI_2</f>
        <v>1.1943893129770991E-2</v>
      </c>
      <c r="R652" s="56"/>
      <c r="S652" s="129"/>
      <c r="T652" s="105"/>
      <c r="U652" s="133"/>
      <c r="V652" s="133"/>
      <c r="W652" s="133"/>
      <c r="X652" s="133"/>
      <c r="Y652" s="133"/>
      <c r="Z652" s="134"/>
      <c r="AA652" s="6"/>
    </row>
    <row r="653" spans="1:27" x14ac:dyDescent="0.3">
      <c r="A653" s="41"/>
      <c r="B653" s="41"/>
      <c r="C653" s="41"/>
      <c r="D653" s="41"/>
      <c r="E653" s="41"/>
      <c r="F653" s="41"/>
      <c r="G653" s="64"/>
      <c r="H653" s="64"/>
      <c r="I653" s="64"/>
      <c r="J653" s="64"/>
      <c r="K653" s="64"/>
      <c r="L653" s="64"/>
      <c r="M653" s="64"/>
      <c r="N653" s="64"/>
      <c r="O653" s="53"/>
      <c r="P653" s="64"/>
      <c r="Q653" s="57">
        <f>c_cog+c_lung+c_hosp_fu+c_CSG</f>
        <v>58348.510902399998</v>
      </c>
      <c r="R653" s="57"/>
      <c r="S653" s="129"/>
      <c r="T653" s="105"/>
      <c r="U653" s="133"/>
      <c r="V653" s="133"/>
      <c r="W653" s="133"/>
      <c r="X653" s="133"/>
      <c r="Y653" s="133"/>
      <c r="Z653" s="134"/>
      <c r="AA653" s="6"/>
    </row>
    <row r="654" spans="1:27" x14ac:dyDescent="0.3">
      <c r="A654" s="41"/>
      <c r="B654" s="41"/>
      <c r="C654" s="41"/>
      <c r="D654" s="41"/>
      <c r="E654" s="41"/>
      <c r="F654" s="41"/>
      <c r="G654" s="64"/>
      <c r="H654" s="64"/>
      <c r="I654" s="64"/>
      <c r="J654" s="64"/>
      <c r="K654" s="64"/>
      <c r="L654" s="64"/>
      <c r="M654" s="64"/>
      <c r="N654" s="64"/>
      <c r="O654" s="53"/>
      <c r="P654" s="64"/>
      <c r="Q654" s="54" t="s">
        <v>370</v>
      </c>
      <c r="R654" s="54"/>
      <c r="S654" s="129"/>
      <c r="T654" s="105"/>
      <c r="U654" s="133">
        <f>$K$648*$I$637*$G$602*$E$531*$C$600*$A$555*$M$643*$O$648*Q655</f>
        <v>1.2829561719852102E-3</v>
      </c>
      <c r="V654" s="133">
        <v>2.0617305124365388E-3</v>
      </c>
      <c r="W654" s="134">
        <f>$K$649+$I$638+$G$603+$E$532+$C$601+$A$556+$M$644+$O$649+Q656</f>
        <v>50975.391856313741</v>
      </c>
      <c r="X654" s="133">
        <f>u_Healthy</f>
        <v>0</v>
      </c>
      <c r="Y654" s="133"/>
      <c r="Z654" s="134">
        <f>U654*W654</f>
        <v>65.39919360142234</v>
      </c>
      <c r="AA654" s="6">
        <f>U654*X654</f>
        <v>0</v>
      </c>
    </row>
    <row r="655" spans="1:27" x14ac:dyDescent="0.3">
      <c r="A655" s="41"/>
      <c r="B655" s="41"/>
      <c r="C655" s="41"/>
      <c r="D655" s="41"/>
      <c r="E655" s="41"/>
      <c r="F655" s="41"/>
      <c r="G655" s="64"/>
      <c r="H655" s="64"/>
      <c r="I655" s="64"/>
      <c r="J655" s="64"/>
      <c r="K655" s="64"/>
      <c r="L655" s="64"/>
      <c r="M655" s="64"/>
      <c r="N655" s="64"/>
      <c r="O655" s="53"/>
      <c r="P655" s="64"/>
      <c r="Q655" s="56">
        <f>1-Q652-Q649-Q646</f>
        <v>0.61785831659300938</v>
      </c>
      <c r="R655" s="56"/>
      <c r="T655" s="105"/>
      <c r="U655" s="133"/>
      <c r="V655" s="133"/>
      <c r="W655" s="133"/>
      <c r="X655" s="133"/>
      <c r="Y655" s="133"/>
      <c r="Z655" s="134"/>
      <c r="AA655" s="6"/>
    </row>
    <row r="656" spans="1:27" x14ac:dyDescent="0.3">
      <c r="A656" s="41"/>
      <c r="B656" s="41"/>
      <c r="C656" s="41"/>
      <c r="D656" s="41"/>
      <c r="E656" s="41"/>
      <c r="F656" s="41"/>
      <c r="G656" s="64"/>
      <c r="H656" s="64"/>
      <c r="I656" s="64"/>
      <c r="J656" s="64"/>
      <c r="K656" s="64"/>
      <c r="L656" s="64"/>
      <c r="M656" s="64"/>
      <c r="N656" s="64"/>
      <c r="O656" s="64"/>
      <c r="P656" s="64"/>
      <c r="Q656" s="57">
        <f>c_clinic_fu+c_CSG</f>
        <v>14403</v>
      </c>
      <c r="R656" s="57"/>
      <c r="S656" s="129"/>
      <c r="T656" s="105"/>
      <c r="U656" s="133"/>
      <c r="V656" s="133"/>
      <c r="W656" s="133"/>
      <c r="X656" s="133"/>
      <c r="Y656" s="133"/>
      <c r="Z656" s="134"/>
      <c r="AA656" s="6"/>
    </row>
    <row r="657" spans="1:27" x14ac:dyDescent="0.3">
      <c r="A657" s="41"/>
      <c r="B657" s="41"/>
      <c r="C657" s="41"/>
      <c r="D657" s="41"/>
      <c r="E657" s="41"/>
      <c r="F657" s="41"/>
      <c r="G657" s="64"/>
      <c r="H657" s="64"/>
      <c r="I657" s="64"/>
      <c r="J657" s="64"/>
      <c r="K657" s="64"/>
      <c r="L657" s="64"/>
      <c r="M657" s="64"/>
      <c r="N657" s="64"/>
      <c r="O657" s="64"/>
      <c r="P657" s="64"/>
      <c r="Q657" s="65"/>
      <c r="R657" s="65"/>
      <c r="S657" s="129"/>
      <c r="T657" s="105"/>
      <c r="U657" s="133"/>
      <c r="V657" s="133"/>
      <c r="W657" s="133"/>
      <c r="X657" s="133"/>
      <c r="Y657" s="133"/>
      <c r="Z657" s="134"/>
      <c r="AA657" s="6"/>
    </row>
    <row r="658" spans="1:27" x14ac:dyDescent="0.3">
      <c r="A658" s="41"/>
      <c r="B658" s="41"/>
      <c r="C658" s="41"/>
      <c r="D658" s="41"/>
      <c r="E658" s="41"/>
      <c r="F658" s="41"/>
      <c r="G658" s="53"/>
      <c r="H658" s="64"/>
      <c r="I658" s="64"/>
      <c r="J658" s="64"/>
      <c r="K658" s="64"/>
      <c r="L658" s="64"/>
      <c r="M658" s="64"/>
      <c r="N658" s="64"/>
      <c r="O658" s="64"/>
      <c r="P658" s="64"/>
      <c r="Q658" s="54" t="s">
        <v>368</v>
      </c>
      <c r="R658" s="54"/>
      <c r="S658" s="129"/>
      <c r="T658" s="105"/>
      <c r="U658" s="133">
        <f>$K$648*$I$637*$G$602*$E$531*$C$600*$A$555*$M$663*$O$661*Q659</f>
        <v>1.5337913195329013E-4</v>
      </c>
      <c r="V658" s="133">
        <v>2.4648264938763152E-4</v>
      </c>
      <c r="W658" s="134">
        <f>$K$649+$I$638+$G$603+$E$532+$C$601+$A$556+$M$664+$O$662+Q660</f>
        <v>63442.553010508105</v>
      </c>
      <c r="X658" s="133">
        <f>u_ChronicResp</f>
        <v>0.53465956747782661</v>
      </c>
      <c r="Y658" s="133"/>
      <c r="Z658" s="134">
        <f>U658*W658</f>
        <v>9.7307637096523258</v>
      </c>
      <c r="AA658" s="6">
        <f>U658*X658</f>
        <v>8.2005620350270595E-5</v>
      </c>
    </row>
    <row r="659" spans="1:27" x14ac:dyDescent="0.3">
      <c r="A659" s="41"/>
      <c r="B659" s="41"/>
      <c r="C659" s="41"/>
      <c r="D659" s="41"/>
      <c r="E659" s="41"/>
      <c r="F659" s="41"/>
      <c r="G659" s="64"/>
      <c r="H659" s="64"/>
      <c r="I659" s="64"/>
      <c r="J659" s="64"/>
      <c r="K659" s="64"/>
      <c r="L659" s="64"/>
      <c r="M659" s="64"/>
      <c r="N659" s="64"/>
      <c r="O659" s="64"/>
      <c r="P659" s="64"/>
      <c r="Q659" s="56">
        <f>RDS2CLD_2-(Hypo2CI_2*RDS2CLD_2)</f>
        <v>0.34246866666666664</v>
      </c>
      <c r="R659" s="56"/>
      <c r="S659" s="129"/>
      <c r="T659" s="105"/>
      <c r="U659" s="133"/>
      <c r="V659" s="133"/>
      <c r="W659" s="133"/>
      <c r="X659" s="133"/>
      <c r="Y659" s="133"/>
      <c r="Z659" s="134"/>
      <c r="AA659" s="6"/>
    </row>
    <row r="660" spans="1:27" x14ac:dyDescent="0.3">
      <c r="A660" s="41"/>
      <c r="B660" s="41"/>
      <c r="C660" s="41"/>
      <c r="D660" s="41"/>
      <c r="E660" s="41"/>
      <c r="F660" s="41"/>
      <c r="G660" s="64"/>
      <c r="H660" s="64"/>
      <c r="I660" s="64"/>
      <c r="J660" s="64"/>
      <c r="K660" s="64"/>
      <c r="L660" s="64"/>
      <c r="M660" s="64"/>
      <c r="N660" s="64"/>
      <c r="O660" s="54" t="s">
        <v>161</v>
      </c>
      <c r="P660" s="64"/>
      <c r="Q660" s="57">
        <f>c_lung+c_hosp_fu+c_CSG</f>
        <v>54529.510902399998</v>
      </c>
      <c r="R660" s="57"/>
      <c r="S660" s="129"/>
      <c r="T660" s="105"/>
      <c r="U660" s="133"/>
      <c r="V660" s="133"/>
      <c r="W660" s="133"/>
      <c r="X660" s="133"/>
      <c r="Y660" s="133"/>
      <c r="Z660" s="134"/>
      <c r="AA660" s="6"/>
    </row>
    <row r="661" spans="1:27" x14ac:dyDescent="0.3">
      <c r="A661" s="41"/>
      <c r="B661" s="41"/>
      <c r="C661" s="41"/>
      <c r="D661" s="41"/>
      <c r="E661" s="41"/>
      <c r="F661" s="41"/>
      <c r="G661" s="64"/>
      <c r="H661" s="64"/>
      <c r="I661" s="64"/>
      <c r="J661" s="64"/>
      <c r="K661" s="64"/>
      <c r="L661" s="64"/>
      <c r="M661" s="64"/>
      <c r="N661" s="64"/>
      <c r="O661" s="56">
        <f>AGA_prem_2hypoglycaemia_2</f>
        <v>0.15</v>
      </c>
      <c r="P661" s="64"/>
      <c r="Q661" s="54" t="s">
        <v>226</v>
      </c>
      <c r="R661" s="54"/>
      <c r="S661" s="129"/>
      <c r="T661" s="105"/>
      <c r="U661" s="133">
        <f>$K$648*$I$637*$G$602*$E$531*$C$600*$A$555*$M$663*$O$661*Q662</f>
        <v>1.4690810506260882E-5</v>
      </c>
      <c r="V661" s="133">
        <v>2.3608360857965852E-5</v>
      </c>
      <c r="W661" s="134">
        <f>$K$649+$I$638+$G$603+$E$532+$C$601+$A$556+$M$664+$O$662+Q663</f>
        <v>24679.042108108108</v>
      </c>
      <c r="X661" s="133">
        <f>u_CongnitiveImpairement</f>
        <v>17.270393127285455</v>
      </c>
      <c r="Y661" s="133"/>
      <c r="Z661" s="134">
        <f>U661*W661</f>
        <v>0.36255513108624926</v>
      </c>
      <c r="AA661" s="6">
        <f>U661*X661</f>
        <v>2.5371607280158087E-4</v>
      </c>
    </row>
    <row r="662" spans="1:27" x14ac:dyDescent="0.3">
      <c r="A662" s="41"/>
      <c r="B662" s="41"/>
      <c r="C662" s="41"/>
      <c r="D662" s="41"/>
      <c r="E662" s="41"/>
      <c r="F662" s="41"/>
      <c r="G662" s="64"/>
      <c r="H662" s="64"/>
      <c r="I662" s="64"/>
      <c r="J662" s="64"/>
      <c r="K662" s="64"/>
      <c r="L662" s="64"/>
      <c r="M662" s="54" t="s">
        <v>203</v>
      </c>
      <c r="N662" s="64"/>
      <c r="O662" s="57">
        <f>c_hypo</f>
        <v>2936.2604000000001</v>
      </c>
      <c r="P662" s="64"/>
      <c r="Q662" s="56">
        <f>Hypo2CI_2-(Hypo2CI_2*RDS2CLD_2)</f>
        <v>3.2801999999999998E-2</v>
      </c>
      <c r="R662" s="56"/>
      <c r="S662" s="129"/>
      <c r="T662" s="105"/>
      <c r="U662" s="133"/>
      <c r="V662" s="133"/>
      <c r="W662" s="133"/>
      <c r="X662" s="133"/>
      <c r="Y662" s="133"/>
      <c r="Z662" s="134"/>
      <c r="AA662" s="6"/>
    </row>
    <row r="663" spans="1:27" x14ac:dyDescent="0.3">
      <c r="A663" s="41"/>
      <c r="B663" s="41"/>
      <c r="C663" s="41"/>
      <c r="D663" s="41"/>
      <c r="E663" s="41"/>
      <c r="F663" s="41"/>
      <c r="G663" s="64"/>
      <c r="H663" s="64"/>
      <c r="I663" s="64"/>
      <c r="J663" s="64"/>
      <c r="K663" s="64"/>
      <c r="L663" s="64"/>
      <c r="M663" s="56">
        <f>S_prem_2noRDS_2</f>
        <v>0.55000000000000004</v>
      </c>
      <c r="N663" s="64"/>
      <c r="O663" s="53"/>
      <c r="P663" s="64"/>
      <c r="Q663" s="57">
        <f>c_cog+c_hosp_fu+c_CSG</f>
        <v>15766</v>
      </c>
      <c r="R663" s="57"/>
      <c r="S663" s="129"/>
      <c r="T663" s="105"/>
      <c r="U663" s="133"/>
      <c r="V663" s="133"/>
      <c r="W663" s="133"/>
      <c r="X663" s="133"/>
      <c r="Y663" s="133"/>
      <c r="Z663" s="134"/>
      <c r="AA663" s="6"/>
    </row>
    <row r="664" spans="1:27" x14ac:dyDescent="0.3">
      <c r="A664" s="41"/>
      <c r="B664" s="41"/>
      <c r="C664" s="41"/>
      <c r="D664" s="41"/>
      <c r="E664" s="41"/>
      <c r="F664" s="41"/>
      <c r="G664" s="64"/>
      <c r="H664" s="64"/>
      <c r="I664" s="64"/>
      <c r="J664" s="64"/>
      <c r="K664" s="64"/>
      <c r="L664" s="64"/>
      <c r="M664" s="57"/>
      <c r="N664" s="64"/>
      <c r="O664" s="65"/>
      <c r="P664" s="64"/>
      <c r="Q664" s="54" t="s">
        <v>369</v>
      </c>
      <c r="R664" s="54"/>
      <c r="S664" s="129"/>
      <c r="T664" s="105"/>
      <c r="U664" s="133">
        <f>$K$648*$I$637*$G$602*$E$531*$C$600*$A$555*$M$663*$O$661*Q665</f>
        <v>8.2995032750550529E-6</v>
      </c>
      <c r="V664" s="133">
        <v>1.3337430782043308E-5</v>
      </c>
      <c r="W664" s="134">
        <f>$K$649+$I$638+$G$603+$E$532+$C$601+$A$556+$M$664+$O$662+Q666</f>
        <v>67261.553010508098</v>
      </c>
      <c r="X664" s="133">
        <f>u_ChronicResp+u_CongnitiveImpairement</f>
        <v>17.805052694763283</v>
      </c>
      <c r="Y664" s="133"/>
      <c r="Z664" s="134">
        <f>U664*W664</f>
        <v>0.558237479496001</v>
      </c>
      <c r="AA664" s="6">
        <f>U664*X664</f>
        <v>1.4777309315271565E-4</v>
      </c>
    </row>
    <row r="665" spans="1:27" x14ac:dyDescent="0.3">
      <c r="A665" s="41"/>
      <c r="B665" s="41"/>
      <c r="C665" s="41"/>
      <c r="D665" s="41"/>
      <c r="E665" s="41"/>
      <c r="F665" s="41"/>
      <c r="G665" s="64"/>
      <c r="H665" s="64"/>
      <c r="I665" s="53"/>
      <c r="J665" s="53"/>
      <c r="K665" s="64"/>
      <c r="L665" s="64"/>
      <c r="M665" s="65"/>
      <c r="N665" s="64"/>
      <c r="O665" s="41"/>
      <c r="P665" s="64"/>
      <c r="Q665" s="56">
        <f>Hypo2CI_2*RDS2CLD_2</f>
        <v>1.8531333333333334E-2</v>
      </c>
      <c r="R665" s="56"/>
      <c r="S665" s="129"/>
      <c r="T665" s="105"/>
      <c r="U665" s="133"/>
      <c r="V665" s="133"/>
      <c r="W665" s="133"/>
      <c r="X665" s="133"/>
      <c r="Y665" s="133"/>
      <c r="Z665" s="134"/>
      <c r="AA665" s="6"/>
    </row>
    <row r="666" spans="1:27" x14ac:dyDescent="0.3">
      <c r="A666" s="41"/>
      <c r="B666" s="41"/>
      <c r="C666" s="41"/>
      <c r="D666" s="41"/>
      <c r="E666" s="41"/>
      <c r="F666" s="41"/>
      <c r="G666" s="64"/>
      <c r="H666" s="64"/>
      <c r="I666" s="53"/>
      <c r="J666" s="53"/>
      <c r="K666" s="64"/>
      <c r="L666" s="64"/>
      <c r="M666" s="65"/>
      <c r="N666" s="64"/>
      <c r="O666" s="41"/>
      <c r="P666" s="64"/>
      <c r="Q666" s="57">
        <f>c_lung+c_cog+c_hosp_fu+c_CSG</f>
        <v>58348.510902399998</v>
      </c>
      <c r="R666" s="57"/>
      <c r="S666" s="129"/>
      <c r="T666" s="105"/>
      <c r="U666" s="133"/>
      <c r="V666" s="133"/>
      <c r="W666" s="133"/>
      <c r="X666" s="133"/>
      <c r="Y666" s="133"/>
      <c r="Z666" s="134"/>
      <c r="AA666" s="6"/>
    </row>
    <row r="667" spans="1:27" x14ac:dyDescent="0.3">
      <c r="A667" s="41"/>
      <c r="B667" s="41"/>
      <c r="C667" s="41"/>
      <c r="D667" s="41"/>
      <c r="E667" s="41"/>
      <c r="F667" s="41"/>
      <c r="G667" s="64"/>
      <c r="H667" s="64"/>
      <c r="I667" s="53"/>
      <c r="J667" s="53"/>
      <c r="K667" s="64"/>
      <c r="L667" s="64"/>
      <c r="M667" s="65"/>
      <c r="N667" s="64"/>
      <c r="O667" s="41"/>
      <c r="P667" s="64"/>
      <c r="Q667" s="54" t="s">
        <v>370</v>
      </c>
      <c r="R667" s="54"/>
      <c r="S667" s="129"/>
      <c r="T667" s="105"/>
      <c r="U667" s="133">
        <f>$K$648*$I$637*$G$602*$E$531*$C$600*$A$555*$M$663*$O$661*Q668</f>
        <v>2.714938097455745E-4</v>
      </c>
      <c r="V667" s="133">
        <v>4.3629477273877156E-4</v>
      </c>
      <c r="W667" s="134">
        <f>$K$649+$I$638+$G$603+$E$532+$C$601+$A$556+$M$664+$O$662+Q669</f>
        <v>23316.042108108108</v>
      </c>
      <c r="X667" s="133">
        <f>u_Healthy</f>
        <v>0</v>
      </c>
      <c r="Y667" s="133"/>
      <c r="Z667" s="134">
        <f>U667*W667</f>
        <v>6.3301611001185067</v>
      </c>
      <c r="AA667" s="6">
        <f>U667*X667</f>
        <v>0</v>
      </c>
    </row>
    <row r="668" spans="1:27" x14ac:dyDescent="0.3">
      <c r="A668" s="41"/>
      <c r="B668" s="41"/>
      <c r="C668" s="41"/>
      <c r="D668" s="41"/>
      <c r="E668" s="41"/>
      <c r="F668" s="41"/>
      <c r="G668" s="64"/>
      <c r="H668" s="64"/>
      <c r="I668" s="53"/>
      <c r="J668" s="53"/>
      <c r="K668" s="64"/>
      <c r="L668" s="64"/>
      <c r="M668" s="65"/>
      <c r="N668" s="64"/>
      <c r="O668" s="65"/>
      <c r="P668" s="64"/>
      <c r="Q668" s="56">
        <f>1-Q659-Q662-Q665</f>
        <v>0.60619800000000001</v>
      </c>
      <c r="R668" s="56"/>
      <c r="S668" s="129"/>
      <c r="T668" s="105"/>
      <c r="U668" s="133"/>
      <c r="V668" s="133"/>
      <c r="W668" s="133"/>
      <c r="X668" s="133"/>
      <c r="Y668" s="133"/>
      <c r="Z668" s="134"/>
      <c r="AA668" s="6"/>
    </row>
    <row r="669" spans="1:27" x14ac:dyDescent="0.3">
      <c r="A669" s="41"/>
      <c r="B669" s="41"/>
      <c r="C669" s="41"/>
      <c r="D669" s="41"/>
      <c r="E669" s="41"/>
      <c r="F669" s="41"/>
      <c r="G669" s="64"/>
      <c r="H669" s="64"/>
      <c r="I669" s="53"/>
      <c r="J669" s="53"/>
      <c r="K669" s="64"/>
      <c r="L669" s="64"/>
      <c r="M669" s="65"/>
      <c r="N669" s="64"/>
      <c r="O669" s="64"/>
      <c r="P669" s="64"/>
      <c r="Q669" s="57">
        <f>c_clinic_fu+c_CSG</f>
        <v>14403</v>
      </c>
      <c r="R669" s="57"/>
      <c r="T669" s="105"/>
      <c r="U669" s="133"/>
      <c r="V669" s="133"/>
      <c r="W669" s="133"/>
      <c r="X669" s="133"/>
      <c r="Y669" s="133"/>
      <c r="Z669" s="134"/>
      <c r="AA669" s="6"/>
    </row>
    <row r="670" spans="1:27" x14ac:dyDescent="0.3">
      <c r="A670" s="41"/>
      <c r="B670" s="41"/>
      <c r="C670" s="41"/>
      <c r="D670" s="41"/>
      <c r="E670" s="41"/>
      <c r="F670" s="41"/>
      <c r="G670" s="64"/>
      <c r="H670" s="64"/>
      <c r="I670" s="41"/>
      <c r="J670" s="64"/>
      <c r="K670" s="64"/>
      <c r="L670" s="64"/>
      <c r="M670" s="65"/>
      <c r="N670" s="64"/>
      <c r="O670" s="64"/>
      <c r="P670" s="64"/>
      <c r="Q670" s="65"/>
      <c r="R670" s="65"/>
      <c r="S670" s="130"/>
      <c r="T670" s="105"/>
      <c r="U670" s="133"/>
      <c r="V670" s="133"/>
      <c r="W670" s="133"/>
      <c r="X670" s="133"/>
      <c r="Y670" s="133"/>
      <c r="Z670" s="134"/>
      <c r="AA670" s="6"/>
    </row>
    <row r="671" spans="1:27" x14ac:dyDescent="0.3">
      <c r="A671" s="41"/>
      <c r="B671" s="41"/>
      <c r="C671" s="41"/>
      <c r="D671" s="41"/>
      <c r="E671" s="41"/>
      <c r="F671" s="41"/>
      <c r="G671" s="64"/>
      <c r="H671" s="64"/>
      <c r="I671" s="41"/>
      <c r="J671" s="64"/>
      <c r="K671" s="64"/>
      <c r="L671" s="64"/>
      <c r="M671" s="65"/>
      <c r="N671" s="64"/>
      <c r="O671" s="64"/>
      <c r="P671" s="64"/>
      <c r="Q671" s="54" t="s">
        <v>368</v>
      </c>
      <c r="R671" s="54"/>
      <c r="S671" s="129"/>
      <c r="T671" s="105"/>
      <c r="U671" s="133">
        <f>$K$648*$I$637*$G$602*$E$531*$C$600*$A$555*$M$663*$O$675*Q672</f>
        <v>8.8586662475278522E-4</v>
      </c>
      <c r="V671" s="133">
        <v>1.423601437121456E-3</v>
      </c>
      <c r="W671" s="134">
        <f>$K$649+$I$638+$G$603+$E$532+$C$601+$A$556+$M$664+$O$676+Q673</f>
        <v>60506.292610508106</v>
      </c>
      <c r="X671" s="133">
        <f>u_ChronicResp</f>
        <v>0.53465956747782661</v>
      </c>
      <c r="Y671" s="133"/>
      <c r="Z671" s="134">
        <f>U671*W671</f>
        <v>53.600505211175204</v>
      </c>
      <c r="AA671" s="6">
        <f>U671*X671</f>
        <v>4.736370664333663E-4</v>
      </c>
    </row>
    <row r="672" spans="1:27" x14ac:dyDescent="0.3">
      <c r="A672" s="41"/>
      <c r="B672" s="41"/>
      <c r="C672" s="41"/>
      <c r="D672" s="41"/>
      <c r="E672" s="41"/>
      <c r="F672" s="41"/>
      <c r="G672" s="64"/>
      <c r="H672" s="64"/>
      <c r="I672" s="41"/>
      <c r="J672" s="64"/>
      <c r="K672" s="64"/>
      <c r="L672" s="64"/>
      <c r="M672" s="65"/>
      <c r="N672" s="64"/>
      <c r="O672" s="64"/>
      <c r="P672" s="64"/>
      <c r="Q672" s="56">
        <f>RDS2CLD_2-(RDS2CLD_2*noHypo2CI_2)</f>
        <v>0.34905610687022898</v>
      </c>
      <c r="R672" s="56"/>
      <c r="S672" s="129"/>
      <c r="T672" s="105"/>
      <c r="U672" s="133"/>
      <c r="V672" s="133"/>
      <c r="W672" s="133"/>
      <c r="X672" s="133"/>
      <c r="Y672" s="133"/>
      <c r="Z672" s="134"/>
      <c r="AA672" s="6"/>
    </row>
    <row r="673" spans="1:27" x14ac:dyDescent="0.3">
      <c r="A673" s="41"/>
      <c r="B673" s="41"/>
      <c r="C673" s="41"/>
      <c r="D673" s="41"/>
      <c r="E673" s="41"/>
      <c r="F673" s="41"/>
      <c r="G673" s="64"/>
      <c r="H673" s="64"/>
      <c r="I673" s="64"/>
      <c r="J673" s="64"/>
      <c r="K673" s="64"/>
      <c r="L673" s="64"/>
      <c r="M673" s="65"/>
      <c r="N673" s="64"/>
      <c r="O673" s="64"/>
      <c r="P673" s="64"/>
      <c r="Q673" s="57">
        <f>c_lung+c_hosp_fu+c_CSG</f>
        <v>54529.510902399998</v>
      </c>
      <c r="R673" s="57"/>
      <c r="S673" s="129"/>
      <c r="T673" s="105"/>
      <c r="U673" s="133"/>
      <c r="V673" s="133"/>
      <c r="W673" s="133"/>
      <c r="X673" s="133"/>
      <c r="Y673" s="133"/>
      <c r="Z673" s="134"/>
      <c r="AA673" s="6"/>
    </row>
    <row r="674" spans="1:27" x14ac:dyDescent="0.3">
      <c r="A674" s="41"/>
      <c r="B674" s="41"/>
      <c r="C674" s="41"/>
      <c r="D674" s="41"/>
      <c r="E674" s="41"/>
      <c r="F674" s="41"/>
      <c r="G674" s="64"/>
      <c r="H674" s="64"/>
      <c r="I674" s="64"/>
      <c r="J674" s="64"/>
      <c r="K674" s="64"/>
      <c r="L674" s="64"/>
      <c r="M674" s="65"/>
      <c r="N674" s="64"/>
      <c r="O674" s="54" t="s">
        <v>371</v>
      </c>
      <c r="P674" s="64"/>
      <c r="Q674" s="54" t="s">
        <v>226</v>
      </c>
      <c r="R674" s="54"/>
      <c r="S674" s="129"/>
      <c r="T674" s="105"/>
      <c r="U674" s="133">
        <f>$K$648*$I$637*$G$602*$E$531*$C$600*$A$555*$M$663*$O$675*Q675</f>
        <v>5.3655304556255121E-5</v>
      </c>
      <c r="V674" s="133">
        <v>8.6224908514631385E-5</v>
      </c>
      <c r="W674" s="134">
        <f>$K$649+$I$638+$G$603+$E$532+$C$601+$A$556+$M$664+$O$676+Q676</f>
        <v>21742.781708108108</v>
      </c>
      <c r="X674" s="133">
        <f>u_CongnitiveImpairement</f>
        <v>17.270393127285455</v>
      </c>
      <c r="Y674" s="133"/>
      <c r="Z674" s="134">
        <f>U674*W674</f>
        <v>1.1666155744487134</v>
      </c>
      <c r="AA674" s="6">
        <f>U674*X674</f>
        <v>9.2664820305075641E-4</v>
      </c>
    </row>
    <row r="675" spans="1:27" x14ac:dyDescent="0.3">
      <c r="A675" s="41"/>
      <c r="B675" s="41"/>
      <c r="C675" s="41"/>
      <c r="D675" s="41"/>
      <c r="E675" s="41"/>
      <c r="F675" s="41"/>
      <c r="G675" s="64"/>
      <c r="H675" s="64"/>
      <c r="I675" s="64"/>
      <c r="J675" s="64"/>
      <c r="K675" s="64"/>
      <c r="L675" s="64"/>
      <c r="M675" s="65"/>
      <c r="N675" s="64"/>
      <c r="O675" s="56">
        <f>AGA_prem_2normoglycaemia_2</f>
        <v>0.85</v>
      </c>
      <c r="P675" s="64"/>
      <c r="Q675" s="56">
        <f>noHypo2CI_2-(RDS2CLD_2*noHypo2CI_2)</f>
        <v>2.1141683406990762E-2</v>
      </c>
      <c r="R675" s="56"/>
      <c r="S675" s="129"/>
      <c r="T675" s="105"/>
      <c r="U675" s="133"/>
      <c r="V675" s="133"/>
      <c r="W675" s="133"/>
      <c r="X675" s="133"/>
      <c r="Y675" s="133"/>
      <c r="Z675" s="134"/>
      <c r="AA675" s="6"/>
    </row>
    <row r="676" spans="1:27" x14ac:dyDescent="0.3">
      <c r="A676" s="41"/>
      <c r="B676" s="41"/>
      <c r="C676" s="41"/>
      <c r="D676" s="41"/>
      <c r="E676" s="41"/>
      <c r="F676" s="41"/>
      <c r="G676" s="64"/>
      <c r="H676" s="64"/>
      <c r="I676" s="64"/>
      <c r="J676" s="64"/>
      <c r="K676" s="64"/>
      <c r="L676" s="64"/>
      <c r="M676" s="65"/>
      <c r="N676" s="64"/>
      <c r="O676" s="57"/>
      <c r="P676" s="64"/>
      <c r="Q676" s="57">
        <f>c_cog+c_hosp_fu+c_CSG</f>
        <v>15766</v>
      </c>
      <c r="R676" s="57"/>
      <c r="S676" s="129"/>
      <c r="T676" s="105"/>
      <c r="U676" s="133"/>
      <c r="V676" s="133"/>
      <c r="W676" s="133"/>
      <c r="X676" s="133"/>
      <c r="Y676" s="133"/>
      <c r="Z676" s="134"/>
      <c r="AA676" s="6"/>
    </row>
    <row r="677" spans="1:27" x14ac:dyDescent="0.3">
      <c r="A677" s="41"/>
      <c r="B677" s="41"/>
      <c r="C677" s="41"/>
      <c r="D677" s="41"/>
      <c r="E677" s="41"/>
      <c r="F677" s="41"/>
      <c r="G677" s="65"/>
      <c r="H677" s="64"/>
      <c r="I677" s="64"/>
      <c r="J677" s="64"/>
      <c r="K677" s="64"/>
      <c r="L677" s="64"/>
      <c r="M677" s="65"/>
      <c r="N677" s="64"/>
      <c r="O677" s="64"/>
      <c r="P677" s="64"/>
      <c r="Q677" s="54" t="s">
        <v>369</v>
      </c>
      <c r="R677" s="54"/>
      <c r="S677" s="129"/>
      <c r="T677" s="105"/>
      <c r="U677" s="133">
        <f>$K$648*$I$637*$G$602*$E$531*$C$600*$A$555*$M$663*$O$675*Q678</f>
        <v>3.0312308207837396E-5</v>
      </c>
      <c r="V677" s="133">
        <v>4.8712350506700979E-5</v>
      </c>
      <c r="W677" s="134">
        <f>$K$649+$I$638+$G$603+$E$532+$C$601+$A$556+$M$664+$O$676+Q679</f>
        <v>64325.292610508106</v>
      </c>
      <c r="X677" s="133">
        <f>u_ChronicResp+u_CongnitiveImpairement</f>
        <v>17.805052694763283</v>
      </c>
      <c r="Y677" s="133"/>
      <c r="Z677" s="134">
        <f>U677*W677</f>
        <v>1.9498480951690471</v>
      </c>
      <c r="AA677" s="6">
        <f>U677*X677</f>
        <v>5.3971224494045044E-4</v>
      </c>
    </row>
    <row r="678" spans="1:27" x14ac:dyDescent="0.3">
      <c r="A678" s="41"/>
      <c r="B678" s="41"/>
      <c r="C678" s="41"/>
      <c r="D678" s="41"/>
      <c r="E678" s="41"/>
      <c r="F678" s="41"/>
      <c r="G678" s="64"/>
      <c r="H678" s="64"/>
      <c r="I678" s="64"/>
      <c r="J678" s="64"/>
      <c r="K678" s="64"/>
      <c r="L678" s="64"/>
      <c r="M678" s="53"/>
      <c r="N678" s="64"/>
      <c r="O678" s="64"/>
      <c r="P678" s="64"/>
      <c r="Q678" s="56">
        <f>RDS2CLD_2*noHypo2CI_2</f>
        <v>1.1943893129770991E-2</v>
      </c>
      <c r="R678" s="56"/>
      <c r="S678" s="129"/>
      <c r="T678" s="105"/>
      <c r="U678" s="133"/>
      <c r="V678" s="133"/>
      <c r="W678" s="133"/>
      <c r="X678" s="133"/>
      <c r="Y678" s="133"/>
      <c r="Z678" s="134"/>
      <c r="AA678" s="6"/>
    </row>
    <row r="679" spans="1:27" x14ac:dyDescent="0.3">
      <c r="A679" s="41"/>
      <c r="B679" s="41"/>
      <c r="C679" s="41"/>
      <c r="D679" s="41"/>
      <c r="E679" s="41"/>
      <c r="F679" s="41"/>
      <c r="G679" s="64"/>
      <c r="H679" s="64"/>
      <c r="I679" s="64"/>
      <c r="J679" s="64"/>
      <c r="K679" s="64"/>
      <c r="L679" s="64"/>
      <c r="M679" s="44"/>
      <c r="N679" s="64"/>
      <c r="O679" s="64"/>
      <c r="P679" s="64"/>
      <c r="Q679" s="57">
        <f>c_cog+c_lung+c_hosp_fu+c_CSG</f>
        <v>58348.510902399998</v>
      </c>
      <c r="R679" s="57"/>
      <c r="S679" s="129"/>
      <c r="T679" s="105"/>
      <c r="U679" s="133"/>
      <c r="V679" s="133"/>
      <c r="W679" s="133"/>
      <c r="X679" s="133"/>
      <c r="Y679" s="133"/>
      <c r="Z679" s="134"/>
      <c r="AA679" s="6"/>
    </row>
    <row r="680" spans="1:27" x14ac:dyDescent="0.3">
      <c r="A680" s="41"/>
      <c r="B680" s="41"/>
      <c r="C680" s="41"/>
      <c r="D680" s="41"/>
      <c r="E680" s="41"/>
      <c r="F680" s="41"/>
      <c r="G680" s="64"/>
      <c r="H680" s="64"/>
      <c r="I680" s="64"/>
      <c r="J680" s="64"/>
      <c r="K680" s="64"/>
      <c r="L680" s="64"/>
      <c r="M680" s="65"/>
      <c r="N680" s="64"/>
      <c r="O680" s="64"/>
      <c r="P680" s="64"/>
      <c r="Q680" s="54" t="s">
        <v>370</v>
      </c>
      <c r="R680" s="54"/>
      <c r="S680" s="129"/>
      <c r="T680" s="105"/>
      <c r="U680" s="133">
        <f>$K$648*$I$637*$G$602*$E$531*$C$600*$A$555*$M$663*$O$675*Q681</f>
        <v>1.5680575435374792E-3</v>
      </c>
      <c r="V680" s="133">
        <v>2.5198928485335478E-3</v>
      </c>
      <c r="W680" s="134">
        <f>$K$649+$I$638+$G$603+$E$532+$C$601+$A$556+$M$664+$O$676+Q682</f>
        <v>20379.781708108108</v>
      </c>
      <c r="X680" s="133">
        <f>u_Healthy</f>
        <v>0</v>
      </c>
      <c r="Y680" s="133"/>
      <c r="Z680" s="134">
        <f>U680*W680</f>
        <v>31.956670443046054</v>
      </c>
      <c r="AA680" s="6">
        <f>U680*X680</f>
        <v>0</v>
      </c>
    </row>
    <row r="681" spans="1:27" x14ac:dyDescent="0.3">
      <c r="A681" s="41"/>
      <c r="B681" s="41"/>
      <c r="C681" s="41"/>
      <c r="D681" s="41"/>
      <c r="E681" s="41"/>
      <c r="F681" s="41"/>
      <c r="G681" s="64"/>
      <c r="H681" s="64"/>
      <c r="I681" s="64"/>
      <c r="J681" s="64"/>
      <c r="K681" s="64"/>
      <c r="L681" s="64"/>
      <c r="M681" s="65"/>
      <c r="N681" s="44"/>
      <c r="O681" s="64"/>
      <c r="P681" s="64"/>
      <c r="Q681" s="56">
        <f>1-Q678-Q675-Q672</f>
        <v>0.61785831659300938</v>
      </c>
      <c r="R681" s="56"/>
      <c r="S681" s="129"/>
      <c r="T681" s="105"/>
      <c r="U681" s="133"/>
      <c r="V681" s="133"/>
      <c r="W681" s="133"/>
      <c r="X681" s="133"/>
      <c r="Y681" s="133"/>
      <c r="Z681" s="134"/>
      <c r="AA681" s="6"/>
    </row>
    <row r="682" spans="1:27" x14ac:dyDescent="0.3">
      <c r="A682" s="41"/>
      <c r="B682" s="41"/>
      <c r="C682" s="41"/>
      <c r="D682" s="41"/>
      <c r="E682" s="41"/>
      <c r="F682" s="41"/>
      <c r="G682" s="64"/>
      <c r="H682" s="64"/>
      <c r="I682" s="64"/>
      <c r="J682" s="64"/>
      <c r="K682" s="64"/>
      <c r="L682" s="64"/>
      <c r="M682" s="65"/>
      <c r="N682" s="64"/>
      <c r="O682" s="64"/>
      <c r="P682" s="64"/>
      <c r="Q682" s="57">
        <f>c_clinic_fu+c_CSG</f>
        <v>14403</v>
      </c>
      <c r="R682" s="57"/>
      <c r="T682" s="105"/>
      <c r="U682" s="133"/>
      <c r="V682" s="133"/>
      <c r="W682" s="133"/>
      <c r="X682" s="133"/>
      <c r="Y682" s="133"/>
      <c r="Z682" s="134"/>
      <c r="AA682" s="6"/>
    </row>
    <row r="683" spans="1:27" x14ac:dyDescent="0.3">
      <c r="A683" s="41"/>
      <c r="B683" s="41"/>
      <c r="C683" s="41"/>
      <c r="D683" s="41"/>
      <c r="E683" s="41"/>
      <c r="F683" s="41"/>
      <c r="G683" s="64"/>
      <c r="H683" s="64"/>
      <c r="I683" s="64"/>
      <c r="J683" s="64"/>
      <c r="K683" s="64"/>
      <c r="L683" s="64"/>
      <c r="M683" s="65"/>
      <c r="N683" s="64"/>
      <c r="O683" s="64"/>
      <c r="P683" s="64"/>
      <c r="Q683" s="65"/>
      <c r="R683" s="65"/>
      <c r="T683" s="105"/>
      <c r="U683" s="133"/>
      <c r="V683" s="133"/>
      <c r="W683" s="133"/>
      <c r="X683" s="133"/>
      <c r="Y683" s="133"/>
      <c r="Z683" s="134"/>
      <c r="AA683" s="6"/>
    </row>
    <row r="684" spans="1:27" x14ac:dyDescent="0.3">
      <c r="A684" s="41"/>
      <c r="B684" s="41"/>
      <c r="C684" s="41"/>
      <c r="D684" s="41"/>
      <c r="E684" s="41"/>
      <c r="F684" s="41"/>
      <c r="G684" s="64"/>
      <c r="H684" s="64"/>
      <c r="I684" s="64"/>
      <c r="J684" s="64"/>
      <c r="K684" s="54" t="s">
        <v>165</v>
      </c>
      <c r="L684" s="54"/>
      <c r="M684" s="54"/>
      <c r="N684" s="54"/>
      <c r="O684" s="54"/>
      <c r="P684" s="54"/>
      <c r="Q684" s="54"/>
      <c r="R684" s="54"/>
      <c r="S684" s="129"/>
      <c r="T684" s="105"/>
      <c r="U684" s="133">
        <f>$K$685*$I$693*$G$717*$E$754*$C$600*$A$555</f>
        <v>1.8669726949505335E-4</v>
      </c>
      <c r="V684" s="133">
        <v>6.2091620433443457E-4</v>
      </c>
      <c r="W684" s="134">
        <f>$K$686+$I$694+$G$718+$E$755+$C$601+$A$556</f>
        <v>202743.76559999998</v>
      </c>
      <c r="X684" s="133">
        <f>u_Death</f>
        <v>19.181538114427529</v>
      </c>
      <c r="Y684" s="133"/>
      <c r="Z684" s="134">
        <f>U684*W684</f>
        <v>37.851707444665124</v>
      </c>
      <c r="AA684" s="6">
        <f>U684*X684</f>
        <v>3.5811407906789139E-3</v>
      </c>
    </row>
    <row r="685" spans="1:27" x14ac:dyDescent="0.3">
      <c r="A685" s="41"/>
      <c r="B685" s="41"/>
      <c r="C685" s="41"/>
      <c r="D685" s="41"/>
      <c r="E685" s="41"/>
      <c r="F685" s="41"/>
      <c r="G685" s="64"/>
      <c r="H685" s="64"/>
      <c r="I685" s="64"/>
      <c r="J685" s="64"/>
      <c r="K685" s="56">
        <f>SGA_term_2d_2</f>
        <v>1.1748000000000001E-2</v>
      </c>
      <c r="L685" s="64"/>
      <c r="M685" s="64"/>
      <c r="N685" s="64"/>
      <c r="O685" s="64"/>
      <c r="P685" s="64"/>
      <c r="Q685" s="64"/>
      <c r="R685" s="64"/>
      <c r="S685" s="129"/>
      <c r="T685" s="105"/>
      <c r="U685" s="133"/>
      <c r="V685" s="133"/>
      <c r="W685" s="133"/>
      <c r="X685" s="133"/>
      <c r="Y685" s="133"/>
      <c r="Z685" s="134"/>
      <c r="AA685" s="6"/>
    </row>
    <row r="686" spans="1:27" x14ac:dyDescent="0.3">
      <c r="A686" s="41"/>
      <c r="B686" s="41"/>
      <c r="C686" s="41"/>
      <c r="D686" s="41"/>
      <c r="E686" s="41"/>
      <c r="F686" s="41"/>
      <c r="G686" s="64"/>
      <c r="H686" s="64"/>
      <c r="I686" s="64"/>
      <c r="J686" s="64"/>
      <c r="K686" s="57">
        <f>c_SB</f>
        <v>1792</v>
      </c>
      <c r="L686" s="64"/>
      <c r="M686" s="64"/>
      <c r="N686" s="64"/>
      <c r="O686" s="64"/>
      <c r="P686" s="64"/>
      <c r="Q686" s="64"/>
      <c r="R686" s="64"/>
      <c r="S686" s="129"/>
      <c r="T686" s="105"/>
      <c r="U686" s="133"/>
      <c r="V686" s="133"/>
      <c r="W686" s="133"/>
      <c r="X686" s="133"/>
      <c r="Y686" s="133"/>
      <c r="Z686" s="134"/>
      <c r="AA686" s="6"/>
    </row>
    <row r="687" spans="1:27" x14ac:dyDescent="0.3">
      <c r="A687" s="41"/>
      <c r="B687" s="41"/>
      <c r="C687" s="41"/>
      <c r="D687" s="41"/>
      <c r="E687" s="41"/>
      <c r="F687" s="41"/>
      <c r="G687" s="53"/>
      <c r="H687" s="53"/>
      <c r="I687" s="53"/>
      <c r="J687" s="53"/>
      <c r="K687" s="53"/>
      <c r="L687" s="53"/>
      <c r="M687" s="53"/>
      <c r="N687" s="53"/>
      <c r="O687" s="53"/>
      <c r="P687" s="53"/>
      <c r="Q687" s="53"/>
      <c r="R687" s="53"/>
      <c r="S687" s="129"/>
      <c r="T687" s="105"/>
      <c r="U687" s="133"/>
      <c r="V687" s="133"/>
      <c r="W687" s="133"/>
      <c r="X687" s="133"/>
      <c r="Y687" s="133"/>
      <c r="Z687" s="134"/>
      <c r="AA687" s="6"/>
    </row>
    <row r="688" spans="1:27" x14ac:dyDescent="0.3">
      <c r="A688" s="41"/>
      <c r="B688" s="41"/>
      <c r="C688" s="41"/>
      <c r="D688" s="41"/>
      <c r="E688" s="41"/>
      <c r="F688" s="41"/>
      <c r="G688" s="53"/>
      <c r="H688" s="53"/>
      <c r="I688" s="53"/>
      <c r="J688" s="53"/>
      <c r="K688" s="53"/>
      <c r="L688" s="53"/>
      <c r="M688" s="53"/>
      <c r="N688" s="53"/>
      <c r="O688" s="53"/>
      <c r="P688" s="53"/>
      <c r="Q688" s="54" t="s">
        <v>368</v>
      </c>
      <c r="R688" s="54"/>
      <c r="S688" s="129"/>
      <c r="T688" s="105"/>
      <c r="U688" s="133">
        <f>$K$704*$I$693*$G$717*$E$754*$C$600*$A$555*$M$699*$O$694*Q689</f>
        <v>0</v>
      </c>
      <c r="V688" s="133"/>
      <c r="W688" s="134">
        <f>$K$705+$I$694+$G$718+$E$755+$C$601+$A$556+$M$700+$O$695+Q690</f>
        <v>289013.14705060562</v>
      </c>
      <c r="X688" s="133">
        <f>u_ChronicResp</f>
        <v>0.53465956747782661</v>
      </c>
      <c r="Y688" s="133"/>
      <c r="Z688" s="134">
        <f>U688*W688</f>
        <v>0</v>
      </c>
      <c r="AA688" s="6">
        <f>U688*X688</f>
        <v>0</v>
      </c>
    </row>
    <row r="689" spans="1:27" x14ac:dyDescent="0.3">
      <c r="A689" s="41"/>
      <c r="B689" s="41"/>
      <c r="C689" s="41"/>
      <c r="D689" s="41"/>
      <c r="E689" s="41"/>
      <c r="F689" s="41"/>
      <c r="G689" s="53"/>
      <c r="H689" s="53"/>
      <c r="I689" s="53"/>
      <c r="J689" s="53"/>
      <c r="K689" s="53"/>
      <c r="L689" s="53"/>
      <c r="M689" s="53"/>
      <c r="N689" s="53"/>
      <c r="O689" s="64"/>
      <c r="P689" s="64"/>
      <c r="Q689" s="56">
        <f>RDS2CLD_2-(Hypo2CI_2*RDS2CLD_2)</f>
        <v>0.34246866666666664</v>
      </c>
      <c r="R689" s="56"/>
      <c r="S689" s="129"/>
      <c r="T689" s="105"/>
      <c r="U689" s="133"/>
      <c r="V689" s="133">
        <v>0</v>
      </c>
      <c r="W689" s="133"/>
      <c r="X689" s="133"/>
      <c r="Y689" s="133"/>
      <c r="Z689" s="134"/>
      <c r="AA689" s="6"/>
    </row>
    <row r="690" spans="1:27" x14ac:dyDescent="0.3">
      <c r="A690" s="41"/>
      <c r="B690" s="41"/>
      <c r="C690" s="41"/>
      <c r="D690" s="41"/>
      <c r="E690" s="41"/>
      <c r="F690" s="41"/>
      <c r="G690" s="53"/>
      <c r="H690" s="53"/>
      <c r="I690" s="53"/>
      <c r="J690" s="53"/>
      <c r="K690" s="53"/>
      <c r="L690" s="53"/>
      <c r="M690" s="53"/>
      <c r="N690" s="53"/>
      <c r="O690" s="64"/>
      <c r="P690" s="64"/>
      <c r="Q690" s="57">
        <f>c_lung+c_hosp_fu+c_CSG</f>
        <v>54529.510902399998</v>
      </c>
      <c r="R690" s="57"/>
      <c r="S690" s="129"/>
      <c r="T690" s="105"/>
      <c r="U690" s="133"/>
      <c r="V690" s="133"/>
      <c r="W690" s="133"/>
      <c r="X690" s="133"/>
      <c r="Y690" s="133"/>
      <c r="Z690" s="134"/>
      <c r="AA690" s="6"/>
    </row>
    <row r="691" spans="1:27" x14ac:dyDescent="0.3">
      <c r="A691" s="10"/>
      <c r="B691" s="10"/>
      <c r="C691" s="10"/>
      <c r="D691" s="10"/>
      <c r="E691" s="10"/>
      <c r="F691" s="41"/>
      <c r="G691" s="53"/>
      <c r="H691" s="53"/>
      <c r="I691" s="53"/>
      <c r="J691" s="53"/>
      <c r="K691" s="53"/>
      <c r="L691" s="53"/>
      <c r="M691" s="53"/>
      <c r="N691" s="53"/>
      <c r="O691" s="64"/>
      <c r="P691" s="64"/>
      <c r="Q691" s="54" t="s">
        <v>226</v>
      </c>
      <c r="R691" s="54"/>
      <c r="S691" s="129"/>
      <c r="T691" s="105"/>
      <c r="U691" s="133">
        <f>$K$704*$I$693*$G$717*$E$754*$C$600*$A$555*$M$699*$O$694*Q692</f>
        <v>0</v>
      </c>
      <c r="V691" s="133"/>
      <c r="W691" s="134">
        <f>$K$705+$I$694+$G$718+$E$755+$C$601+$A$556+$M$700+$O$695+Q693</f>
        <v>250249.63614820561</v>
      </c>
      <c r="X691" s="133">
        <f>u_CongnitiveImpairement</f>
        <v>17.270393127285455</v>
      </c>
      <c r="Y691" s="133"/>
      <c r="Z691" s="134">
        <f>U691*W691</f>
        <v>0</v>
      </c>
      <c r="AA691" s="6">
        <f>U691*X691</f>
        <v>0</v>
      </c>
    </row>
    <row r="692" spans="1:27" x14ac:dyDescent="0.3">
      <c r="A692" s="10"/>
      <c r="B692" s="10"/>
      <c r="C692" s="10"/>
      <c r="D692" s="10"/>
      <c r="E692" s="10"/>
      <c r="F692" s="41"/>
      <c r="G692" s="64"/>
      <c r="H692" s="64"/>
      <c r="I692" s="54" t="s">
        <v>164</v>
      </c>
      <c r="J692" s="64"/>
      <c r="K692" s="64"/>
      <c r="L692" s="64"/>
      <c r="M692" s="64"/>
      <c r="N692" s="64"/>
      <c r="O692" s="64"/>
      <c r="P692" s="64"/>
      <c r="Q692" s="56">
        <f>Hypo2CI_2-(Hypo2CI_2*RDS2CLD_2)</f>
        <v>3.2801999999999998E-2</v>
      </c>
      <c r="R692" s="56"/>
      <c r="S692" s="129"/>
      <c r="T692" s="105"/>
      <c r="U692" s="133"/>
      <c r="V692" s="133">
        <v>0</v>
      </c>
      <c r="W692" s="133"/>
      <c r="X692" s="133"/>
      <c r="Y692" s="133"/>
      <c r="Z692" s="134"/>
      <c r="AA692" s="6"/>
    </row>
    <row r="693" spans="1:27" x14ac:dyDescent="0.3">
      <c r="A693" s="10"/>
      <c r="B693" s="10"/>
      <c r="C693" s="10"/>
      <c r="D693" s="10"/>
      <c r="E693" s="10"/>
      <c r="F693" s="41"/>
      <c r="G693" s="64"/>
      <c r="H693" s="64"/>
      <c r="I693" s="56">
        <f>LBW_term_2SGA_2</f>
        <v>0.9</v>
      </c>
      <c r="J693" s="64"/>
      <c r="K693" s="64"/>
      <c r="L693" s="64"/>
      <c r="M693" s="64"/>
      <c r="N693" s="64"/>
      <c r="O693" s="54" t="s">
        <v>161</v>
      </c>
      <c r="P693" s="64"/>
      <c r="Q693" s="57">
        <f>c_cog+c_hosp_fu+c_CSG</f>
        <v>15766</v>
      </c>
      <c r="R693" s="57"/>
      <c r="S693" s="129"/>
      <c r="T693" s="105"/>
      <c r="U693" s="133"/>
      <c r="V693" s="133"/>
      <c r="W693" s="133"/>
      <c r="X693" s="133"/>
      <c r="Y693" s="133"/>
      <c r="Z693" s="134"/>
      <c r="AA693" s="6"/>
    </row>
    <row r="694" spans="1:27" x14ac:dyDescent="0.3">
      <c r="A694" s="10"/>
      <c r="B694" s="10"/>
      <c r="C694" s="10"/>
      <c r="D694" s="10"/>
      <c r="E694" s="10"/>
      <c r="F694" s="41"/>
      <c r="G694" s="64"/>
      <c r="H694" s="64"/>
      <c r="I694" s="57"/>
      <c r="J694" s="64"/>
      <c r="K694" s="64"/>
      <c r="L694" s="64"/>
      <c r="M694" s="64"/>
      <c r="N694" s="64"/>
      <c r="O694" s="56">
        <f>SGA_term_2hypoglycaemia_2</f>
        <v>0.26</v>
      </c>
      <c r="P694" s="64"/>
      <c r="Q694" s="54" t="s">
        <v>369</v>
      </c>
      <c r="R694" s="54"/>
      <c r="S694" s="129"/>
      <c r="T694" s="105"/>
      <c r="U694" s="133">
        <f>$K$704*$I$693*$G$717*$E$754*$C$600*$A$555*$M$699*$O$694*Q695</f>
        <v>0</v>
      </c>
      <c r="V694" s="133"/>
      <c r="W694" s="134">
        <f>$K$705+$I$694+$G$718+$E$755+$C$601+$A$556+$M$700+$O$695+Q696</f>
        <v>292832.14705060562</v>
      </c>
      <c r="X694" s="133">
        <f>u_ChronicResp+u_CongnitiveImpairement</f>
        <v>17.805052694763283</v>
      </c>
      <c r="Y694" s="133"/>
      <c r="Z694" s="134">
        <f>U694*W694</f>
        <v>0</v>
      </c>
      <c r="AA694" s="6">
        <f>U694*X694</f>
        <v>0</v>
      </c>
    </row>
    <row r="695" spans="1:27" x14ac:dyDescent="0.3">
      <c r="A695" s="10"/>
      <c r="B695" s="10"/>
      <c r="C695" s="10"/>
      <c r="D695" s="10"/>
      <c r="E695" s="10"/>
      <c r="F695" s="41"/>
      <c r="G695" s="64"/>
      <c r="H695" s="64"/>
      <c r="I695" s="64"/>
      <c r="J695" s="64"/>
      <c r="K695" s="64"/>
      <c r="L695" s="64"/>
      <c r="M695" s="64"/>
      <c r="N695" s="64"/>
      <c r="O695" s="57">
        <f>c_hypo</f>
        <v>2936.2604000000001</v>
      </c>
      <c r="P695" s="64"/>
      <c r="Q695" s="56">
        <f>Hypo2CI_2*RDS2CLD_2</f>
        <v>1.8531333333333334E-2</v>
      </c>
      <c r="R695" s="56"/>
      <c r="S695" s="129"/>
      <c r="T695" s="105"/>
      <c r="U695" s="133"/>
      <c r="V695" s="133">
        <v>0</v>
      </c>
      <c r="W695" s="133"/>
      <c r="X695" s="133"/>
      <c r="Y695" s="133"/>
      <c r="Z695" s="134"/>
      <c r="AA695" s="6"/>
    </row>
    <row r="696" spans="1:27" x14ac:dyDescent="0.3">
      <c r="A696" s="10"/>
      <c r="B696" s="10"/>
      <c r="C696" s="10"/>
      <c r="D696" s="10"/>
      <c r="E696" s="10"/>
      <c r="F696" s="41"/>
      <c r="G696" s="64"/>
      <c r="H696" s="64"/>
      <c r="I696" s="64"/>
      <c r="J696" s="64"/>
      <c r="K696" s="64"/>
      <c r="L696" s="64"/>
      <c r="M696" s="65"/>
      <c r="N696" s="64"/>
      <c r="O696" s="53"/>
      <c r="P696" s="64"/>
      <c r="Q696" s="57">
        <f>c_lung+c_cog+c_hosp_fu+c_CSG</f>
        <v>58348.510902399998</v>
      </c>
      <c r="R696" s="57"/>
      <c r="S696" s="129"/>
      <c r="T696" s="105"/>
      <c r="U696" s="133"/>
      <c r="V696" s="133"/>
      <c r="W696" s="133"/>
      <c r="X696" s="133"/>
      <c r="Y696" s="133"/>
      <c r="Z696" s="134"/>
      <c r="AA696" s="6"/>
    </row>
    <row r="697" spans="1:27" x14ac:dyDescent="0.3">
      <c r="A697" s="10"/>
      <c r="B697" s="10"/>
      <c r="C697" s="10"/>
      <c r="D697" s="10"/>
      <c r="E697" s="10"/>
      <c r="F697" s="41"/>
      <c r="G697" s="64"/>
      <c r="H697" s="64"/>
      <c r="I697" s="64"/>
      <c r="J697" s="64"/>
      <c r="K697" s="64"/>
      <c r="L697" s="64"/>
      <c r="M697" s="64"/>
      <c r="N697" s="64"/>
      <c r="O697" s="64"/>
      <c r="P697" s="64"/>
      <c r="Q697" s="54" t="s">
        <v>370</v>
      </c>
      <c r="R697" s="54"/>
      <c r="S697" s="129"/>
      <c r="T697" s="105"/>
      <c r="U697" s="133">
        <f>$K$704*$I$693*$G$717*$E$754*$C$600*$A$555*$M$699*$O$694*Q698</f>
        <v>0</v>
      </c>
      <c r="V697" s="133"/>
      <c r="W697" s="134">
        <f>$K$705+$I$694+$G$718+$E$755+$C$601+$A$556+$M$700+$O$695+Q699</f>
        <v>248886.63614820561</v>
      </c>
      <c r="X697" s="133">
        <f>u_Healthy</f>
        <v>0</v>
      </c>
      <c r="Y697" s="133"/>
      <c r="Z697" s="134">
        <f>U697*W697</f>
        <v>0</v>
      </c>
      <c r="AA697" s="6">
        <f>U697*X697</f>
        <v>0</v>
      </c>
    </row>
    <row r="698" spans="1:27" x14ac:dyDescent="0.3">
      <c r="A698" s="10"/>
      <c r="B698" s="10"/>
      <c r="C698" s="10"/>
      <c r="D698" s="10"/>
      <c r="E698" s="10"/>
      <c r="F698" s="41"/>
      <c r="G698" s="64"/>
      <c r="H698" s="64"/>
      <c r="I698" s="64"/>
      <c r="J698" s="64"/>
      <c r="K698" s="64"/>
      <c r="L698" s="64"/>
      <c r="M698" s="54" t="s">
        <v>9</v>
      </c>
      <c r="N698" s="64"/>
      <c r="O698" s="64"/>
      <c r="P698" s="64"/>
      <c r="Q698" s="56">
        <f>1-Q689-Q692-Q695</f>
        <v>0.60619800000000001</v>
      </c>
      <c r="R698" s="56"/>
      <c r="S698" s="129"/>
      <c r="T698" s="105"/>
      <c r="U698" s="133"/>
      <c r="V698" s="133">
        <v>0</v>
      </c>
      <c r="W698" s="133"/>
      <c r="X698" s="133"/>
      <c r="Y698" s="133"/>
      <c r="Z698" s="134"/>
      <c r="AA698" s="6"/>
    </row>
    <row r="699" spans="1:27" x14ac:dyDescent="0.3">
      <c r="A699" s="10"/>
      <c r="B699" s="10"/>
      <c r="C699" s="10"/>
      <c r="D699" s="10"/>
      <c r="E699" s="10"/>
      <c r="F699" s="41"/>
      <c r="G699" s="64"/>
      <c r="H699" s="64"/>
      <c r="I699" s="64"/>
      <c r="J699" s="64"/>
      <c r="K699" s="65"/>
      <c r="L699" s="64"/>
      <c r="M699" s="56">
        <f>S_term_2RDS_2</f>
        <v>0</v>
      </c>
      <c r="N699" s="64"/>
      <c r="O699" s="64"/>
      <c r="P699" s="64"/>
      <c r="Q699" s="57">
        <f>c_clinic_fu+c_CSG</f>
        <v>14403</v>
      </c>
      <c r="R699" s="57"/>
      <c r="S699" s="129"/>
      <c r="T699" s="105"/>
      <c r="U699" s="133"/>
      <c r="V699" s="133"/>
      <c r="W699" s="133"/>
      <c r="X699" s="133"/>
      <c r="Y699" s="133"/>
      <c r="Z699" s="134"/>
      <c r="AA699" s="6"/>
    </row>
    <row r="700" spans="1:27" x14ac:dyDescent="0.3">
      <c r="A700" s="10"/>
      <c r="B700" s="10"/>
      <c r="C700" s="10"/>
      <c r="D700" s="10"/>
      <c r="E700" s="10"/>
      <c r="F700" s="41"/>
      <c r="G700" s="64"/>
      <c r="H700" s="64"/>
      <c r="I700" s="64"/>
      <c r="J700" s="64"/>
      <c r="K700" s="65"/>
      <c r="L700" s="64"/>
      <c r="M700" s="57">
        <f>c_RDS</f>
        <v>30595.610148205637</v>
      </c>
      <c r="N700" s="64"/>
      <c r="O700" s="64"/>
      <c r="P700" s="64"/>
      <c r="Q700" s="65"/>
      <c r="R700" s="65"/>
      <c r="S700" s="129"/>
      <c r="T700" s="105"/>
      <c r="U700" s="133"/>
      <c r="V700" s="133"/>
      <c r="W700" s="133"/>
      <c r="X700" s="133"/>
      <c r="Y700" s="133"/>
      <c r="Z700" s="134"/>
      <c r="AA700" s="6"/>
    </row>
    <row r="701" spans="1:27" x14ac:dyDescent="0.3">
      <c r="A701" s="10"/>
      <c r="B701" s="10"/>
      <c r="C701" s="10"/>
      <c r="D701" s="10"/>
      <c r="E701" s="10"/>
      <c r="F701" s="41"/>
      <c r="G701" s="64"/>
      <c r="H701" s="64"/>
      <c r="I701" s="64"/>
      <c r="J701" s="64"/>
      <c r="K701" s="64"/>
      <c r="L701" s="64"/>
      <c r="M701" s="64"/>
      <c r="N701" s="64"/>
      <c r="O701" s="64"/>
      <c r="P701" s="64"/>
      <c r="Q701" s="54" t="s">
        <v>368</v>
      </c>
      <c r="R701" s="54"/>
      <c r="S701" s="129"/>
      <c r="T701" s="105"/>
      <c r="U701" s="133">
        <f>$K$704*$I$693*$G$717*$E$754*$C$600*$A$555*$M$699*$O$704*Q702</f>
        <v>0</v>
      </c>
      <c r="V701" s="133"/>
      <c r="W701" s="134">
        <f>$K$705+$I$694+$G$718+$E$755+$C$601+$A$556+$M$700+$O$705+Q703</f>
        <v>286076.88665060559</v>
      </c>
      <c r="X701" s="133">
        <f>u_ChronicResp</f>
        <v>0.53465956747782661</v>
      </c>
      <c r="Y701" s="133"/>
      <c r="Z701" s="134">
        <f>U701*W701</f>
        <v>0</v>
      </c>
      <c r="AA701" s="6">
        <f>U701*X701</f>
        <v>0</v>
      </c>
    </row>
    <row r="702" spans="1:27" x14ac:dyDescent="0.3">
      <c r="A702" s="10"/>
      <c r="B702" s="10"/>
      <c r="C702" s="10"/>
      <c r="D702" s="10"/>
      <c r="E702" s="10"/>
      <c r="F702" s="41"/>
      <c r="G702" s="64"/>
      <c r="H702" s="64"/>
      <c r="I702" s="64"/>
      <c r="J702" s="64"/>
      <c r="K702" s="64"/>
      <c r="L702" s="64"/>
      <c r="M702" s="64"/>
      <c r="N702" s="64"/>
      <c r="O702" s="64"/>
      <c r="P702" s="64"/>
      <c r="Q702" s="56">
        <f>RDS2CLD_2-(RDS2CLD_2*noHypo2CI_2)</f>
        <v>0.34905610687022898</v>
      </c>
      <c r="R702" s="56"/>
      <c r="S702" s="129"/>
      <c r="T702" s="105"/>
      <c r="U702" s="133"/>
      <c r="V702" s="133">
        <v>0</v>
      </c>
      <c r="W702" s="133"/>
      <c r="X702" s="133"/>
      <c r="Y702" s="133"/>
      <c r="Z702" s="134"/>
      <c r="AA702" s="6"/>
    </row>
    <row r="703" spans="1:27" x14ac:dyDescent="0.3">
      <c r="A703" s="10"/>
      <c r="B703" s="10"/>
      <c r="C703" s="10"/>
      <c r="D703" s="10"/>
      <c r="E703" s="10"/>
      <c r="F703" s="41"/>
      <c r="G703" s="64"/>
      <c r="H703" s="64"/>
      <c r="I703" s="64"/>
      <c r="J703" s="64"/>
      <c r="K703" s="54" t="s">
        <v>37</v>
      </c>
      <c r="L703" s="64"/>
      <c r="M703" s="65"/>
      <c r="N703" s="64"/>
      <c r="O703" s="54" t="s">
        <v>371</v>
      </c>
      <c r="P703" s="64"/>
      <c r="Q703" s="57">
        <f>c_lung+c_hosp_fu+c_CSG</f>
        <v>54529.510902399998</v>
      </c>
      <c r="R703" s="57"/>
      <c r="S703" s="129"/>
      <c r="T703" s="105"/>
      <c r="U703" s="133"/>
      <c r="V703" s="133"/>
      <c r="W703" s="133"/>
      <c r="X703" s="133"/>
      <c r="Y703" s="133"/>
      <c r="Z703" s="134"/>
      <c r="AA703" s="6"/>
    </row>
    <row r="704" spans="1:27" x14ac:dyDescent="0.3">
      <c r="A704" s="10"/>
      <c r="B704" s="10"/>
      <c r="C704" s="10"/>
      <c r="D704" s="10"/>
      <c r="E704" s="10"/>
      <c r="F704" s="41"/>
      <c r="G704" s="64"/>
      <c r="H704" s="64"/>
      <c r="I704" s="64"/>
      <c r="J704" s="64"/>
      <c r="K704" s="56">
        <f>SGA_term_2s_2</f>
        <v>0.98825200000000002</v>
      </c>
      <c r="L704" s="64"/>
      <c r="M704" s="64"/>
      <c r="N704" s="64"/>
      <c r="O704" s="56">
        <f>SGA_term_2normoglycaemia_2</f>
        <v>0.74</v>
      </c>
      <c r="P704" s="64"/>
      <c r="Q704" s="54" t="s">
        <v>226</v>
      </c>
      <c r="R704" s="54"/>
      <c r="S704" s="129"/>
      <c r="T704" s="105"/>
      <c r="U704" s="133">
        <f>$K$704*$I$693*$G$717*$E$754*$C$600*$A$555*$M$699*$O$704*Q705</f>
        <v>0</v>
      </c>
      <c r="V704" s="133"/>
      <c r="W704" s="134">
        <f>$K$705+$I$694+$G$718+$E$755+$C$601+$A$556+$M$700+$O$705+Q706</f>
        <v>247313.37574820561</v>
      </c>
      <c r="X704" s="133">
        <f>u_CongnitiveImpairement</f>
        <v>17.270393127285455</v>
      </c>
      <c r="Y704" s="133"/>
      <c r="Z704" s="134">
        <f>U704*W704</f>
        <v>0</v>
      </c>
      <c r="AA704" s="6">
        <f>U704*X704</f>
        <v>0</v>
      </c>
    </row>
    <row r="705" spans="1:27" x14ac:dyDescent="0.3">
      <c r="A705" s="10"/>
      <c r="B705" s="10"/>
      <c r="C705" s="10"/>
      <c r="D705" s="10"/>
      <c r="E705" s="10"/>
      <c r="F705" s="41"/>
      <c r="G705" s="41"/>
      <c r="H705" s="64"/>
      <c r="I705" s="64"/>
      <c r="J705" s="64"/>
      <c r="K705" s="57"/>
      <c r="L705" s="64"/>
      <c r="M705" s="64"/>
      <c r="N705" s="64"/>
      <c r="O705" s="57"/>
      <c r="P705" s="64"/>
      <c r="Q705" s="56">
        <f>noHypo2CI_2-(RDS2CLD_2*noHypo2CI_2)</f>
        <v>2.1141683406990762E-2</v>
      </c>
      <c r="R705" s="56"/>
      <c r="S705" s="129"/>
      <c r="T705" s="105"/>
      <c r="U705" s="133"/>
      <c r="V705" s="133">
        <v>0</v>
      </c>
      <c r="W705" s="133"/>
      <c r="X705" s="133"/>
      <c r="Y705" s="133"/>
      <c r="Z705" s="134"/>
      <c r="AA705" s="6"/>
    </row>
    <row r="706" spans="1:27" x14ac:dyDescent="0.3">
      <c r="A706" s="10"/>
      <c r="B706" s="10"/>
      <c r="C706" s="10"/>
      <c r="D706" s="10"/>
      <c r="E706" s="10"/>
      <c r="F706" s="41"/>
      <c r="G706" s="41"/>
      <c r="H706" s="64"/>
      <c r="I706" s="64"/>
      <c r="J706" s="64"/>
      <c r="K706" s="64"/>
      <c r="L706" s="64"/>
      <c r="M706" s="64"/>
      <c r="N706" s="64"/>
      <c r="O706" s="53"/>
      <c r="P706" s="64"/>
      <c r="Q706" s="57">
        <f>c_cog+c_hosp_fu+c_CSG</f>
        <v>15766</v>
      </c>
      <c r="R706" s="57"/>
      <c r="S706" s="129"/>
      <c r="T706" s="105"/>
      <c r="U706" s="133"/>
      <c r="V706" s="133"/>
      <c r="W706" s="133"/>
      <c r="X706" s="133"/>
      <c r="Y706" s="133"/>
      <c r="Z706" s="134"/>
      <c r="AA706" s="6"/>
    </row>
    <row r="707" spans="1:27" x14ac:dyDescent="0.3">
      <c r="A707" s="10"/>
      <c r="B707" s="10"/>
      <c r="C707" s="10"/>
      <c r="D707" s="10"/>
      <c r="E707" s="10"/>
      <c r="F707" s="41"/>
      <c r="G707" s="41"/>
      <c r="H707" s="64"/>
      <c r="I707" s="64"/>
      <c r="J707" s="64"/>
      <c r="K707" s="64"/>
      <c r="L707" s="64"/>
      <c r="M707" s="64"/>
      <c r="N707" s="64"/>
      <c r="O707" s="53"/>
      <c r="P707" s="64"/>
      <c r="Q707" s="54" t="s">
        <v>369</v>
      </c>
      <c r="R707" s="54"/>
      <c r="S707" s="129"/>
      <c r="T707" s="105"/>
      <c r="U707" s="133">
        <f>$K$704*$I$693*$G$717*$E$754*$C$600*$A$555*$M$699*$O$704*Q708</f>
        <v>0</v>
      </c>
      <c r="V707" s="133"/>
      <c r="W707" s="134">
        <f>$K$705+$I$694+$G$718+$E$755+$C$601+$A$556+$M$700+$O$705+Q709</f>
        <v>289895.88665060559</v>
      </c>
      <c r="X707" s="133">
        <f>u_ChronicResp+u_CongnitiveImpairement</f>
        <v>17.805052694763283</v>
      </c>
      <c r="Y707" s="133"/>
      <c r="Z707" s="134">
        <f>U707*W707</f>
        <v>0</v>
      </c>
      <c r="AA707" s="6">
        <f>U707*X707</f>
        <v>0</v>
      </c>
    </row>
    <row r="708" spans="1:27" x14ac:dyDescent="0.3">
      <c r="A708" s="10"/>
      <c r="B708" s="10"/>
      <c r="C708" s="10"/>
      <c r="D708" s="10"/>
      <c r="E708" s="10"/>
      <c r="F708" s="41"/>
      <c r="G708" s="65"/>
      <c r="H708" s="64"/>
      <c r="I708" s="64"/>
      <c r="J708" s="64"/>
      <c r="K708" s="64"/>
      <c r="L708" s="64"/>
      <c r="M708" s="64"/>
      <c r="N708" s="64"/>
      <c r="O708" s="53"/>
      <c r="P708" s="64"/>
      <c r="Q708" s="56">
        <f>RDS2CLD_2*noHypo2CI_2</f>
        <v>1.1943893129770991E-2</v>
      </c>
      <c r="R708" s="56"/>
      <c r="S708" s="129"/>
      <c r="T708" s="105"/>
      <c r="U708" s="133"/>
      <c r="V708" s="133">
        <v>0</v>
      </c>
      <c r="W708" s="133"/>
      <c r="X708" s="133"/>
      <c r="Y708" s="133"/>
      <c r="Z708" s="134"/>
      <c r="AA708" s="6"/>
    </row>
    <row r="709" spans="1:27" x14ac:dyDescent="0.3">
      <c r="A709" s="10"/>
      <c r="B709" s="10"/>
      <c r="C709" s="10"/>
      <c r="D709" s="10"/>
      <c r="E709" s="10"/>
      <c r="F709" s="41"/>
      <c r="G709" s="65"/>
      <c r="H709" s="64"/>
      <c r="I709" s="64"/>
      <c r="J709" s="64"/>
      <c r="K709" s="64"/>
      <c r="L709" s="64"/>
      <c r="M709" s="64"/>
      <c r="N709" s="64"/>
      <c r="O709" s="53"/>
      <c r="P709" s="64"/>
      <c r="Q709" s="57">
        <f>c_cog+c_lung+c_hosp_fu+c_CSG</f>
        <v>58348.510902399998</v>
      </c>
      <c r="R709" s="57"/>
      <c r="S709" s="129"/>
      <c r="T709" s="105"/>
      <c r="U709" s="133"/>
      <c r="V709" s="133"/>
      <c r="W709" s="133"/>
      <c r="X709" s="133"/>
      <c r="Y709" s="133"/>
      <c r="Z709" s="134"/>
      <c r="AA709" s="6"/>
    </row>
    <row r="710" spans="1:27" x14ac:dyDescent="0.3">
      <c r="A710" s="10"/>
      <c r="B710" s="10"/>
      <c r="C710" s="10"/>
      <c r="D710" s="10"/>
      <c r="E710" s="10"/>
      <c r="F710" s="41"/>
      <c r="G710" s="64"/>
      <c r="H710" s="64"/>
      <c r="I710" s="64"/>
      <c r="J710" s="64"/>
      <c r="K710" s="64"/>
      <c r="L710" s="64"/>
      <c r="M710" s="64"/>
      <c r="N710" s="64"/>
      <c r="O710" s="53"/>
      <c r="P710" s="64"/>
      <c r="Q710" s="54" t="s">
        <v>370</v>
      </c>
      <c r="R710" s="54"/>
      <c r="S710" s="129"/>
      <c r="T710" s="105"/>
      <c r="U710" s="133">
        <f>$K$704*$I$693*$G$717*$E$754*$C$600*$A$555*$M$699*$O$704*Q711</f>
        <v>0</v>
      </c>
      <c r="V710" s="133"/>
      <c r="W710" s="134">
        <f>$K$705+$I$694+$G$718+$E$755+$C$601+$A$556+$M$700+$O$705+Q712</f>
        <v>245950.37574820561</v>
      </c>
      <c r="X710" s="133">
        <f>u_Healthy</f>
        <v>0</v>
      </c>
      <c r="Y710" s="133"/>
      <c r="Z710" s="134">
        <f>U710*W710</f>
        <v>0</v>
      </c>
      <c r="AA710" s="6">
        <f>U710*X710</f>
        <v>0</v>
      </c>
    </row>
    <row r="711" spans="1:27" x14ac:dyDescent="0.3">
      <c r="A711" s="10"/>
      <c r="B711" s="10"/>
      <c r="C711" s="10"/>
      <c r="D711" s="10"/>
      <c r="E711" s="10"/>
      <c r="F711" s="41"/>
      <c r="G711" s="64"/>
      <c r="H711" s="64"/>
      <c r="I711" s="64"/>
      <c r="J711" s="64"/>
      <c r="K711" s="64"/>
      <c r="L711" s="64"/>
      <c r="M711" s="64"/>
      <c r="N711" s="64"/>
      <c r="O711" s="53"/>
      <c r="P711" s="64"/>
      <c r="Q711" s="56">
        <f>1-Q708-Q705-Q702</f>
        <v>0.61785831659300938</v>
      </c>
      <c r="R711" s="56"/>
      <c r="T711" s="105"/>
      <c r="U711" s="133"/>
      <c r="V711" s="133">
        <v>0</v>
      </c>
      <c r="W711" s="133"/>
      <c r="X711" s="133"/>
      <c r="Y711" s="133"/>
      <c r="Z711" s="134"/>
      <c r="AA711" s="6"/>
    </row>
    <row r="712" spans="1:27" x14ac:dyDescent="0.3">
      <c r="A712" s="10"/>
      <c r="B712" s="10"/>
      <c r="C712" s="10"/>
      <c r="D712" s="10"/>
      <c r="E712" s="10"/>
      <c r="F712" s="41"/>
      <c r="G712" s="64"/>
      <c r="H712" s="64"/>
      <c r="I712" s="64"/>
      <c r="J712" s="64"/>
      <c r="K712" s="64"/>
      <c r="L712" s="64"/>
      <c r="M712" s="64"/>
      <c r="N712" s="64"/>
      <c r="O712" s="64"/>
      <c r="P712" s="64"/>
      <c r="Q712" s="57">
        <f>c_clinic_fu+c_CSG</f>
        <v>14403</v>
      </c>
      <c r="R712" s="57"/>
      <c r="S712" s="129"/>
      <c r="T712" s="105"/>
      <c r="U712" s="133"/>
      <c r="V712" s="133"/>
      <c r="W712" s="133"/>
      <c r="X712" s="133"/>
      <c r="Y712" s="133"/>
      <c r="Z712" s="134"/>
      <c r="AA712" s="6"/>
    </row>
    <row r="713" spans="1:27" x14ac:dyDescent="0.3">
      <c r="A713" s="10"/>
      <c r="B713" s="10"/>
      <c r="C713" s="10"/>
      <c r="D713" s="10"/>
      <c r="E713" s="10"/>
      <c r="F713" s="41"/>
      <c r="G713" s="64"/>
      <c r="H713" s="64"/>
      <c r="I713" s="64"/>
      <c r="J713" s="64"/>
      <c r="K713" s="64"/>
      <c r="L713" s="64"/>
      <c r="M713" s="64"/>
      <c r="N713" s="64"/>
      <c r="O713" s="64"/>
      <c r="P713" s="64"/>
      <c r="Q713" s="65"/>
      <c r="R713" s="65"/>
      <c r="S713" s="129"/>
      <c r="T713" s="105"/>
      <c r="U713" s="133"/>
      <c r="V713" s="133"/>
      <c r="W713" s="133"/>
      <c r="X713" s="133"/>
      <c r="Y713" s="133"/>
      <c r="Z713" s="134"/>
      <c r="AA713" s="6"/>
    </row>
    <row r="714" spans="1:27" x14ac:dyDescent="0.3">
      <c r="A714" s="10"/>
      <c r="B714" s="10"/>
      <c r="C714" s="10"/>
      <c r="D714" s="10"/>
      <c r="E714" s="10"/>
      <c r="F714" s="41"/>
      <c r="G714" s="64"/>
      <c r="H714" s="64"/>
      <c r="I714" s="64"/>
      <c r="J714" s="64"/>
      <c r="K714" s="64"/>
      <c r="L714" s="64"/>
      <c r="M714" s="64"/>
      <c r="N714" s="64"/>
      <c r="O714" s="64"/>
      <c r="P714" s="64"/>
      <c r="Q714" s="54" t="s">
        <v>368</v>
      </c>
      <c r="R714" s="54"/>
      <c r="S714" s="129"/>
      <c r="T714" s="105"/>
      <c r="U714" s="133">
        <f>$K$704*$I$693*$G$717*$E$754*$C$600*$A$555*$M$719*$O$717*Q715</f>
        <v>1.3984145091010215E-3</v>
      </c>
      <c r="V714" s="133">
        <v>4.1331616824192988E-3</v>
      </c>
      <c r="W714" s="134">
        <f>$K$705+$I$694+$G$718+$E$755+$C$601+$A$556+$M$720+$O$718+Q716</f>
        <v>258417.53690239997</v>
      </c>
      <c r="X714" s="133">
        <f>u_ChronicResp</f>
        <v>0.53465956747782661</v>
      </c>
      <c r="Y714" s="133"/>
      <c r="Z714" s="134">
        <f>U714*W714</f>
        <v>361.37483301046473</v>
      </c>
      <c r="AA714" s="6">
        <f>U714*X714</f>
        <v>7.4767569659066942E-4</v>
      </c>
    </row>
    <row r="715" spans="1:27" x14ac:dyDescent="0.3">
      <c r="A715" s="10"/>
      <c r="B715" s="10"/>
      <c r="C715" s="10"/>
      <c r="D715" s="10"/>
      <c r="E715" s="10"/>
      <c r="F715" s="41"/>
      <c r="G715" s="64"/>
      <c r="H715" s="64"/>
      <c r="I715" s="64"/>
      <c r="J715" s="64"/>
      <c r="K715" s="64"/>
      <c r="L715" s="64"/>
      <c r="M715" s="64"/>
      <c r="N715" s="64"/>
      <c r="O715" s="64"/>
      <c r="P715" s="64"/>
      <c r="Q715" s="56">
        <f>RDS2CLD_2-(Hypo2CI_2*RDS2CLD_2)</f>
        <v>0.34246866666666664</v>
      </c>
      <c r="R715" s="56"/>
      <c r="S715" s="129"/>
      <c r="T715" s="105"/>
      <c r="U715" s="133"/>
      <c r="V715" s="133"/>
      <c r="W715" s="133"/>
      <c r="X715" s="133"/>
      <c r="Y715" s="133"/>
      <c r="Z715" s="134"/>
      <c r="AA715" s="6"/>
    </row>
    <row r="716" spans="1:27" x14ac:dyDescent="0.3">
      <c r="A716" s="10"/>
      <c r="B716" s="10"/>
      <c r="C716" s="10"/>
      <c r="D716" s="10"/>
      <c r="E716" s="10"/>
      <c r="F716" s="41"/>
      <c r="G716" s="54" t="s">
        <v>8</v>
      </c>
      <c r="H716" s="64"/>
      <c r="I716" s="64"/>
      <c r="J716" s="64"/>
      <c r="K716" s="64"/>
      <c r="L716" s="64"/>
      <c r="M716" s="64"/>
      <c r="N716" s="64"/>
      <c r="O716" s="54" t="s">
        <v>161</v>
      </c>
      <c r="P716" s="64"/>
      <c r="Q716" s="57">
        <f>c_lung+c_hosp_fu+c_CSG</f>
        <v>54529.510902399998</v>
      </c>
      <c r="R716" s="57"/>
      <c r="S716" s="129"/>
      <c r="T716" s="105"/>
      <c r="U716" s="133"/>
      <c r="V716" s="133"/>
      <c r="W716" s="133"/>
      <c r="X716" s="133"/>
      <c r="Y716" s="133"/>
      <c r="Z716" s="134"/>
      <c r="AA716" s="6"/>
    </row>
    <row r="717" spans="1:27" x14ac:dyDescent="0.3">
      <c r="A717" s="10"/>
      <c r="B717" s="10"/>
      <c r="C717" s="10"/>
      <c r="D717" s="10"/>
      <c r="E717" s="10"/>
      <c r="F717" s="41"/>
      <c r="G717" s="56">
        <f>Term2LBW_2</f>
        <v>0.24686153846153844</v>
      </c>
      <c r="H717" s="64"/>
      <c r="I717" s="64"/>
      <c r="J717" s="64"/>
      <c r="K717" s="64"/>
      <c r="L717" s="64"/>
      <c r="M717" s="64"/>
      <c r="N717" s="64"/>
      <c r="O717" s="56">
        <f>SGA_term_2hypoglycaemia_2</f>
        <v>0.26</v>
      </c>
      <c r="P717" s="64"/>
      <c r="Q717" s="54" t="s">
        <v>226</v>
      </c>
      <c r="R717" s="54"/>
      <c r="S717" s="129"/>
      <c r="T717" s="105"/>
      <c r="U717" s="133">
        <f>$K$704*$I$693*$G$717*$E$754*$C$600*$A$555*$M$719*$O$717*Q718</f>
        <v>1.3394157536805813E-4</v>
      </c>
      <c r="V717" s="133">
        <v>3.958784633534878E-4</v>
      </c>
      <c r="W717" s="134">
        <f>$K$705+$I$694+$G$718+$E$755+$C$601+$A$556+$M$720+$O$718+Q719</f>
        <v>219654.02599999998</v>
      </c>
      <c r="X717" s="133">
        <f>u_CongnitiveImpairement</f>
        <v>17.270393127285455</v>
      </c>
      <c r="Y717" s="133"/>
      <c r="Z717" s="134">
        <f>U717*W717</f>
        <v>29.420806278376396</v>
      </c>
      <c r="AA717" s="6">
        <f>U717*X717</f>
        <v>2.313223662694298E-3</v>
      </c>
    </row>
    <row r="718" spans="1:27" x14ac:dyDescent="0.3">
      <c r="A718" s="10"/>
      <c r="B718" s="10"/>
      <c r="C718" s="10"/>
      <c r="D718" s="10"/>
      <c r="E718" s="10"/>
      <c r="F718" s="41"/>
      <c r="G718" s="57">
        <f>c_LBW</f>
        <v>198651.76559999998</v>
      </c>
      <c r="H718" s="64"/>
      <c r="I718" s="64"/>
      <c r="J718" s="64"/>
      <c r="K718" s="64"/>
      <c r="L718" s="64"/>
      <c r="M718" s="54" t="s">
        <v>203</v>
      </c>
      <c r="N718" s="64"/>
      <c r="O718" s="57">
        <f>c_hypo</f>
        <v>2936.2604000000001</v>
      </c>
      <c r="P718" s="64"/>
      <c r="Q718" s="56">
        <f>Hypo2CI_2-(Hypo2CI_2*RDS2CLD_2)</f>
        <v>3.2801999999999998E-2</v>
      </c>
      <c r="R718" s="56"/>
      <c r="S718" s="129"/>
      <c r="T718" s="105"/>
      <c r="U718" s="133"/>
      <c r="V718" s="133"/>
      <c r="W718" s="133"/>
      <c r="X718" s="133"/>
      <c r="Y718" s="133"/>
      <c r="Z718" s="134"/>
      <c r="AA718" s="6"/>
    </row>
    <row r="719" spans="1:27" x14ac:dyDescent="0.3">
      <c r="A719" s="10"/>
      <c r="B719" s="10"/>
      <c r="C719" s="10"/>
      <c r="D719" s="10"/>
      <c r="E719" s="10"/>
      <c r="F719" s="41"/>
      <c r="G719" s="64"/>
      <c r="H719" s="64"/>
      <c r="I719" s="64"/>
      <c r="J719" s="64"/>
      <c r="K719" s="64"/>
      <c r="L719" s="64"/>
      <c r="M719" s="56">
        <f>S_term_2noRDS_2</f>
        <v>1</v>
      </c>
      <c r="N719" s="64"/>
      <c r="O719" s="53"/>
      <c r="P719" s="64"/>
      <c r="Q719" s="57">
        <f>c_cog+c_hosp_fu+c_CSG</f>
        <v>15766</v>
      </c>
      <c r="R719" s="57"/>
      <c r="S719" s="129"/>
      <c r="T719" s="105"/>
      <c r="U719" s="133"/>
      <c r="V719" s="133"/>
      <c r="W719" s="133"/>
      <c r="X719" s="133"/>
      <c r="Y719" s="133"/>
      <c r="Z719" s="134"/>
      <c r="AA719" s="6"/>
    </row>
    <row r="720" spans="1:27" x14ac:dyDescent="0.3">
      <c r="A720" s="10"/>
      <c r="B720" s="10"/>
      <c r="C720" s="10"/>
      <c r="D720" s="10"/>
      <c r="E720" s="10"/>
      <c r="F720" s="41"/>
      <c r="G720" s="64"/>
      <c r="H720" s="64"/>
      <c r="I720" s="64"/>
      <c r="J720" s="64"/>
      <c r="K720" s="64"/>
      <c r="L720" s="64"/>
      <c r="M720" s="57"/>
      <c r="N720" s="64"/>
      <c r="O720" s="65"/>
      <c r="P720" s="64"/>
      <c r="Q720" s="54" t="s">
        <v>369</v>
      </c>
      <c r="R720" s="54"/>
      <c r="S720" s="129"/>
      <c r="T720" s="105"/>
      <c r="U720" s="133">
        <f>$K$704*$I$693*$G$717*$E$754*$C$600*$A$555*$M$719*$O$717*Q721</f>
        <v>7.5669653689935823E-5</v>
      </c>
      <c r="V720" s="133">
        <v>2.2364964831081237E-4</v>
      </c>
      <c r="W720" s="134">
        <f>$K$705+$I$694+$G$718+$E$755+$C$601+$A$556+$M$720+$O$718+Q722</f>
        <v>262236.53690239997</v>
      </c>
      <c r="X720" s="133">
        <f>u_ChronicResp+u_CongnitiveImpairement</f>
        <v>17.805052694763283</v>
      </c>
      <c r="Y720" s="133"/>
      <c r="Z720" s="134">
        <f>U720*W720</f>
        <v>19.84334793225268</v>
      </c>
      <c r="AA720" s="6">
        <f>U720*X720</f>
        <v>1.3473021713437962E-3</v>
      </c>
    </row>
    <row r="721" spans="1:27" x14ac:dyDescent="0.3">
      <c r="A721" s="10"/>
      <c r="B721" s="10"/>
      <c r="C721" s="10"/>
      <c r="D721" s="10"/>
      <c r="E721" s="10"/>
      <c r="F721" s="41"/>
      <c r="G721" s="64"/>
      <c r="H721" s="64"/>
      <c r="I721" s="64"/>
      <c r="J721" s="64"/>
      <c r="K721" s="64"/>
      <c r="L721" s="64"/>
      <c r="M721" s="65"/>
      <c r="N721" s="64"/>
      <c r="O721" s="41"/>
      <c r="P721" s="64"/>
      <c r="Q721" s="56">
        <f>Hypo2CI_2*RDS2CLD_2</f>
        <v>1.8531333333333334E-2</v>
      </c>
      <c r="R721" s="56"/>
      <c r="S721" s="129"/>
      <c r="T721" s="105"/>
      <c r="U721" s="133"/>
      <c r="V721" s="133"/>
      <c r="W721" s="133"/>
      <c r="X721" s="133"/>
      <c r="Y721" s="133"/>
      <c r="Z721" s="134"/>
      <c r="AA721" s="6"/>
    </row>
    <row r="722" spans="1:27" x14ac:dyDescent="0.3">
      <c r="A722" s="10"/>
      <c r="B722" s="10"/>
      <c r="C722" s="10"/>
      <c r="D722" s="10"/>
      <c r="E722" s="10"/>
      <c r="F722" s="41"/>
      <c r="G722" s="64"/>
      <c r="H722" s="64"/>
      <c r="I722" s="64"/>
      <c r="J722" s="64"/>
      <c r="K722" s="64"/>
      <c r="L722" s="64"/>
      <c r="M722" s="65"/>
      <c r="N722" s="64"/>
      <c r="O722" s="41"/>
      <c r="P722" s="64"/>
      <c r="Q722" s="57">
        <f>c_lung+c_cog+c_hosp_fu+c_CSG</f>
        <v>58348.510902399998</v>
      </c>
      <c r="R722" s="57"/>
      <c r="S722" s="129"/>
      <c r="T722" s="105"/>
      <c r="U722" s="133"/>
      <c r="V722" s="133"/>
      <c r="W722" s="133"/>
      <c r="X722" s="133"/>
      <c r="Y722" s="133"/>
      <c r="Z722" s="134"/>
      <c r="AA722" s="6"/>
    </row>
    <row r="723" spans="1:27" x14ac:dyDescent="0.3">
      <c r="A723" s="10"/>
      <c r="B723" s="10"/>
      <c r="C723" s="10"/>
      <c r="D723" s="10"/>
      <c r="E723" s="10"/>
      <c r="F723" s="41"/>
      <c r="G723" s="64"/>
      <c r="H723" s="64"/>
      <c r="I723" s="64"/>
      <c r="J723" s="64"/>
      <c r="K723" s="64"/>
      <c r="L723" s="64"/>
      <c r="M723" s="65"/>
      <c r="N723" s="64"/>
      <c r="O723" s="41"/>
      <c r="P723" s="64"/>
      <c r="Q723" s="54" t="s">
        <v>370</v>
      </c>
      <c r="R723" s="54"/>
      <c r="S723" s="129"/>
      <c r="T723" s="105"/>
      <c r="U723" s="133">
        <f>$K$704*$I$693*$G$717*$E$754*$C$600*$A$555*$M$719*$O$717*Q724</f>
        <v>2.4753098928408665E-3</v>
      </c>
      <c r="V723" s="133">
        <v>7.3160396539222496E-3</v>
      </c>
      <c r="W723" s="134">
        <f>$K$705+$I$694+$G$718+$E$755+$C$601+$A$556+$M$720+$O$718+Q725</f>
        <v>218291.02599999998</v>
      </c>
      <c r="X723" s="133">
        <f>u_Healthy</f>
        <v>0</v>
      </c>
      <c r="Y723" s="133"/>
      <c r="Z723" s="134">
        <f>U723*W723</f>
        <v>540.33793617618278</v>
      </c>
      <c r="AA723" s="6">
        <f>U723*X723</f>
        <v>0</v>
      </c>
    </row>
    <row r="724" spans="1:27" x14ac:dyDescent="0.3">
      <c r="A724" s="10"/>
      <c r="B724" s="10"/>
      <c r="C724" s="10"/>
      <c r="D724" s="10"/>
      <c r="E724" s="10"/>
      <c r="F724" s="41"/>
      <c r="G724" s="64"/>
      <c r="H724" s="64"/>
      <c r="I724" s="64"/>
      <c r="J724" s="64"/>
      <c r="K724" s="64"/>
      <c r="L724" s="64"/>
      <c r="M724" s="65"/>
      <c r="N724" s="64"/>
      <c r="O724" s="65"/>
      <c r="P724" s="64"/>
      <c r="Q724" s="56">
        <f>1-Q715-Q718-Q721</f>
        <v>0.60619800000000001</v>
      </c>
      <c r="R724" s="56"/>
      <c r="T724" s="105"/>
      <c r="U724" s="133"/>
      <c r="V724" s="133"/>
      <c r="W724" s="133"/>
      <c r="X724" s="133"/>
      <c r="Y724" s="133"/>
      <c r="Z724" s="134"/>
      <c r="AA724" s="6"/>
    </row>
    <row r="725" spans="1:27" x14ac:dyDescent="0.3">
      <c r="A725" s="10"/>
      <c r="B725" s="10"/>
      <c r="C725" s="10"/>
      <c r="D725" s="10"/>
      <c r="E725" s="10"/>
      <c r="F725" s="41"/>
      <c r="G725" s="64"/>
      <c r="H725" s="64"/>
      <c r="I725" s="64"/>
      <c r="J725" s="64"/>
      <c r="K725" s="64"/>
      <c r="L725" s="64"/>
      <c r="M725" s="65"/>
      <c r="N725" s="64"/>
      <c r="O725" s="64"/>
      <c r="P725" s="64"/>
      <c r="Q725" s="57">
        <f>c_clinic_fu+c_CSG</f>
        <v>14403</v>
      </c>
      <c r="R725" s="57"/>
      <c r="S725" s="129"/>
      <c r="T725" s="105"/>
      <c r="U725" s="133"/>
      <c r="V725" s="133"/>
      <c r="W725" s="133"/>
      <c r="X725" s="133"/>
      <c r="Y725" s="133"/>
      <c r="Z725" s="134"/>
      <c r="AA725" s="6"/>
    </row>
    <row r="726" spans="1:27" x14ac:dyDescent="0.3">
      <c r="A726" s="10"/>
      <c r="B726" s="10"/>
      <c r="C726" s="10"/>
      <c r="D726" s="10"/>
      <c r="E726" s="10"/>
      <c r="F726" s="41"/>
      <c r="G726" s="64"/>
      <c r="H726" s="64"/>
      <c r="I726" s="64"/>
      <c r="J726" s="64"/>
      <c r="K726" s="64"/>
      <c r="L726" s="64"/>
      <c r="M726" s="65"/>
      <c r="N726" s="64"/>
      <c r="O726" s="64"/>
      <c r="P726" s="64"/>
      <c r="Q726" s="65"/>
      <c r="R726" s="65"/>
      <c r="S726" s="130"/>
      <c r="T726" s="105"/>
      <c r="U726" s="133"/>
      <c r="V726" s="133"/>
      <c r="W726" s="133"/>
      <c r="X726" s="133"/>
      <c r="Y726" s="133"/>
      <c r="Z726" s="134"/>
      <c r="AA726" s="6"/>
    </row>
    <row r="727" spans="1:27" x14ac:dyDescent="0.3">
      <c r="A727" s="10"/>
      <c r="B727" s="10"/>
      <c r="C727" s="10"/>
      <c r="D727" s="10"/>
      <c r="E727" s="10"/>
      <c r="F727" s="41"/>
      <c r="G727" s="64"/>
      <c r="H727" s="64"/>
      <c r="I727" s="64"/>
      <c r="J727" s="64"/>
      <c r="K727" s="64"/>
      <c r="L727" s="64"/>
      <c r="M727" s="65"/>
      <c r="N727" s="64"/>
      <c r="O727" s="64"/>
      <c r="P727" s="64"/>
      <c r="Q727" s="54" t="s">
        <v>368</v>
      </c>
      <c r="R727" s="54"/>
      <c r="S727" s="129"/>
      <c r="T727" s="105"/>
      <c r="U727" s="133">
        <f>$K$704*$I$693*$G$717*$E$754*$C$600*$A$555*$M$719*$O$731*Q728</f>
        <v>4.0566607554498781E-3</v>
      </c>
      <c r="V727" s="133">
        <v>1.1989889037820563E-2</v>
      </c>
      <c r="W727" s="134">
        <f>$K$705+$I$694+$G$718+$E$755+$C$601+$A$556+$M$720+$O$732+Q729</f>
        <v>255481.2765024</v>
      </c>
      <c r="X727" s="133">
        <f>u_ChronicResp</f>
        <v>0.53465956747782661</v>
      </c>
      <c r="Y727" s="133"/>
      <c r="Z727" s="134">
        <f>U727*W727</f>
        <v>1036.4008681395251</v>
      </c>
      <c r="AA727" s="6">
        <f>U727*X727</f>
        <v>2.168932484913105E-3</v>
      </c>
    </row>
    <row r="728" spans="1:27" x14ac:dyDescent="0.3">
      <c r="A728" s="10"/>
      <c r="B728" s="10"/>
      <c r="C728" s="10"/>
      <c r="D728" s="10"/>
      <c r="E728" s="10"/>
      <c r="F728" s="41"/>
      <c r="G728" s="64"/>
      <c r="H728" s="64"/>
      <c r="I728" s="64"/>
      <c r="J728" s="64"/>
      <c r="K728" s="64"/>
      <c r="L728" s="64"/>
      <c r="M728" s="65"/>
      <c r="N728" s="64"/>
      <c r="O728" s="64"/>
      <c r="P728" s="64"/>
      <c r="Q728" s="56">
        <f>RDS2CLD_2-(RDS2CLD_2*noHypo2CI_2)</f>
        <v>0.34905610687022898</v>
      </c>
      <c r="R728" s="56"/>
      <c r="S728" s="129"/>
      <c r="T728" s="105"/>
      <c r="U728" s="133"/>
      <c r="V728" s="133"/>
      <c r="W728" s="133"/>
      <c r="X728" s="133"/>
      <c r="Y728" s="133"/>
      <c r="Z728" s="134"/>
      <c r="AA728" s="6"/>
    </row>
    <row r="729" spans="1:27" x14ac:dyDescent="0.3">
      <c r="A729" s="10"/>
      <c r="B729" s="10"/>
      <c r="C729" s="10"/>
      <c r="D729" s="10"/>
      <c r="E729" s="10"/>
      <c r="F729" s="41"/>
      <c r="G729" s="64"/>
      <c r="H729" s="64"/>
      <c r="I729" s="64"/>
      <c r="J729" s="64"/>
      <c r="K729" s="64"/>
      <c r="L729" s="64"/>
      <c r="M729" s="65"/>
      <c r="N729" s="64"/>
      <c r="O729" s="64"/>
      <c r="P729" s="64"/>
      <c r="Q729" s="57">
        <f>c_lung+c_hosp_fu+c_CSG</f>
        <v>54529.510902399998</v>
      </c>
      <c r="R729" s="57"/>
      <c r="S729" s="129"/>
      <c r="T729" s="105"/>
      <c r="U729" s="133"/>
      <c r="V729" s="133"/>
      <c r="W729" s="133"/>
      <c r="X729" s="133"/>
      <c r="Y729" s="133"/>
      <c r="Z729" s="134"/>
      <c r="AA729" s="6"/>
    </row>
    <row r="730" spans="1:27" x14ac:dyDescent="0.3">
      <c r="A730" s="10"/>
      <c r="B730" s="10"/>
      <c r="C730" s="10"/>
      <c r="D730" s="10"/>
      <c r="E730" s="10"/>
      <c r="F730" s="41"/>
      <c r="G730" s="64"/>
      <c r="H730" s="64"/>
      <c r="I730" s="64"/>
      <c r="J730" s="64"/>
      <c r="K730" s="64"/>
      <c r="L730" s="64"/>
      <c r="M730" s="65"/>
      <c r="N730" s="64"/>
      <c r="O730" s="54" t="s">
        <v>371</v>
      </c>
      <c r="P730" s="64"/>
      <c r="Q730" s="54" t="s">
        <v>226</v>
      </c>
      <c r="R730" s="54"/>
      <c r="S730" s="129"/>
      <c r="T730" s="105"/>
      <c r="U730" s="133">
        <f>$K$704*$I$693*$G$717*$E$754*$C$600*$A$555*$M$719*$O$731*Q731</f>
        <v>2.4570444605677855E-4</v>
      </c>
      <c r="V730" s="133">
        <v>7.26205424094734E-4</v>
      </c>
      <c r="W730" s="134">
        <f>$K$705+$I$694+$G$718+$E$755+$C$601+$A$556+$M$720+$O$732+Q732</f>
        <v>216717.76559999998</v>
      </c>
      <c r="X730" s="133">
        <f>u_CongnitiveImpairement</f>
        <v>17.270393127285455</v>
      </c>
      <c r="Y730" s="133"/>
      <c r="Z730" s="134">
        <f>U730*W730</f>
        <v>53.248518547410775</v>
      </c>
      <c r="AA730" s="6">
        <f>U730*X730</f>
        <v>4.2434123765224679E-3</v>
      </c>
    </row>
    <row r="731" spans="1:27" x14ac:dyDescent="0.3">
      <c r="A731" s="10"/>
      <c r="B731" s="10"/>
      <c r="C731" s="10"/>
      <c r="D731" s="10"/>
      <c r="E731" s="10"/>
      <c r="F731" s="41"/>
      <c r="G731" s="64"/>
      <c r="H731" s="64"/>
      <c r="I731" s="64"/>
      <c r="J731" s="64"/>
      <c r="K731" s="64"/>
      <c r="L731" s="64"/>
      <c r="M731" s="65"/>
      <c r="N731" s="64"/>
      <c r="O731" s="56">
        <f>SGA_term_2normoglycaemia_2</f>
        <v>0.74</v>
      </c>
      <c r="P731" s="64"/>
      <c r="Q731" s="56">
        <f>noHypo2CI_2-(RDS2CLD_2*noHypo2CI_2)</f>
        <v>2.1141683406990762E-2</v>
      </c>
      <c r="R731" s="56"/>
      <c r="S731" s="129"/>
      <c r="T731" s="105"/>
      <c r="U731" s="133"/>
      <c r="V731" s="133"/>
      <c r="W731" s="133"/>
      <c r="X731" s="133"/>
      <c r="Y731" s="133"/>
      <c r="Z731" s="134"/>
      <c r="AA731" s="6"/>
    </row>
    <row r="732" spans="1:27" x14ac:dyDescent="0.3">
      <c r="A732" s="10"/>
      <c r="B732" s="10"/>
      <c r="C732" s="10"/>
      <c r="D732" s="10"/>
      <c r="E732" s="10"/>
      <c r="F732" s="41"/>
      <c r="G732" s="64"/>
      <c r="H732" s="64"/>
      <c r="I732" s="64"/>
      <c r="J732" s="64"/>
      <c r="K732" s="64"/>
      <c r="L732" s="64"/>
      <c r="M732" s="65"/>
      <c r="N732" s="64"/>
      <c r="O732" s="57"/>
      <c r="P732" s="64"/>
      <c r="Q732" s="57">
        <f>c_cog+c_hosp_fu+c_CSG</f>
        <v>15766</v>
      </c>
      <c r="R732" s="57"/>
      <c r="S732" s="129"/>
      <c r="T732" s="105"/>
      <c r="U732" s="133"/>
      <c r="V732" s="133"/>
      <c r="W732" s="133"/>
      <c r="X732" s="133"/>
      <c r="Y732" s="133"/>
      <c r="Z732" s="134"/>
      <c r="AA732" s="6"/>
    </row>
    <row r="733" spans="1:27" x14ac:dyDescent="0.3">
      <c r="A733" s="10"/>
      <c r="B733" s="10"/>
      <c r="C733" s="10"/>
      <c r="D733" s="10"/>
      <c r="E733" s="10"/>
      <c r="F733" s="41"/>
      <c r="G733" s="64"/>
      <c r="H733" s="64"/>
      <c r="I733" s="64"/>
      <c r="J733" s="64"/>
      <c r="K733" s="64"/>
      <c r="L733" s="64"/>
      <c r="M733" s="65"/>
      <c r="N733" s="64"/>
      <c r="O733" s="64"/>
      <c r="P733" s="64"/>
      <c r="Q733" s="54" t="s">
        <v>369</v>
      </c>
      <c r="R733" s="54"/>
      <c r="S733" s="129"/>
      <c r="T733" s="105"/>
      <c r="U733" s="133">
        <f>$K$704*$I$693*$G$717*$E$754*$C$600*$A$555*$M$719*$O$731*Q734</f>
        <v>1.3880955403207675E-4</v>
      </c>
      <c r="V733" s="133">
        <v>4.1026628810359768E-4</v>
      </c>
      <c r="W733" s="134">
        <f>$K$705+$I$694+$G$718+$E$755+$C$601+$A$556+$M$720+$O$732+Q735</f>
        <v>259300.2765024</v>
      </c>
      <c r="X733" s="133">
        <f>u_ChronicResp+u_CongnitiveImpairement</f>
        <v>17.805052694763283</v>
      </c>
      <c r="Y733" s="133"/>
      <c r="Z733" s="134">
        <f>U733*W733</f>
        <v>35.993355741692334</v>
      </c>
      <c r="AA733" s="6">
        <f>U733*X733</f>
        <v>2.4715114240777174E-3</v>
      </c>
    </row>
    <row r="734" spans="1:27" x14ac:dyDescent="0.3">
      <c r="A734" s="10"/>
      <c r="B734" s="10"/>
      <c r="C734" s="10"/>
      <c r="D734" s="10"/>
      <c r="E734" s="10"/>
      <c r="F734" s="41"/>
      <c r="G734" s="64"/>
      <c r="H734" s="64"/>
      <c r="I734" s="64"/>
      <c r="J734" s="64"/>
      <c r="K734" s="64"/>
      <c r="L734" s="64"/>
      <c r="M734" s="65"/>
      <c r="N734" s="64"/>
      <c r="O734" s="64"/>
      <c r="P734" s="64"/>
      <c r="Q734" s="56">
        <f>RDS2CLD_2*noHypo2CI_2</f>
        <v>1.1943893129770991E-2</v>
      </c>
      <c r="R734" s="56"/>
      <c r="S734" s="129"/>
      <c r="T734" s="105"/>
      <c r="U734" s="133"/>
      <c r="V734" s="133"/>
      <c r="W734" s="133"/>
      <c r="X734" s="133"/>
      <c r="Y734" s="133"/>
      <c r="Z734" s="134"/>
      <c r="AA734" s="6"/>
    </row>
    <row r="735" spans="1:27" x14ac:dyDescent="0.3">
      <c r="A735" s="10"/>
      <c r="B735" s="10"/>
      <c r="C735" s="10"/>
      <c r="D735" s="10"/>
      <c r="E735" s="10"/>
      <c r="F735" s="41"/>
      <c r="G735" s="64"/>
      <c r="H735" s="64"/>
      <c r="I735" s="64"/>
      <c r="J735" s="64"/>
      <c r="K735" s="64"/>
      <c r="L735" s="64"/>
      <c r="M735" s="65"/>
      <c r="N735" s="64"/>
      <c r="O735" s="64"/>
      <c r="P735" s="64"/>
      <c r="Q735" s="57">
        <f>c_cog+c_lung+c_hosp_fu+c_CSG</f>
        <v>58348.510902399998</v>
      </c>
      <c r="R735" s="57"/>
      <c r="S735" s="129"/>
      <c r="T735" s="105"/>
      <c r="U735" s="133"/>
      <c r="V735" s="133"/>
      <c r="W735" s="133"/>
      <c r="X735" s="133"/>
      <c r="Y735" s="133"/>
      <c r="Z735" s="134"/>
      <c r="AA735" s="6"/>
    </row>
    <row r="736" spans="1:27" x14ac:dyDescent="0.3">
      <c r="A736" s="10"/>
      <c r="B736" s="10"/>
      <c r="C736" s="110"/>
      <c r="D736" s="110"/>
      <c r="E736" s="110"/>
      <c r="F736" s="41"/>
      <c r="G736" s="64"/>
      <c r="H736" s="64"/>
      <c r="I736" s="64"/>
      <c r="J736" s="64"/>
      <c r="K736" s="64"/>
      <c r="L736" s="64"/>
      <c r="M736" s="65"/>
      <c r="N736" s="64"/>
      <c r="O736" s="64"/>
      <c r="P736" s="64"/>
      <c r="Q736" s="54" t="s">
        <v>370</v>
      </c>
      <c r="R736" s="54"/>
      <c r="S736" s="129"/>
      <c r="T736" s="105"/>
      <c r="U736" s="133">
        <f>$K$704*$I$693*$G$717*$E$754*$C$600*$A$555*$M$719*$O$731*Q737</f>
        <v>7.1806266557686233E-3</v>
      </c>
      <c r="V736" s="133">
        <v>2.1223099986613134E-2</v>
      </c>
      <c r="W736" s="134">
        <f>$K$705+$I$694+$G$718+$E$755+$C$601+$A$556+$M$720+$O$732+Q738</f>
        <v>215354.76559999998</v>
      </c>
      <c r="X736" s="133">
        <f>u_Healthy</f>
        <v>0</v>
      </c>
      <c r="Y736" s="133"/>
      <c r="Z736" s="134">
        <f>U736*W736</f>
        <v>1546.3821703141637</v>
      </c>
      <c r="AA736" s="6">
        <f>U736*X736</f>
        <v>0</v>
      </c>
    </row>
    <row r="737" spans="1:27" x14ac:dyDescent="0.3">
      <c r="A737" s="10"/>
      <c r="B737" s="10"/>
      <c r="C737" s="110"/>
      <c r="D737" s="10"/>
      <c r="E737" s="10"/>
      <c r="F737" s="41"/>
      <c r="G737" s="64"/>
      <c r="H737" s="64"/>
      <c r="I737" s="64"/>
      <c r="J737" s="64"/>
      <c r="K737" s="64"/>
      <c r="L737" s="64"/>
      <c r="M737" s="65"/>
      <c r="N737" s="64"/>
      <c r="O737" s="64"/>
      <c r="P737" s="64"/>
      <c r="Q737" s="56">
        <f>1-Q734-Q731-Q728</f>
        <v>0.61785831659300938</v>
      </c>
      <c r="R737" s="56"/>
      <c r="T737" s="105"/>
      <c r="U737" s="133"/>
      <c r="V737" s="133"/>
      <c r="W737" s="133"/>
      <c r="X737" s="133"/>
      <c r="Y737" s="133"/>
      <c r="Z737" s="134"/>
      <c r="AA737" s="6"/>
    </row>
    <row r="738" spans="1:27" x14ac:dyDescent="0.3">
      <c r="A738" s="10"/>
      <c r="B738" s="10"/>
      <c r="C738" s="116"/>
      <c r="D738" s="10"/>
      <c r="E738" s="10"/>
      <c r="F738" s="41"/>
      <c r="G738" s="64"/>
      <c r="H738" s="64"/>
      <c r="I738" s="64"/>
      <c r="J738" s="64"/>
      <c r="K738" s="64"/>
      <c r="L738" s="64"/>
      <c r="M738" s="65"/>
      <c r="N738" s="64"/>
      <c r="O738" s="64"/>
      <c r="P738" s="64"/>
      <c r="Q738" s="57">
        <f>c_clinic_fu+c_CSG</f>
        <v>14403</v>
      </c>
      <c r="R738" s="57"/>
      <c r="S738" s="129"/>
      <c r="T738" s="105"/>
      <c r="U738" s="133"/>
      <c r="V738" s="133"/>
      <c r="W738" s="133"/>
      <c r="X738" s="133"/>
      <c r="Y738" s="133"/>
      <c r="Z738" s="134"/>
      <c r="AA738" s="6"/>
    </row>
    <row r="739" spans="1:27" x14ac:dyDescent="0.3">
      <c r="A739" s="10"/>
      <c r="B739" s="10"/>
      <c r="C739" s="10"/>
      <c r="D739" s="10"/>
      <c r="E739" s="10"/>
      <c r="F739" s="41"/>
      <c r="G739" s="64"/>
      <c r="H739" s="64"/>
      <c r="I739" s="64"/>
      <c r="J739" s="64"/>
      <c r="K739" s="64"/>
      <c r="L739" s="64"/>
      <c r="M739" s="65"/>
      <c r="N739" s="64"/>
      <c r="O739" s="64"/>
      <c r="P739" s="64"/>
      <c r="Q739" s="65"/>
      <c r="R739" s="65"/>
      <c r="S739" s="129"/>
      <c r="T739" s="105"/>
      <c r="U739" s="133"/>
      <c r="V739" s="133"/>
      <c r="W739" s="133"/>
      <c r="X739" s="133"/>
      <c r="Y739" s="133"/>
      <c r="Z739" s="134"/>
      <c r="AA739" s="6"/>
    </row>
    <row r="740" spans="1:27" x14ac:dyDescent="0.3">
      <c r="A740" s="10"/>
      <c r="B740" s="10"/>
      <c r="C740" s="10"/>
      <c r="D740" s="10"/>
      <c r="E740" s="10"/>
      <c r="F740" s="41"/>
      <c r="G740" s="64"/>
      <c r="H740" s="64"/>
      <c r="I740" s="64"/>
      <c r="J740" s="64"/>
      <c r="K740" s="54" t="s">
        <v>165</v>
      </c>
      <c r="L740" s="54"/>
      <c r="M740" s="54"/>
      <c r="N740" s="54"/>
      <c r="O740" s="54"/>
      <c r="P740" s="54"/>
      <c r="Q740" s="54"/>
      <c r="R740" s="54"/>
      <c r="S740" s="129"/>
      <c r="T740" s="105"/>
      <c r="U740" s="133">
        <f>$K$741*$I$749*$G$717*$E$754*$C$600*$A$555</f>
        <v>9.7958443870861293E-6</v>
      </c>
      <c r="V740" s="133">
        <v>0</v>
      </c>
      <c r="W740" s="134">
        <f>$K$742+$I$750+$G$718+$E$755+$C$601+$A$556</f>
        <v>202743.76559999998</v>
      </c>
      <c r="X740" s="133">
        <f>u_Death</f>
        <v>19.181538114427529</v>
      </c>
      <c r="Y740" s="133"/>
      <c r="Z740" s="134">
        <f>U740*W740</f>
        <v>1.9860463782694657</v>
      </c>
      <c r="AA740" s="6">
        <f>U740*X740</f>
        <v>1.8789936247389356E-4</v>
      </c>
    </row>
    <row r="741" spans="1:27" x14ac:dyDescent="0.3">
      <c r="A741" s="10"/>
      <c r="B741" s="10"/>
      <c r="C741" s="10"/>
      <c r="D741" s="10"/>
      <c r="E741" s="10"/>
      <c r="F741" s="41"/>
      <c r="G741" s="64"/>
      <c r="H741" s="64"/>
      <c r="I741" s="64"/>
      <c r="J741" s="64"/>
      <c r="K741" s="56">
        <f>AGA_term_2d_2</f>
        <v>5.5476666666666669E-3</v>
      </c>
      <c r="L741" s="64"/>
      <c r="M741" s="64"/>
      <c r="N741" s="64"/>
      <c r="O741" s="64"/>
      <c r="P741" s="64"/>
      <c r="Q741" s="64"/>
      <c r="R741" s="64"/>
      <c r="S741" s="129"/>
      <c r="T741" s="105"/>
      <c r="U741" s="133"/>
      <c r="V741" s="133"/>
      <c r="W741" s="133"/>
      <c r="X741" s="133"/>
      <c r="Y741" s="133"/>
      <c r="Z741" s="134"/>
      <c r="AA741" s="6"/>
    </row>
    <row r="742" spans="1:27" x14ac:dyDescent="0.3">
      <c r="A742" s="10"/>
      <c r="B742" s="10"/>
      <c r="C742" s="10"/>
      <c r="D742" s="10"/>
      <c r="E742" s="10"/>
      <c r="F742" s="41"/>
      <c r="G742" s="64"/>
      <c r="H742" s="64"/>
      <c r="I742" s="64"/>
      <c r="J742" s="64"/>
      <c r="K742" s="57">
        <f>c_SB</f>
        <v>1792</v>
      </c>
      <c r="L742" s="64"/>
      <c r="M742" s="64"/>
      <c r="N742" s="64"/>
      <c r="O742" s="64"/>
      <c r="P742" s="64"/>
      <c r="Q742" s="64"/>
      <c r="R742" s="64"/>
      <c r="S742" s="129"/>
      <c r="T742" s="105"/>
      <c r="U742" s="133"/>
      <c r="V742" s="133"/>
      <c r="W742" s="133"/>
      <c r="X742" s="133"/>
      <c r="Y742" s="133"/>
      <c r="Z742" s="134"/>
      <c r="AA742" s="6"/>
    </row>
    <row r="743" spans="1:27" x14ac:dyDescent="0.3">
      <c r="A743" s="10"/>
      <c r="B743" s="10"/>
      <c r="C743" s="10"/>
      <c r="D743" s="10"/>
      <c r="E743" s="10"/>
      <c r="F743" s="41"/>
      <c r="G743" s="64"/>
      <c r="H743" s="64"/>
      <c r="I743" s="64"/>
      <c r="J743" s="64"/>
      <c r="K743" s="53"/>
      <c r="L743" s="53"/>
      <c r="M743" s="53"/>
      <c r="N743" s="53"/>
      <c r="O743" s="53"/>
      <c r="P743" s="53"/>
      <c r="Q743" s="53"/>
      <c r="R743" s="53"/>
      <c r="S743" s="129"/>
      <c r="T743" s="105"/>
      <c r="U743" s="133"/>
      <c r="V743" s="133"/>
      <c r="W743" s="133"/>
      <c r="X743" s="133"/>
      <c r="Y743" s="133"/>
      <c r="Z743" s="134"/>
      <c r="AA743" s="6"/>
    </row>
    <row r="744" spans="1:27" x14ac:dyDescent="0.3">
      <c r="A744" s="10"/>
      <c r="B744" s="10"/>
      <c r="C744" s="10"/>
      <c r="D744" s="10"/>
      <c r="E744" s="10"/>
      <c r="F744" s="41"/>
      <c r="G744" s="53"/>
      <c r="H744" s="53"/>
      <c r="I744" s="64"/>
      <c r="J744" s="64"/>
      <c r="K744" s="53"/>
      <c r="L744" s="53"/>
      <c r="M744" s="53"/>
      <c r="N744" s="53"/>
      <c r="O744" s="53"/>
      <c r="P744" s="53"/>
      <c r="Q744" s="54" t="s">
        <v>368</v>
      </c>
      <c r="R744" s="54"/>
      <c r="S744" s="129"/>
      <c r="T744" s="105"/>
      <c r="U744" s="133">
        <f>$K$760*$I$749*$G$717*$E$754*$C$600*$A$555*$M$755*$O$750*Q745</f>
        <v>0</v>
      </c>
      <c r="V744" s="133">
        <v>0</v>
      </c>
      <c r="W744" s="134">
        <f>$K$761+$I$750+$G$718+$E$755+$C$601+$A$556+$M$756+$O$751+Q746</f>
        <v>289013.14705060562</v>
      </c>
      <c r="X744" s="133">
        <f>u_ChronicResp</f>
        <v>0.53465956747782661</v>
      </c>
      <c r="Y744" s="133"/>
      <c r="Z744" s="134">
        <f>U744*W744</f>
        <v>0</v>
      </c>
      <c r="AA744" s="6">
        <f t="shared" ref="AA744:AA775" si="103">U744*X744</f>
        <v>0</v>
      </c>
    </row>
    <row r="745" spans="1:27" x14ac:dyDescent="0.3">
      <c r="A745" s="10"/>
      <c r="B745" s="10"/>
      <c r="C745" s="10"/>
      <c r="D745" s="10"/>
      <c r="E745" s="10"/>
      <c r="F745" s="41"/>
      <c r="G745" s="53"/>
      <c r="H745" s="53"/>
      <c r="I745" s="64"/>
      <c r="J745" s="64"/>
      <c r="K745" s="53"/>
      <c r="L745" s="53"/>
      <c r="M745" s="53"/>
      <c r="N745" s="53"/>
      <c r="O745" s="64"/>
      <c r="P745" s="64"/>
      <c r="Q745" s="56">
        <f>RDS2CLD_2-(Hypo2CI_2*RDS2CLD_2)</f>
        <v>0.34246866666666664</v>
      </c>
      <c r="R745" s="56"/>
      <c r="S745" s="129"/>
      <c r="T745" s="105"/>
      <c r="U745" s="133"/>
      <c r="V745" s="133"/>
      <c r="W745" s="133"/>
      <c r="X745" s="133"/>
      <c r="Y745" s="133"/>
      <c r="Z745" s="134"/>
      <c r="AA745" s="6">
        <f t="shared" si="103"/>
        <v>0</v>
      </c>
    </row>
    <row r="746" spans="1:27" x14ac:dyDescent="0.3">
      <c r="A746" s="10"/>
      <c r="B746" s="10"/>
      <c r="C746" s="10"/>
      <c r="D746" s="10"/>
      <c r="E746" s="10"/>
      <c r="F746" s="41"/>
      <c r="G746" s="53"/>
      <c r="H746" s="53"/>
      <c r="I746" s="64"/>
      <c r="J746" s="64"/>
      <c r="K746" s="53"/>
      <c r="L746" s="53"/>
      <c r="M746" s="53"/>
      <c r="N746" s="53"/>
      <c r="O746" s="64"/>
      <c r="P746" s="64"/>
      <c r="Q746" s="57">
        <f>c_lung+c_hosp_fu+c_CSG</f>
        <v>54529.510902399998</v>
      </c>
      <c r="R746" s="57"/>
      <c r="S746" s="129"/>
      <c r="T746" s="105"/>
      <c r="U746" s="133"/>
      <c r="V746" s="133"/>
      <c r="W746" s="133"/>
      <c r="X746" s="133"/>
      <c r="Y746" s="133"/>
      <c r="Z746" s="134"/>
      <c r="AA746" s="6">
        <f t="shared" si="103"/>
        <v>0</v>
      </c>
    </row>
    <row r="747" spans="1:27" x14ac:dyDescent="0.3">
      <c r="A747" s="10"/>
      <c r="B747" s="10"/>
      <c r="C747" s="10"/>
      <c r="D747" s="10"/>
      <c r="E747" s="10"/>
      <c r="F747" s="41"/>
      <c r="G747" s="53"/>
      <c r="H747" s="53"/>
      <c r="I747" s="64"/>
      <c r="J747" s="64"/>
      <c r="K747" s="53"/>
      <c r="L747" s="53"/>
      <c r="M747" s="53"/>
      <c r="N747" s="53"/>
      <c r="O747" s="64"/>
      <c r="P747" s="64"/>
      <c r="Q747" s="54" t="s">
        <v>226</v>
      </c>
      <c r="R747" s="54"/>
      <c r="S747" s="129"/>
      <c r="T747" s="105"/>
      <c r="U747" s="133">
        <f>$K$760*$I$749*$G$717*$E$754*$C$600*$A$555*$M$755*$O$750*Q748</f>
        <v>0</v>
      </c>
      <c r="V747" s="133">
        <v>0</v>
      </c>
      <c r="W747" s="134">
        <f>$K$761+$I$750+$G$718+$E$755+$C$601+$A$556+$M$756+$O$751+Q749</f>
        <v>250249.63614820561</v>
      </c>
      <c r="X747" s="133">
        <f>u_CongnitiveImpairement</f>
        <v>17.270393127285455</v>
      </c>
      <c r="Y747" s="133"/>
      <c r="Z747" s="134">
        <f>U747*W747</f>
        <v>0</v>
      </c>
      <c r="AA747" s="6">
        <f t="shared" si="103"/>
        <v>0</v>
      </c>
    </row>
    <row r="748" spans="1:27" x14ac:dyDescent="0.3">
      <c r="A748" s="10"/>
      <c r="B748" s="10"/>
      <c r="C748" s="10"/>
      <c r="D748" s="10"/>
      <c r="E748" s="10"/>
      <c r="F748" s="41"/>
      <c r="G748" s="53"/>
      <c r="H748" s="53"/>
      <c r="I748" s="54" t="s">
        <v>425</v>
      </c>
      <c r="J748" s="64"/>
      <c r="K748" s="64"/>
      <c r="L748" s="64"/>
      <c r="M748" s="64"/>
      <c r="N748" s="64"/>
      <c r="O748" s="64"/>
      <c r="P748" s="64"/>
      <c r="Q748" s="56">
        <f>Hypo2CI_2-(Hypo2CI_2*RDS2CLD_2)</f>
        <v>3.2801999999999998E-2</v>
      </c>
      <c r="R748" s="56"/>
      <c r="S748" s="129"/>
      <c r="T748" s="105"/>
      <c r="U748" s="133"/>
      <c r="V748" s="133"/>
      <c r="W748" s="133"/>
      <c r="X748" s="133"/>
      <c r="Y748" s="133"/>
      <c r="Z748" s="134"/>
      <c r="AA748" s="6">
        <f t="shared" si="103"/>
        <v>0</v>
      </c>
    </row>
    <row r="749" spans="1:27" x14ac:dyDescent="0.3">
      <c r="A749" s="10"/>
      <c r="B749" s="10"/>
      <c r="C749" s="10"/>
      <c r="D749" s="10"/>
      <c r="E749" s="10"/>
      <c r="F749" s="41"/>
      <c r="G749" s="64"/>
      <c r="H749" s="64"/>
      <c r="I749" s="56">
        <f>LBW_term_2AGA_2</f>
        <v>9.9999999999999978E-2</v>
      </c>
      <c r="J749" s="64"/>
      <c r="K749" s="64"/>
      <c r="L749" s="64"/>
      <c r="M749" s="64"/>
      <c r="N749" s="64"/>
      <c r="O749" s="54" t="s">
        <v>161</v>
      </c>
      <c r="P749" s="64"/>
      <c r="Q749" s="57">
        <f>c_cog+c_hosp_fu+c_CSG</f>
        <v>15766</v>
      </c>
      <c r="R749" s="57"/>
      <c r="S749" s="129"/>
      <c r="T749" s="105"/>
      <c r="U749" s="133"/>
      <c r="V749" s="133"/>
      <c r="W749" s="133"/>
      <c r="X749" s="133"/>
      <c r="Y749" s="133"/>
      <c r="Z749" s="134"/>
      <c r="AA749" s="6">
        <f t="shared" si="103"/>
        <v>0</v>
      </c>
    </row>
    <row r="750" spans="1:27" x14ac:dyDescent="0.3">
      <c r="A750" s="10"/>
      <c r="B750" s="10"/>
      <c r="C750" s="10"/>
      <c r="D750" s="10"/>
      <c r="E750" s="10"/>
      <c r="F750" s="41"/>
      <c r="G750" s="64"/>
      <c r="H750" s="64"/>
      <c r="I750" s="57"/>
      <c r="J750" s="64"/>
      <c r="K750" s="64"/>
      <c r="L750" s="64"/>
      <c r="M750" s="64"/>
      <c r="N750" s="64"/>
      <c r="O750" s="56">
        <f>AGA_term_2hypoglycaemia_2</f>
        <v>0</v>
      </c>
      <c r="P750" s="64"/>
      <c r="Q750" s="54" t="s">
        <v>369</v>
      </c>
      <c r="R750" s="54"/>
      <c r="S750" s="129"/>
      <c r="T750" s="105"/>
      <c r="U750" s="133">
        <f>$K$760*$I$749*$G$717*$E$754*$C$600*$A$555*$M$755*$O$750*Q751</f>
        <v>0</v>
      </c>
      <c r="V750" s="133">
        <v>0</v>
      </c>
      <c r="W750" s="134">
        <f>$K$761+$I$750+$G$718+$E$755+$C$601+$A$556+$M$756+$O$751+Q752</f>
        <v>292832.14705060562</v>
      </c>
      <c r="X750" s="133">
        <f>u_ChronicResp+u_CongnitiveImpairement</f>
        <v>17.805052694763283</v>
      </c>
      <c r="Y750" s="133"/>
      <c r="Z750" s="134">
        <f>U750*W750</f>
        <v>0</v>
      </c>
      <c r="AA750" s="6">
        <f t="shared" si="103"/>
        <v>0</v>
      </c>
    </row>
    <row r="751" spans="1:27" x14ac:dyDescent="0.3">
      <c r="A751" s="10"/>
      <c r="B751" s="10"/>
      <c r="C751" s="10"/>
      <c r="D751" s="10"/>
      <c r="E751" s="10"/>
      <c r="F751" s="41"/>
      <c r="G751" s="64"/>
      <c r="H751" s="64"/>
      <c r="I751" s="64"/>
      <c r="J751" s="64"/>
      <c r="K751" s="64"/>
      <c r="L751" s="64"/>
      <c r="M751" s="64"/>
      <c r="N751" s="64"/>
      <c r="O751" s="57">
        <f>c_hypo</f>
        <v>2936.2604000000001</v>
      </c>
      <c r="P751" s="64"/>
      <c r="Q751" s="56">
        <f>Hypo2CI_2*RDS2CLD_2</f>
        <v>1.8531333333333334E-2</v>
      </c>
      <c r="R751" s="56"/>
      <c r="S751" s="129"/>
      <c r="T751" s="105"/>
      <c r="U751" s="133"/>
      <c r="V751" s="133"/>
      <c r="W751" s="133"/>
      <c r="X751" s="133"/>
      <c r="Y751" s="133"/>
      <c r="Z751" s="134"/>
      <c r="AA751" s="6">
        <f t="shared" si="103"/>
        <v>0</v>
      </c>
    </row>
    <row r="752" spans="1:27" x14ac:dyDescent="0.3">
      <c r="A752" s="10"/>
      <c r="B752" s="10"/>
      <c r="C752" s="10"/>
      <c r="D752" s="10"/>
      <c r="E752" s="10"/>
      <c r="F752" s="41"/>
      <c r="G752" s="64"/>
      <c r="H752" s="64"/>
      <c r="I752" s="64"/>
      <c r="J752" s="64"/>
      <c r="K752" s="64"/>
      <c r="L752" s="64"/>
      <c r="M752" s="65"/>
      <c r="N752" s="64"/>
      <c r="O752" s="53"/>
      <c r="P752" s="64"/>
      <c r="Q752" s="57">
        <f>c_lung+c_cog+c_hosp_fu+c_CSG</f>
        <v>58348.510902399998</v>
      </c>
      <c r="R752" s="57"/>
      <c r="S752" s="129"/>
      <c r="T752" s="105"/>
      <c r="U752" s="133"/>
      <c r="V752" s="133"/>
      <c r="W752" s="133"/>
      <c r="X752" s="133"/>
      <c r="Y752" s="133"/>
      <c r="Z752" s="134"/>
      <c r="AA752" s="6">
        <f t="shared" si="103"/>
        <v>0</v>
      </c>
    </row>
    <row r="753" spans="1:27" x14ac:dyDescent="0.3">
      <c r="A753" s="10"/>
      <c r="B753" s="10"/>
      <c r="C753" s="10"/>
      <c r="D753" s="10"/>
      <c r="E753" s="54" t="s">
        <v>11</v>
      </c>
      <c r="F753" s="41"/>
      <c r="G753" s="64"/>
      <c r="H753" s="64"/>
      <c r="I753" s="64"/>
      <c r="J753" s="64"/>
      <c r="K753" s="64"/>
      <c r="L753" s="64"/>
      <c r="M753" s="64"/>
      <c r="N753" s="64"/>
      <c r="O753" s="64"/>
      <c r="P753" s="64"/>
      <c r="Q753" s="54" t="s">
        <v>370</v>
      </c>
      <c r="R753" s="54"/>
      <c r="S753" s="129"/>
      <c r="T753" s="105"/>
      <c r="U753" s="133">
        <f>$K$760*$I$749*$G$717*$E$754*$C$600*$A$555*$M$755*$O$750*Q754</f>
        <v>0</v>
      </c>
      <c r="V753" s="133">
        <v>0</v>
      </c>
      <c r="W753" s="134">
        <f>$K$761+$I$750+$G$718+$E$755+$C$601+$A$556+$M$756+$O$751+Q755</f>
        <v>248886.63614820561</v>
      </c>
      <c r="X753" s="133">
        <f>u_Healthy</f>
        <v>0</v>
      </c>
      <c r="Y753" s="133"/>
      <c r="Z753" s="134">
        <f>U753*W753</f>
        <v>0</v>
      </c>
      <c r="AA753" s="6">
        <f t="shared" si="103"/>
        <v>0</v>
      </c>
    </row>
    <row r="754" spans="1:27" x14ac:dyDescent="0.3">
      <c r="A754" s="10"/>
      <c r="B754" s="10"/>
      <c r="C754" s="10"/>
      <c r="D754" s="10"/>
      <c r="E754" s="56">
        <f>LB2term_2</f>
        <v>0.86823117338003497</v>
      </c>
      <c r="F754" s="41"/>
      <c r="G754" s="64"/>
      <c r="H754" s="64"/>
      <c r="I754" s="64"/>
      <c r="J754" s="64"/>
      <c r="K754" s="64"/>
      <c r="L754" s="64"/>
      <c r="M754" s="54" t="s">
        <v>9</v>
      </c>
      <c r="N754" s="64"/>
      <c r="O754" s="64"/>
      <c r="P754" s="64"/>
      <c r="Q754" s="56">
        <f>1-Q745-Q748-Q751</f>
        <v>0.60619800000000001</v>
      </c>
      <c r="R754" s="56"/>
      <c r="S754" s="129"/>
      <c r="T754" s="105"/>
      <c r="U754" s="133"/>
      <c r="V754" s="133"/>
      <c r="W754" s="133"/>
      <c r="X754" s="133"/>
      <c r="Y754" s="133"/>
      <c r="Z754" s="134"/>
      <c r="AA754" s="6">
        <f t="shared" si="103"/>
        <v>0</v>
      </c>
    </row>
    <row r="755" spans="1:27" x14ac:dyDescent="0.3">
      <c r="A755" s="10"/>
      <c r="B755" s="10"/>
      <c r="C755" s="10"/>
      <c r="D755" s="10"/>
      <c r="E755" s="57"/>
      <c r="F755" s="41"/>
      <c r="G755" s="64"/>
      <c r="H755" s="64"/>
      <c r="I755" s="64"/>
      <c r="J755" s="64"/>
      <c r="K755" s="65"/>
      <c r="L755" s="64"/>
      <c r="M755" s="56">
        <f>S_term_2RDS_2</f>
        <v>0</v>
      </c>
      <c r="N755" s="64"/>
      <c r="O755" s="64"/>
      <c r="P755" s="64"/>
      <c r="Q755" s="57">
        <f>c_clinic_fu+c_CSG</f>
        <v>14403</v>
      </c>
      <c r="R755" s="57"/>
      <c r="S755" s="129"/>
      <c r="T755" s="105"/>
      <c r="U755" s="133"/>
      <c r="V755" s="133"/>
      <c r="W755" s="133"/>
      <c r="X755" s="133"/>
      <c r="Y755" s="133"/>
      <c r="Z755" s="134"/>
      <c r="AA755" s="6">
        <f t="shared" si="103"/>
        <v>0</v>
      </c>
    </row>
    <row r="756" spans="1:27" x14ac:dyDescent="0.3">
      <c r="A756" s="10"/>
      <c r="B756" s="10"/>
      <c r="C756" s="10"/>
      <c r="D756" s="10"/>
      <c r="E756" s="10"/>
      <c r="F756" s="41"/>
      <c r="G756" s="64"/>
      <c r="H756" s="64"/>
      <c r="I756" s="64"/>
      <c r="J756" s="64"/>
      <c r="K756" s="65"/>
      <c r="L756" s="64"/>
      <c r="M756" s="57">
        <f>c_RDS</f>
        <v>30595.610148205637</v>
      </c>
      <c r="N756" s="64"/>
      <c r="O756" s="64"/>
      <c r="P756" s="64"/>
      <c r="Q756" s="65"/>
      <c r="R756" s="65"/>
      <c r="S756" s="129"/>
      <c r="T756" s="105"/>
      <c r="U756" s="133"/>
      <c r="V756" s="133"/>
      <c r="W756" s="133"/>
      <c r="X756" s="133"/>
      <c r="Y756" s="133"/>
      <c r="Z756" s="134"/>
      <c r="AA756" s="6">
        <f t="shared" si="103"/>
        <v>0</v>
      </c>
    </row>
    <row r="757" spans="1:27" x14ac:dyDescent="0.3">
      <c r="A757" s="10"/>
      <c r="B757" s="10"/>
      <c r="C757" s="10"/>
      <c r="D757" s="10"/>
      <c r="E757" s="10"/>
      <c r="F757" s="41"/>
      <c r="G757" s="64"/>
      <c r="H757" s="64"/>
      <c r="I757" s="64"/>
      <c r="J757" s="64"/>
      <c r="K757" s="64"/>
      <c r="L757" s="64"/>
      <c r="M757" s="64"/>
      <c r="N757" s="64"/>
      <c r="O757" s="64"/>
      <c r="P757" s="64"/>
      <c r="Q757" s="54" t="s">
        <v>368</v>
      </c>
      <c r="R757" s="54"/>
      <c r="S757" s="129"/>
      <c r="T757" s="105"/>
      <c r="U757" s="133">
        <f>$K$760*$I$749*$G$717*$E$754*$C$600*$A$555*$M$755*$O$760*Q758</f>
        <v>0</v>
      </c>
      <c r="V757" s="133">
        <v>0</v>
      </c>
      <c r="W757" s="134">
        <f>$K$761+$I$750+$G$718+$E$755+$C$601+$A$556+$M$756+$O$761+Q759</f>
        <v>286076.88665060559</v>
      </c>
      <c r="X757" s="133">
        <f>u_ChronicResp</f>
        <v>0.53465956747782661</v>
      </c>
      <c r="Y757" s="133"/>
      <c r="Z757" s="134">
        <f>U757*W757</f>
        <v>0</v>
      </c>
      <c r="AA757" s="6">
        <f t="shared" si="103"/>
        <v>0</v>
      </c>
    </row>
    <row r="758" spans="1:27" x14ac:dyDescent="0.3">
      <c r="A758" s="10"/>
      <c r="B758" s="10"/>
      <c r="C758" s="10"/>
      <c r="D758" s="10"/>
      <c r="E758" s="10"/>
      <c r="F758" s="41"/>
      <c r="G758" s="64"/>
      <c r="H758" s="64"/>
      <c r="I758" s="64"/>
      <c r="J758" s="64"/>
      <c r="K758" s="64"/>
      <c r="L758" s="64"/>
      <c r="M758" s="64"/>
      <c r="N758" s="64"/>
      <c r="O758" s="64"/>
      <c r="P758" s="64"/>
      <c r="Q758" s="56">
        <f>RDS2CLD_2-(RDS2CLD_2*noHypo2CI_2)</f>
        <v>0.34905610687022898</v>
      </c>
      <c r="R758" s="56"/>
      <c r="S758" s="129"/>
      <c r="T758" s="105"/>
      <c r="U758" s="133"/>
      <c r="V758" s="133"/>
      <c r="W758" s="133"/>
      <c r="X758" s="133"/>
      <c r="Y758" s="133"/>
      <c r="Z758" s="134"/>
      <c r="AA758" s="6">
        <f t="shared" si="103"/>
        <v>0</v>
      </c>
    </row>
    <row r="759" spans="1:27" x14ac:dyDescent="0.3">
      <c r="A759" s="10"/>
      <c r="B759" s="10"/>
      <c r="C759" s="10"/>
      <c r="D759" s="10"/>
      <c r="E759" s="10"/>
      <c r="F759" s="41"/>
      <c r="G759" s="64"/>
      <c r="H759" s="64"/>
      <c r="I759" s="64"/>
      <c r="J759" s="64"/>
      <c r="K759" s="54" t="s">
        <v>37</v>
      </c>
      <c r="L759" s="64"/>
      <c r="M759" s="65"/>
      <c r="N759" s="64"/>
      <c r="O759" s="54" t="s">
        <v>371</v>
      </c>
      <c r="P759" s="64"/>
      <c r="Q759" s="57">
        <f>c_lung+c_hosp_fu+c_CSG</f>
        <v>54529.510902399998</v>
      </c>
      <c r="R759" s="57"/>
      <c r="S759" s="129"/>
      <c r="T759" s="105"/>
      <c r="U759" s="133"/>
      <c r="V759" s="133"/>
      <c r="W759" s="133"/>
      <c r="X759" s="133"/>
      <c r="Y759" s="133"/>
      <c r="Z759" s="134"/>
      <c r="AA759" s="6">
        <f t="shared" si="103"/>
        <v>0</v>
      </c>
    </row>
    <row r="760" spans="1:27" x14ac:dyDescent="0.3">
      <c r="A760" s="10"/>
      <c r="B760" s="10"/>
      <c r="C760" s="10"/>
      <c r="D760" s="10"/>
      <c r="E760" s="10"/>
      <c r="F760" s="41"/>
      <c r="G760" s="64"/>
      <c r="H760" s="64"/>
      <c r="I760" s="64"/>
      <c r="J760" s="64"/>
      <c r="K760" s="56">
        <f>AGA_term_2s_2</f>
        <v>0.99445233333333338</v>
      </c>
      <c r="L760" s="64"/>
      <c r="M760" s="64"/>
      <c r="N760" s="64"/>
      <c r="O760" s="56">
        <f>AGA_term_2normoglycaemia_2</f>
        <v>1</v>
      </c>
      <c r="P760" s="64"/>
      <c r="Q760" s="54" t="s">
        <v>226</v>
      </c>
      <c r="R760" s="54"/>
      <c r="S760" s="129"/>
      <c r="T760" s="105"/>
      <c r="U760" s="133">
        <f>$K$760*$I$749*$G$717*$E$754*$C$600*$A$555*$M$755*$O$760*Q761</f>
        <v>0</v>
      </c>
      <c r="V760" s="133">
        <v>0</v>
      </c>
      <c r="W760" s="134">
        <f>$K$761+$I$750+$G$718+$E$755+$C$601+$A$556+$M$756+$O$761+Q762</f>
        <v>247313.37574820561</v>
      </c>
      <c r="X760" s="133">
        <f>u_CongnitiveImpairement</f>
        <v>17.270393127285455</v>
      </c>
      <c r="Y760" s="133"/>
      <c r="Z760" s="134">
        <f>U760*W760</f>
        <v>0</v>
      </c>
      <c r="AA760" s="6">
        <f t="shared" si="103"/>
        <v>0</v>
      </c>
    </row>
    <row r="761" spans="1:27" x14ac:dyDescent="0.3">
      <c r="A761" s="10"/>
      <c r="B761" s="10"/>
      <c r="C761" s="10"/>
      <c r="D761" s="10"/>
      <c r="E761" s="10"/>
      <c r="F761" s="41"/>
      <c r="G761" s="64"/>
      <c r="H761" s="64"/>
      <c r="I761" s="64"/>
      <c r="J761" s="64"/>
      <c r="K761" s="57"/>
      <c r="L761" s="64"/>
      <c r="M761" s="64"/>
      <c r="N761" s="64"/>
      <c r="O761" s="57"/>
      <c r="P761" s="64"/>
      <c r="Q761" s="56">
        <f>noHypo2CI_2-(RDS2CLD_2*noHypo2CI_2)</f>
        <v>2.1141683406990762E-2</v>
      </c>
      <c r="R761" s="56"/>
      <c r="S761" s="129"/>
      <c r="T761" s="105"/>
      <c r="U761" s="133"/>
      <c r="V761" s="133"/>
      <c r="W761" s="133"/>
      <c r="X761" s="133"/>
      <c r="Y761" s="133"/>
      <c r="Z761" s="134"/>
      <c r="AA761" s="6">
        <f t="shared" si="103"/>
        <v>0</v>
      </c>
    </row>
    <row r="762" spans="1:27" x14ac:dyDescent="0.3">
      <c r="A762" s="10"/>
      <c r="B762" s="10"/>
      <c r="C762" s="10"/>
      <c r="D762" s="10"/>
      <c r="E762" s="10"/>
      <c r="F762" s="41"/>
      <c r="G762" s="41"/>
      <c r="H762" s="64"/>
      <c r="I762" s="64"/>
      <c r="J762" s="64"/>
      <c r="K762" s="64"/>
      <c r="L762" s="64"/>
      <c r="M762" s="64"/>
      <c r="N762" s="64"/>
      <c r="O762" s="53"/>
      <c r="P762" s="64"/>
      <c r="Q762" s="57">
        <f>c_cog+c_hosp_fu+c_CSG</f>
        <v>15766</v>
      </c>
      <c r="R762" s="57"/>
      <c r="S762" s="129"/>
      <c r="T762" s="105"/>
      <c r="U762" s="133"/>
      <c r="V762" s="133"/>
      <c r="W762" s="133"/>
      <c r="X762" s="133"/>
      <c r="Y762" s="133"/>
      <c r="Z762" s="134"/>
      <c r="AA762" s="6">
        <f t="shared" si="103"/>
        <v>0</v>
      </c>
    </row>
    <row r="763" spans="1:27" x14ac:dyDescent="0.3">
      <c r="A763" s="10"/>
      <c r="B763" s="10"/>
      <c r="C763" s="10"/>
      <c r="D763" s="10"/>
      <c r="E763" s="10"/>
      <c r="F763" s="41"/>
      <c r="G763" s="41"/>
      <c r="H763" s="64"/>
      <c r="I763" s="64"/>
      <c r="J763" s="64"/>
      <c r="K763" s="64"/>
      <c r="L763" s="64"/>
      <c r="M763" s="64"/>
      <c r="N763" s="64"/>
      <c r="O763" s="53"/>
      <c r="P763" s="64"/>
      <c r="Q763" s="54" t="s">
        <v>369</v>
      </c>
      <c r="R763" s="54"/>
      <c r="S763" s="129"/>
      <c r="T763" s="105"/>
      <c r="U763" s="133">
        <f>$K$760*$I$749*$G$717*$E$754*$C$600*$A$555*$M$755*$O$760*Q764</f>
        <v>0</v>
      </c>
      <c r="V763" s="133">
        <v>0</v>
      </c>
      <c r="W763" s="134">
        <f>$K$761+$I$750+$G$718+$E$755+$C$601+$A$556+$M$756+$O$761+Q765</f>
        <v>289895.88665060559</v>
      </c>
      <c r="X763" s="133">
        <f>u_ChronicResp+u_CongnitiveImpairement</f>
        <v>17.805052694763283</v>
      </c>
      <c r="Y763" s="133"/>
      <c r="Z763" s="134">
        <f>U763*W763</f>
        <v>0</v>
      </c>
      <c r="AA763" s="6">
        <f t="shared" si="103"/>
        <v>0</v>
      </c>
    </row>
    <row r="764" spans="1:27" x14ac:dyDescent="0.3">
      <c r="A764" s="10"/>
      <c r="B764" s="10"/>
      <c r="C764" s="10"/>
      <c r="D764" s="10"/>
      <c r="E764" s="10"/>
      <c r="F764" s="41"/>
      <c r="G764" s="41"/>
      <c r="H764" s="64"/>
      <c r="I764" s="64"/>
      <c r="J764" s="64"/>
      <c r="K764" s="64"/>
      <c r="L764" s="64"/>
      <c r="M764" s="64"/>
      <c r="N764" s="64"/>
      <c r="O764" s="53"/>
      <c r="P764" s="64"/>
      <c r="Q764" s="56">
        <f>RDS2CLD_2*noHypo2CI_2</f>
        <v>1.1943893129770991E-2</v>
      </c>
      <c r="R764" s="56"/>
      <c r="S764" s="129"/>
      <c r="T764" s="105"/>
      <c r="U764" s="133"/>
      <c r="V764" s="133"/>
      <c r="W764" s="133"/>
      <c r="X764" s="133"/>
      <c r="Y764" s="133"/>
      <c r="Z764" s="134"/>
      <c r="AA764" s="6">
        <f t="shared" si="103"/>
        <v>0</v>
      </c>
    </row>
    <row r="765" spans="1:27" x14ac:dyDescent="0.3">
      <c r="A765" s="10"/>
      <c r="B765" s="10"/>
      <c r="C765" s="10"/>
      <c r="D765" s="10"/>
      <c r="E765" s="10"/>
      <c r="F765" s="41"/>
      <c r="G765" s="64"/>
      <c r="H765" s="64"/>
      <c r="I765" s="64"/>
      <c r="J765" s="64"/>
      <c r="K765" s="64"/>
      <c r="L765" s="64"/>
      <c r="M765" s="64"/>
      <c r="N765" s="64"/>
      <c r="O765" s="53"/>
      <c r="P765" s="64"/>
      <c r="Q765" s="57">
        <f>c_cog+c_lung+c_hosp_fu+c_CSG</f>
        <v>58348.510902399998</v>
      </c>
      <c r="R765" s="57"/>
      <c r="S765" s="129"/>
      <c r="T765" s="105"/>
      <c r="U765" s="133"/>
      <c r="V765" s="133"/>
      <c r="W765" s="133"/>
      <c r="X765" s="133"/>
      <c r="Y765" s="133"/>
      <c r="Z765" s="134"/>
      <c r="AA765" s="6">
        <f t="shared" si="103"/>
        <v>0</v>
      </c>
    </row>
    <row r="766" spans="1:27" x14ac:dyDescent="0.3">
      <c r="A766" s="10"/>
      <c r="B766" s="10"/>
      <c r="C766" s="10"/>
      <c r="D766" s="10"/>
      <c r="E766" s="10"/>
      <c r="F766" s="41"/>
      <c r="G766" s="64"/>
      <c r="H766" s="64"/>
      <c r="I766" s="64"/>
      <c r="J766" s="64"/>
      <c r="K766" s="64"/>
      <c r="L766" s="64"/>
      <c r="M766" s="64"/>
      <c r="N766" s="64"/>
      <c r="O766" s="53"/>
      <c r="P766" s="64"/>
      <c r="Q766" s="54" t="s">
        <v>370</v>
      </c>
      <c r="R766" s="54"/>
      <c r="S766" s="129"/>
      <c r="T766" s="105"/>
      <c r="U766" s="133">
        <f>$K$760*$I$749*$G$717*$E$754*$C$600*$A$555*$M$755*$O$760*Q767</f>
        <v>0</v>
      </c>
      <c r="V766" s="133">
        <v>0</v>
      </c>
      <c r="W766" s="134">
        <f>$K$761+$I$750+$G$718+$E$755+$C$601+$A$556+$M$756+$O$761+Q768</f>
        <v>245950.37574820561</v>
      </c>
      <c r="X766" s="133">
        <f>u_Healthy</f>
        <v>0</v>
      </c>
      <c r="Y766" s="133"/>
      <c r="Z766" s="134">
        <f>U766*W766</f>
        <v>0</v>
      </c>
      <c r="AA766" s="6">
        <f t="shared" si="103"/>
        <v>0</v>
      </c>
    </row>
    <row r="767" spans="1:27" x14ac:dyDescent="0.3">
      <c r="A767" s="10"/>
      <c r="B767" s="10"/>
      <c r="C767" s="10"/>
      <c r="D767" s="10"/>
      <c r="E767" s="10"/>
      <c r="F767" s="41"/>
      <c r="G767" s="64"/>
      <c r="H767" s="64"/>
      <c r="I767" s="64"/>
      <c r="J767" s="64"/>
      <c r="K767" s="64"/>
      <c r="L767" s="64"/>
      <c r="M767" s="64"/>
      <c r="N767" s="64"/>
      <c r="O767" s="53"/>
      <c r="P767" s="64"/>
      <c r="Q767" s="56">
        <f>1-Q764-Q761-Q758</f>
        <v>0.61785831659300938</v>
      </c>
      <c r="R767" s="56"/>
      <c r="T767" s="105"/>
      <c r="U767" s="133"/>
      <c r="V767" s="133"/>
      <c r="W767" s="133"/>
      <c r="X767" s="133"/>
      <c r="Y767" s="133"/>
      <c r="Z767" s="134"/>
      <c r="AA767" s="6">
        <f t="shared" si="103"/>
        <v>0</v>
      </c>
    </row>
    <row r="768" spans="1:27" x14ac:dyDescent="0.3">
      <c r="A768" s="10"/>
      <c r="B768" s="10"/>
      <c r="C768" s="10"/>
      <c r="D768" s="10"/>
      <c r="E768" s="10"/>
      <c r="F768" s="41"/>
      <c r="G768" s="64"/>
      <c r="H768" s="64"/>
      <c r="I768" s="64"/>
      <c r="J768" s="64"/>
      <c r="K768" s="64"/>
      <c r="L768" s="64"/>
      <c r="M768" s="64"/>
      <c r="N768" s="64"/>
      <c r="O768" s="64"/>
      <c r="P768" s="64"/>
      <c r="Q768" s="57">
        <f>c_clinic_fu+c_CSG</f>
        <v>14403</v>
      </c>
      <c r="R768" s="57"/>
      <c r="S768" s="129"/>
      <c r="T768" s="105"/>
      <c r="U768" s="133"/>
      <c r="V768" s="133"/>
      <c r="W768" s="133"/>
      <c r="X768" s="133"/>
      <c r="Y768" s="133"/>
      <c r="Z768" s="134"/>
      <c r="AA768" s="6">
        <f t="shared" si="103"/>
        <v>0</v>
      </c>
    </row>
    <row r="769" spans="1:27" x14ac:dyDescent="0.3">
      <c r="A769" s="10"/>
      <c r="B769" s="10"/>
      <c r="C769" s="10"/>
      <c r="D769" s="10"/>
      <c r="E769" s="10"/>
      <c r="F769" s="41"/>
      <c r="G769" s="64"/>
      <c r="H769" s="64"/>
      <c r="I769" s="64"/>
      <c r="J769" s="64"/>
      <c r="K769" s="64"/>
      <c r="L769" s="64"/>
      <c r="M769" s="64"/>
      <c r="N769" s="64"/>
      <c r="O769" s="64"/>
      <c r="P769" s="64"/>
      <c r="Q769" s="65"/>
      <c r="R769" s="65"/>
      <c r="S769" s="129"/>
      <c r="T769" s="105"/>
      <c r="U769" s="133"/>
      <c r="V769" s="133"/>
      <c r="W769" s="133"/>
      <c r="X769" s="133"/>
      <c r="Y769" s="133"/>
      <c r="Z769" s="134"/>
      <c r="AA769" s="6">
        <f t="shared" si="103"/>
        <v>0</v>
      </c>
    </row>
    <row r="770" spans="1:27" x14ac:dyDescent="0.3">
      <c r="A770" s="10"/>
      <c r="B770" s="10"/>
      <c r="C770" s="10"/>
      <c r="D770" s="10"/>
      <c r="E770" s="10"/>
      <c r="F770" s="41"/>
      <c r="G770" s="64"/>
      <c r="H770" s="64"/>
      <c r="I770" s="64"/>
      <c r="J770" s="64"/>
      <c r="K770" s="64"/>
      <c r="L770" s="64"/>
      <c r="M770" s="64"/>
      <c r="N770" s="64"/>
      <c r="O770" s="64"/>
      <c r="P770" s="64"/>
      <c r="Q770" s="54" t="s">
        <v>368</v>
      </c>
      <c r="R770" s="54"/>
      <c r="S770" s="129"/>
      <c r="T770" s="105"/>
      <c r="U770" s="133">
        <f>$K$760*$I$749*$G$717*$E$754*$C$600*$A$555*$M$775*$O$773*Q771</f>
        <v>0</v>
      </c>
      <c r="V770" s="133">
        <v>0</v>
      </c>
      <c r="W770" s="134">
        <f>$K$761+$I$750+$G$718+$E$755+$C$601+$A$556+$M$776+$O$774+Q772</f>
        <v>258417.53690239997</v>
      </c>
      <c r="X770" s="133">
        <f>u_ChronicResp</f>
        <v>0.53465956747782661</v>
      </c>
      <c r="Y770" s="133"/>
      <c r="Z770" s="134">
        <f>U770*W770</f>
        <v>0</v>
      </c>
      <c r="AA770" s="6">
        <f t="shared" si="103"/>
        <v>0</v>
      </c>
    </row>
    <row r="771" spans="1:27" x14ac:dyDescent="0.3">
      <c r="A771" s="10"/>
      <c r="B771" s="10"/>
      <c r="C771" s="10"/>
      <c r="D771" s="10"/>
      <c r="E771" s="10"/>
      <c r="F771" s="41"/>
      <c r="G771" s="64"/>
      <c r="H771" s="64"/>
      <c r="I771" s="64"/>
      <c r="J771" s="64"/>
      <c r="K771" s="64"/>
      <c r="L771" s="64"/>
      <c r="M771" s="64"/>
      <c r="N771" s="64"/>
      <c r="O771" s="64"/>
      <c r="P771" s="64"/>
      <c r="Q771" s="56">
        <f>RDS2CLD_2-(Hypo2CI_2*RDS2CLD_2)</f>
        <v>0.34246866666666664</v>
      </c>
      <c r="R771" s="56"/>
      <c r="S771" s="129"/>
      <c r="T771" s="105"/>
      <c r="U771" s="133"/>
      <c r="V771" s="133"/>
      <c r="W771" s="133"/>
      <c r="X771" s="133"/>
      <c r="Y771" s="133"/>
      <c r="Z771" s="134"/>
      <c r="AA771" s="6">
        <f t="shared" si="103"/>
        <v>0</v>
      </c>
    </row>
    <row r="772" spans="1:27" x14ac:dyDescent="0.3">
      <c r="A772" s="10"/>
      <c r="B772" s="10"/>
      <c r="C772" s="10"/>
      <c r="D772" s="10"/>
      <c r="E772" s="10"/>
      <c r="F772" s="41"/>
      <c r="G772" s="64"/>
      <c r="H772" s="64"/>
      <c r="I772" s="64"/>
      <c r="J772" s="64"/>
      <c r="K772" s="64"/>
      <c r="L772" s="64"/>
      <c r="M772" s="64"/>
      <c r="N772" s="64"/>
      <c r="O772" s="54" t="s">
        <v>161</v>
      </c>
      <c r="P772" s="64"/>
      <c r="Q772" s="57">
        <f>c_lung+c_hosp_fu+c_CSG</f>
        <v>54529.510902399998</v>
      </c>
      <c r="R772" s="57"/>
      <c r="S772" s="129"/>
      <c r="T772" s="105"/>
      <c r="U772" s="133"/>
      <c r="V772" s="133"/>
      <c r="W772" s="133"/>
      <c r="X772" s="133"/>
      <c r="Y772" s="133"/>
      <c r="Z772" s="134"/>
      <c r="AA772" s="6">
        <f t="shared" si="103"/>
        <v>0</v>
      </c>
    </row>
    <row r="773" spans="1:27" x14ac:dyDescent="0.3">
      <c r="A773" s="10"/>
      <c r="B773" s="10"/>
      <c r="C773" s="10"/>
      <c r="D773" s="10"/>
      <c r="E773" s="10"/>
      <c r="F773" s="41"/>
      <c r="G773" s="64"/>
      <c r="H773" s="64"/>
      <c r="I773" s="64"/>
      <c r="J773" s="64"/>
      <c r="K773" s="64"/>
      <c r="L773" s="64"/>
      <c r="M773" s="64"/>
      <c r="N773" s="64"/>
      <c r="O773" s="56">
        <f>AGA_term_2hypoglycaemia_2</f>
        <v>0</v>
      </c>
      <c r="P773" s="64"/>
      <c r="Q773" s="54" t="s">
        <v>226</v>
      </c>
      <c r="R773" s="54"/>
      <c r="S773" s="129"/>
      <c r="T773" s="105"/>
      <c r="U773" s="133">
        <f>$K$760*$I$749*$G$717*$E$754*$C$600*$A$555*$M$775*$O$773*Q774</f>
        <v>0</v>
      </c>
      <c r="V773" s="133">
        <v>0</v>
      </c>
      <c r="W773" s="134">
        <f>$K$761+$I$750+$G$718+$E$755+$C$601+$A$556+$M$776+$O$774+Q775</f>
        <v>219654.02599999998</v>
      </c>
      <c r="X773" s="133">
        <f>u_CongnitiveImpairement</f>
        <v>17.270393127285455</v>
      </c>
      <c r="Y773" s="133"/>
      <c r="Z773" s="134">
        <f>U773*W773</f>
        <v>0</v>
      </c>
      <c r="AA773" s="6">
        <f t="shared" si="103"/>
        <v>0</v>
      </c>
    </row>
    <row r="774" spans="1:27" x14ac:dyDescent="0.3">
      <c r="A774" s="10"/>
      <c r="B774" s="10"/>
      <c r="C774" s="10"/>
      <c r="D774" s="10"/>
      <c r="E774" s="10"/>
      <c r="F774" s="41"/>
      <c r="G774" s="64"/>
      <c r="H774" s="64"/>
      <c r="I774" s="64"/>
      <c r="J774" s="64"/>
      <c r="K774" s="64"/>
      <c r="L774" s="64"/>
      <c r="M774" s="54" t="s">
        <v>203</v>
      </c>
      <c r="N774" s="64"/>
      <c r="O774" s="57">
        <f>c_hypo</f>
        <v>2936.2604000000001</v>
      </c>
      <c r="P774" s="64"/>
      <c r="Q774" s="56">
        <f>Hypo2CI_2-(Hypo2CI_2*RDS2CLD_2)</f>
        <v>3.2801999999999998E-2</v>
      </c>
      <c r="R774" s="56"/>
      <c r="S774" s="129"/>
      <c r="T774" s="105"/>
      <c r="U774" s="133"/>
      <c r="V774" s="133"/>
      <c r="W774" s="133"/>
      <c r="X774" s="133"/>
      <c r="Y774" s="133"/>
      <c r="Z774" s="134"/>
      <c r="AA774" s="6">
        <f t="shared" si="103"/>
        <v>0</v>
      </c>
    </row>
    <row r="775" spans="1:27" x14ac:dyDescent="0.3">
      <c r="A775" s="10"/>
      <c r="B775" s="10"/>
      <c r="C775" s="10"/>
      <c r="D775" s="10"/>
      <c r="E775" s="10"/>
      <c r="F775" s="41"/>
      <c r="G775" s="64"/>
      <c r="H775" s="64"/>
      <c r="I775" s="64"/>
      <c r="J775" s="64"/>
      <c r="K775" s="64"/>
      <c r="L775" s="64"/>
      <c r="M775" s="56">
        <f>S_term_2noRDS_2</f>
        <v>1</v>
      </c>
      <c r="N775" s="64"/>
      <c r="O775" s="53"/>
      <c r="P775" s="64"/>
      <c r="Q775" s="57">
        <f>c_cog+c_hosp_fu+c_CSG</f>
        <v>15766</v>
      </c>
      <c r="R775" s="57"/>
      <c r="S775" s="129"/>
      <c r="T775" s="105"/>
      <c r="U775" s="133"/>
      <c r="V775" s="133"/>
      <c r="W775" s="133"/>
      <c r="X775" s="133"/>
      <c r="Y775" s="133"/>
      <c r="Z775" s="134"/>
      <c r="AA775" s="6">
        <f t="shared" si="103"/>
        <v>0</v>
      </c>
    </row>
    <row r="776" spans="1:27" x14ac:dyDescent="0.3">
      <c r="A776" s="10"/>
      <c r="B776" s="10"/>
      <c r="C776" s="10"/>
      <c r="D776" s="10"/>
      <c r="E776" s="10"/>
      <c r="F776" s="41"/>
      <c r="G776" s="64"/>
      <c r="H776" s="64"/>
      <c r="I776" s="64"/>
      <c r="J776" s="64"/>
      <c r="K776" s="64"/>
      <c r="L776" s="64"/>
      <c r="M776" s="57"/>
      <c r="N776" s="64"/>
      <c r="O776" s="65"/>
      <c r="P776" s="64"/>
      <c r="Q776" s="54" t="s">
        <v>369</v>
      </c>
      <c r="R776" s="54"/>
      <c r="S776" s="129"/>
      <c r="T776" s="105"/>
      <c r="U776" s="133">
        <f>$K$760*$I$749*$G$717*$E$754*$C$600*$A$555*$M$775*$O$773*Q777</f>
        <v>0</v>
      </c>
      <c r="V776" s="133">
        <v>0</v>
      </c>
      <c r="W776" s="134">
        <f>$K$761+$I$750+$G$718+$E$755+$C$601+$A$556+$M$776+$O$774+Q778</f>
        <v>262236.53690239997</v>
      </c>
      <c r="X776" s="133">
        <f>u_ChronicResp+u_CongnitiveImpairement</f>
        <v>17.805052694763283</v>
      </c>
      <c r="Y776" s="133"/>
      <c r="Z776" s="134">
        <f>U776*W776</f>
        <v>0</v>
      </c>
      <c r="AA776" s="6">
        <f t="shared" ref="AA776:AA807" si="104">U776*X776</f>
        <v>0</v>
      </c>
    </row>
    <row r="777" spans="1:27" x14ac:dyDescent="0.3">
      <c r="A777" s="10"/>
      <c r="B777" s="10"/>
      <c r="C777" s="10"/>
      <c r="D777" s="10"/>
      <c r="E777" s="10"/>
      <c r="F777" s="41"/>
      <c r="G777" s="64"/>
      <c r="H777" s="64"/>
      <c r="I777" s="53"/>
      <c r="J777" s="53"/>
      <c r="K777" s="64"/>
      <c r="L777" s="64"/>
      <c r="M777" s="65"/>
      <c r="N777" s="64"/>
      <c r="O777" s="41"/>
      <c r="P777" s="64"/>
      <c r="Q777" s="56">
        <f>Hypo2CI_2*RDS2CLD_2</f>
        <v>1.8531333333333334E-2</v>
      </c>
      <c r="R777" s="56"/>
      <c r="S777" s="129"/>
      <c r="T777" s="105"/>
      <c r="U777" s="133"/>
      <c r="V777" s="133"/>
      <c r="W777" s="133"/>
      <c r="X777" s="133"/>
      <c r="Y777" s="133"/>
      <c r="Z777" s="134"/>
      <c r="AA777" s="6">
        <f t="shared" si="104"/>
        <v>0</v>
      </c>
    </row>
    <row r="778" spans="1:27" x14ac:dyDescent="0.3">
      <c r="A778" s="10"/>
      <c r="B778" s="10"/>
      <c r="C778" s="10"/>
      <c r="D778" s="10"/>
      <c r="E778" s="10"/>
      <c r="F778" s="41"/>
      <c r="G778" s="64"/>
      <c r="H778" s="64"/>
      <c r="I778" s="53"/>
      <c r="J778" s="53"/>
      <c r="K778" s="64"/>
      <c r="L778" s="64"/>
      <c r="M778" s="65"/>
      <c r="N778" s="64"/>
      <c r="O778" s="41"/>
      <c r="P778" s="64"/>
      <c r="Q778" s="57">
        <f>c_lung+c_cog+c_hosp_fu+c_CSG</f>
        <v>58348.510902399998</v>
      </c>
      <c r="R778" s="57"/>
      <c r="S778" s="129"/>
      <c r="T778" s="105"/>
      <c r="U778" s="133"/>
      <c r="V778" s="133"/>
      <c r="W778" s="133"/>
      <c r="X778" s="133"/>
      <c r="Y778" s="133"/>
      <c r="Z778" s="134"/>
      <c r="AA778" s="6">
        <f t="shared" si="104"/>
        <v>0</v>
      </c>
    </row>
    <row r="779" spans="1:27" x14ac:dyDescent="0.3">
      <c r="A779" s="10"/>
      <c r="B779" s="10"/>
      <c r="C779" s="10"/>
      <c r="D779" s="10"/>
      <c r="E779" s="10"/>
      <c r="F779" s="41"/>
      <c r="G779" s="64"/>
      <c r="H779" s="64"/>
      <c r="I779" s="53"/>
      <c r="J779" s="53"/>
      <c r="K779" s="64"/>
      <c r="L779" s="64"/>
      <c r="M779" s="65"/>
      <c r="N779" s="64"/>
      <c r="O779" s="41"/>
      <c r="P779" s="64"/>
      <c r="Q779" s="54" t="s">
        <v>370</v>
      </c>
      <c r="R779" s="54"/>
      <c r="S779" s="129"/>
      <c r="T779" s="105"/>
      <c r="U779" s="133">
        <f>$K$760*$I$749*$G$717*$E$754*$C$600*$A$555*$M$775*$O$773*Q780</f>
        <v>0</v>
      </c>
      <c r="V779" s="133">
        <v>0</v>
      </c>
      <c r="W779" s="134">
        <f>$K$761+$I$750+$G$718+$E$755+$C$601+$A$556+$M$776+$O$774+Q781</f>
        <v>218291.02599999998</v>
      </c>
      <c r="X779" s="133">
        <f>u_Healthy</f>
        <v>0</v>
      </c>
      <c r="Y779" s="133"/>
      <c r="Z779" s="134">
        <f>U779*W779</f>
        <v>0</v>
      </c>
      <c r="AA779" s="6">
        <f t="shared" si="104"/>
        <v>0</v>
      </c>
    </row>
    <row r="780" spans="1:27" x14ac:dyDescent="0.3">
      <c r="A780" s="10"/>
      <c r="B780" s="10"/>
      <c r="C780" s="10"/>
      <c r="D780" s="10"/>
      <c r="E780" s="10"/>
      <c r="F780" s="41"/>
      <c r="G780" s="64"/>
      <c r="H780" s="64"/>
      <c r="I780" s="53"/>
      <c r="J780" s="53"/>
      <c r="K780" s="64"/>
      <c r="L780" s="64"/>
      <c r="M780" s="65"/>
      <c r="N780" s="64"/>
      <c r="O780" s="65"/>
      <c r="P780" s="64"/>
      <c r="Q780" s="56">
        <f>1-Q771-Q774-Q777</f>
        <v>0.60619800000000001</v>
      </c>
      <c r="R780" s="56"/>
      <c r="S780" s="129"/>
      <c r="T780" s="105"/>
      <c r="U780" s="133"/>
      <c r="V780" s="133"/>
      <c r="W780" s="133"/>
      <c r="X780" s="133"/>
      <c r="Y780" s="133"/>
      <c r="Z780" s="134"/>
      <c r="AA780" s="6">
        <f t="shared" si="104"/>
        <v>0</v>
      </c>
    </row>
    <row r="781" spans="1:27" x14ac:dyDescent="0.3">
      <c r="A781" s="10"/>
      <c r="B781" s="10"/>
      <c r="C781" s="10"/>
      <c r="D781" s="10"/>
      <c r="E781" s="10"/>
      <c r="F781" s="41"/>
      <c r="G781" s="64"/>
      <c r="H781" s="64"/>
      <c r="I781" s="53"/>
      <c r="J781" s="53"/>
      <c r="K781" s="64"/>
      <c r="L781" s="64"/>
      <c r="M781" s="65"/>
      <c r="N781" s="64"/>
      <c r="O781" s="64"/>
      <c r="P781" s="64"/>
      <c r="Q781" s="57">
        <f>c_clinic_fu+c_CSG</f>
        <v>14403</v>
      </c>
      <c r="R781" s="57"/>
      <c r="T781" s="105"/>
      <c r="U781" s="133"/>
      <c r="V781" s="133"/>
      <c r="W781" s="133"/>
      <c r="X781" s="133"/>
      <c r="Y781" s="133"/>
      <c r="Z781" s="134"/>
      <c r="AA781" s="6">
        <f t="shared" si="104"/>
        <v>0</v>
      </c>
    </row>
    <row r="782" spans="1:27" x14ac:dyDescent="0.3">
      <c r="A782" s="10"/>
      <c r="B782" s="10"/>
      <c r="C782" s="10"/>
      <c r="D782" s="10"/>
      <c r="E782" s="10"/>
      <c r="F782" s="41"/>
      <c r="G782" s="64"/>
      <c r="H782" s="64"/>
      <c r="I782" s="41"/>
      <c r="J782" s="64"/>
      <c r="K782" s="64"/>
      <c r="L782" s="64"/>
      <c r="M782" s="65"/>
      <c r="N782" s="64"/>
      <c r="O782" s="64"/>
      <c r="P782" s="64"/>
      <c r="Q782" s="65"/>
      <c r="R782" s="65"/>
      <c r="S782" s="130"/>
      <c r="T782" s="105"/>
      <c r="U782" s="133"/>
      <c r="V782" s="133"/>
      <c r="W782" s="133"/>
      <c r="X782" s="133"/>
      <c r="Y782" s="133"/>
      <c r="Z782" s="134"/>
      <c r="AA782" s="6">
        <f t="shared" si="104"/>
        <v>0</v>
      </c>
    </row>
    <row r="783" spans="1:27" x14ac:dyDescent="0.3">
      <c r="A783" s="10"/>
      <c r="B783" s="10"/>
      <c r="C783" s="10"/>
      <c r="D783" s="10"/>
      <c r="E783" s="10"/>
      <c r="F783" s="41"/>
      <c r="G783" s="64"/>
      <c r="H783" s="64"/>
      <c r="I783" s="41"/>
      <c r="J783" s="64"/>
      <c r="K783" s="64"/>
      <c r="L783" s="64"/>
      <c r="M783" s="65"/>
      <c r="N783" s="64"/>
      <c r="O783" s="64"/>
      <c r="P783" s="64"/>
      <c r="Q783" s="54" t="s">
        <v>368</v>
      </c>
      <c r="R783" s="54"/>
      <c r="S783" s="129"/>
      <c r="T783" s="105"/>
      <c r="U783" s="133">
        <f>$K$760*$I$749*$G$717*$E$754*$C$600*$A$555*$M$775*$O$787*Q784</f>
        <v>6.1292979135078504E-4</v>
      </c>
      <c r="V783" s="133">
        <v>0</v>
      </c>
      <c r="W783" s="134">
        <f>$K$761+$I$750+$G$718+$E$755+$C$601+$A$556+$M$776+$O$788+Q785</f>
        <v>255481.2765024</v>
      </c>
      <c r="X783" s="133">
        <f>u_ChronicResp</f>
        <v>0.53465956747782661</v>
      </c>
      <c r="Y783" s="133"/>
      <c r="Z783" s="134">
        <f>U783*W783</f>
        <v>156.59208550064824</v>
      </c>
      <c r="AA783" s="6">
        <f t="shared" si="104"/>
        <v>3.2770877713788525E-4</v>
      </c>
    </row>
    <row r="784" spans="1:27" x14ac:dyDescent="0.3">
      <c r="A784" s="10"/>
      <c r="B784" s="10"/>
      <c r="C784" s="10"/>
      <c r="D784" s="10"/>
      <c r="E784" s="10"/>
      <c r="F784" s="41"/>
      <c r="G784" s="64"/>
      <c r="H784" s="64"/>
      <c r="I784" s="41"/>
      <c r="J784" s="64"/>
      <c r="K784" s="64"/>
      <c r="L784" s="64"/>
      <c r="M784" s="65"/>
      <c r="N784" s="64"/>
      <c r="O784" s="64"/>
      <c r="P784" s="64"/>
      <c r="Q784" s="56">
        <f>RDS2CLD_2-(RDS2CLD_2*noHypo2CI_2)</f>
        <v>0.34905610687022898</v>
      </c>
      <c r="R784" s="56"/>
      <c r="S784" s="129"/>
      <c r="T784" s="105"/>
      <c r="U784" s="133"/>
      <c r="V784" s="133"/>
      <c r="W784" s="133"/>
      <c r="X784" s="133"/>
      <c r="Y784" s="133"/>
      <c r="Z784" s="134"/>
      <c r="AA784" s="6">
        <f t="shared" si="104"/>
        <v>0</v>
      </c>
    </row>
    <row r="785" spans="1:27" x14ac:dyDescent="0.3">
      <c r="A785" s="10"/>
      <c r="B785" s="10"/>
      <c r="C785" s="10"/>
      <c r="D785" s="10"/>
      <c r="E785" s="10"/>
      <c r="F785" s="41"/>
      <c r="G785" s="64"/>
      <c r="H785" s="64"/>
      <c r="I785" s="64"/>
      <c r="J785" s="64"/>
      <c r="K785" s="64"/>
      <c r="L785" s="64"/>
      <c r="M785" s="65"/>
      <c r="N785" s="64"/>
      <c r="O785" s="64"/>
      <c r="P785" s="64"/>
      <c r="Q785" s="57">
        <f>c_lung+c_hosp_fu+c_CSG</f>
        <v>54529.510902399998</v>
      </c>
      <c r="R785" s="57"/>
      <c r="S785" s="129"/>
      <c r="T785" s="105"/>
      <c r="U785" s="133"/>
      <c r="V785" s="133"/>
      <c r="W785" s="133"/>
      <c r="X785" s="133"/>
      <c r="Y785" s="133"/>
      <c r="Z785" s="134"/>
      <c r="AA785" s="6">
        <f t="shared" si="104"/>
        <v>0</v>
      </c>
    </row>
    <row r="786" spans="1:27" x14ac:dyDescent="0.3">
      <c r="A786" s="10"/>
      <c r="B786" s="10"/>
      <c r="C786" s="10"/>
      <c r="D786" s="10"/>
      <c r="E786" s="10"/>
      <c r="F786" s="41"/>
      <c r="G786" s="64"/>
      <c r="H786" s="64"/>
      <c r="I786" s="64"/>
      <c r="J786" s="64"/>
      <c r="K786" s="64"/>
      <c r="L786" s="64"/>
      <c r="M786" s="65"/>
      <c r="N786" s="64"/>
      <c r="O786" s="54" t="s">
        <v>371</v>
      </c>
      <c r="P786" s="64"/>
      <c r="Q786" s="54" t="s">
        <v>226</v>
      </c>
      <c r="R786" s="54"/>
      <c r="S786" s="129"/>
      <c r="T786" s="105"/>
      <c r="U786" s="133">
        <f>$K$760*$I$749*$G$717*$E$754*$C$600*$A$555*$M$775*$O$787*Q787</f>
        <v>3.7124024889983729E-5</v>
      </c>
      <c r="V786" s="133">
        <v>0</v>
      </c>
      <c r="W786" s="134">
        <f>$K$761+$I$750+$G$718+$E$755+$C$601+$A$556+$M$776+$O$788+Q788</f>
        <v>216717.76559999998</v>
      </c>
      <c r="X786" s="133">
        <f>u_CongnitiveImpairement</f>
        <v>17.270393127285455</v>
      </c>
      <c r="Y786" s="133"/>
      <c r="Z786" s="134">
        <f>U786*W786</f>
        <v>8.045435724236059</v>
      </c>
      <c r="AA786" s="6">
        <f t="shared" si="104"/>
        <v>6.4114650431714923E-4</v>
      </c>
    </row>
    <row r="787" spans="1:27" x14ac:dyDescent="0.3">
      <c r="A787" s="10"/>
      <c r="B787" s="10"/>
      <c r="C787" s="10"/>
      <c r="D787" s="10"/>
      <c r="E787" s="10"/>
      <c r="F787" s="41"/>
      <c r="G787" s="64"/>
      <c r="H787" s="64"/>
      <c r="I787" s="64"/>
      <c r="J787" s="64"/>
      <c r="K787" s="64"/>
      <c r="L787" s="64"/>
      <c r="M787" s="65"/>
      <c r="N787" s="64"/>
      <c r="O787" s="56">
        <f>AGA_term_2normoglycaemia_2</f>
        <v>1</v>
      </c>
      <c r="P787" s="64"/>
      <c r="Q787" s="56">
        <f>noHypo2CI_2-(RDS2CLD_2*noHypo2CI_2)</f>
        <v>2.1141683406990762E-2</v>
      </c>
      <c r="R787" s="56"/>
      <c r="S787" s="129"/>
      <c r="T787" s="105"/>
      <c r="U787" s="133"/>
      <c r="V787" s="133"/>
      <c r="W787" s="133"/>
      <c r="X787" s="133"/>
      <c r="Y787" s="133"/>
      <c r="Z787" s="134"/>
      <c r="AA787" s="6">
        <f t="shared" si="104"/>
        <v>0</v>
      </c>
    </row>
    <row r="788" spans="1:27" x14ac:dyDescent="0.3">
      <c r="A788" s="10"/>
      <c r="B788" s="10"/>
      <c r="C788" s="10"/>
      <c r="D788" s="10"/>
      <c r="E788" s="10"/>
      <c r="F788" s="41"/>
      <c r="G788" s="64"/>
      <c r="H788" s="64"/>
      <c r="I788" s="64"/>
      <c r="J788" s="64"/>
      <c r="K788" s="64"/>
      <c r="L788" s="64"/>
      <c r="M788" s="65"/>
      <c r="N788" s="64"/>
      <c r="O788" s="57"/>
      <c r="P788" s="64"/>
      <c r="Q788" s="57">
        <f>c_cog+c_hosp_fu+c_CSG</f>
        <v>15766</v>
      </c>
      <c r="R788" s="57"/>
      <c r="S788" s="129"/>
      <c r="T788" s="105"/>
      <c r="U788" s="133"/>
      <c r="V788" s="133"/>
      <c r="W788" s="133"/>
      <c r="X788" s="133"/>
      <c r="Y788" s="133"/>
      <c r="Z788" s="134"/>
      <c r="AA788" s="6">
        <f t="shared" si="104"/>
        <v>0</v>
      </c>
    </row>
    <row r="789" spans="1:27" x14ac:dyDescent="0.3">
      <c r="A789" s="10"/>
      <c r="B789" s="10"/>
      <c r="C789" s="10"/>
      <c r="D789" s="10"/>
      <c r="E789" s="10"/>
      <c r="F789" s="41"/>
      <c r="G789" s="64"/>
      <c r="H789" s="64"/>
      <c r="I789" s="64"/>
      <c r="J789" s="64"/>
      <c r="K789" s="64"/>
      <c r="L789" s="64"/>
      <c r="M789" s="65"/>
      <c r="N789" s="64"/>
      <c r="O789" s="64"/>
      <c r="P789" s="64"/>
      <c r="Q789" s="54" t="s">
        <v>369</v>
      </c>
      <c r="R789" s="54"/>
      <c r="S789" s="129"/>
      <c r="T789" s="105"/>
      <c r="U789" s="133">
        <f>$K$760*$I$749*$G$717*$E$754*$C$600*$A$555*$M$775*$O$787*Q790</f>
        <v>2.097304066554636E-5</v>
      </c>
      <c r="V789" s="133">
        <v>0</v>
      </c>
      <c r="W789" s="134">
        <f>$K$761+$I$750+$G$718+$E$755+$C$601+$A$556+$M$776+$O$788+Q791</f>
        <v>259300.2765024</v>
      </c>
      <c r="X789" s="133">
        <f>u_ChronicResp+u_CongnitiveImpairement</f>
        <v>17.805052694763283</v>
      </c>
      <c r="Y789" s="133"/>
      <c r="Z789" s="134">
        <f>U789*W789</f>
        <v>5.4383152436722506</v>
      </c>
      <c r="AA789" s="6">
        <f t="shared" si="104"/>
        <v>3.7342609421946616E-4</v>
      </c>
    </row>
    <row r="790" spans="1:27" x14ac:dyDescent="0.3">
      <c r="A790" s="10"/>
      <c r="B790" s="10"/>
      <c r="C790" s="10"/>
      <c r="D790" s="10"/>
      <c r="E790" s="10"/>
      <c r="F790" s="41"/>
      <c r="G790" s="64"/>
      <c r="H790" s="64"/>
      <c r="I790" s="64"/>
      <c r="J790" s="64"/>
      <c r="K790" s="64"/>
      <c r="L790" s="64"/>
      <c r="M790" s="53"/>
      <c r="N790" s="64"/>
      <c r="O790" s="64"/>
      <c r="P790" s="64"/>
      <c r="Q790" s="56">
        <f>RDS2CLD_2*noHypo2CI_2</f>
        <v>1.1943893129770991E-2</v>
      </c>
      <c r="R790" s="56"/>
      <c r="S790" s="129"/>
      <c r="T790" s="105"/>
      <c r="U790" s="133"/>
      <c r="V790" s="133"/>
      <c r="W790" s="133"/>
      <c r="X790" s="133"/>
      <c r="Y790" s="133"/>
      <c r="Z790" s="134"/>
      <c r="AA790" s="6">
        <f t="shared" si="104"/>
        <v>0</v>
      </c>
    </row>
    <row r="791" spans="1:27" x14ac:dyDescent="0.3">
      <c r="A791" s="10"/>
      <c r="B791" s="10"/>
      <c r="C791" s="10"/>
      <c r="D791" s="10"/>
      <c r="E791" s="10"/>
      <c r="F791" s="41"/>
      <c r="G791" s="64"/>
      <c r="H791" s="64"/>
      <c r="I791" s="64"/>
      <c r="J791" s="64"/>
      <c r="K791" s="64"/>
      <c r="L791" s="64"/>
      <c r="M791" s="44"/>
      <c r="N791" s="64"/>
      <c r="O791" s="64"/>
      <c r="P791" s="64"/>
      <c r="Q791" s="57">
        <f>c_cog+c_lung+c_hosp_fu+c_CSG</f>
        <v>58348.510902399998</v>
      </c>
      <c r="R791" s="57"/>
      <c r="S791" s="129"/>
      <c r="T791" s="105"/>
      <c r="U791" s="133"/>
      <c r="V791" s="133"/>
      <c r="W791" s="133"/>
      <c r="X791" s="133"/>
      <c r="Y791" s="133"/>
      <c r="Z791" s="134"/>
      <c r="AA791" s="6">
        <f t="shared" si="104"/>
        <v>0</v>
      </c>
    </row>
    <row r="792" spans="1:27" x14ac:dyDescent="0.3">
      <c r="A792" s="10"/>
      <c r="B792" s="10"/>
      <c r="C792" s="10"/>
      <c r="D792" s="10"/>
      <c r="E792" s="10"/>
      <c r="F792" s="41"/>
      <c r="G792" s="64"/>
      <c r="H792" s="64"/>
      <c r="I792" s="64"/>
      <c r="J792" s="64"/>
      <c r="K792" s="64"/>
      <c r="L792" s="64"/>
      <c r="M792" s="65"/>
      <c r="N792" s="64"/>
      <c r="O792" s="64"/>
      <c r="P792" s="64"/>
      <c r="Q792" s="54" t="s">
        <v>370</v>
      </c>
      <c r="R792" s="54"/>
      <c r="S792" s="129"/>
      <c r="T792" s="105"/>
      <c r="U792" s="133">
        <f>$K$760*$I$749*$G$717*$E$754*$C$600*$A$555*$M$775*$O$787*Q793</f>
        <v>1.084936666684631E-3</v>
      </c>
      <c r="V792" s="133">
        <v>0</v>
      </c>
      <c r="W792" s="134">
        <f>$K$761+$I$750+$G$718+$E$755+$C$601+$A$556+$M$776+$O$788+Q794</f>
        <v>215354.76559999998</v>
      </c>
      <c r="X792" s="133">
        <f>u_Healthy</f>
        <v>0</v>
      </c>
      <c r="Y792" s="133"/>
      <c r="Z792" s="134">
        <f>U792*W792</f>
        <v>233.64628154471401</v>
      </c>
      <c r="AA792" s="6">
        <f t="shared" si="104"/>
        <v>0</v>
      </c>
    </row>
    <row r="793" spans="1:27" x14ac:dyDescent="0.3">
      <c r="A793" s="10"/>
      <c r="B793" s="10"/>
      <c r="C793" s="10"/>
      <c r="D793" s="10"/>
      <c r="E793" s="10"/>
      <c r="F793" s="41"/>
      <c r="G793" s="64"/>
      <c r="H793" s="64"/>
      <c r="I793" s="64"/>
      <c r="J793" s="64"/>
      <c r="K793" s="64"/>
      <c r="L793" s="64"/>
      <c r="M793" s="65"/>
      <c r="N793" s="44"/>
      <c r="O793" s="64"/>
      <c r="P793" s="64"/>
      <c r="Q793" s="56">
        <f>1-Q790-Q787-Q784</f>
        <v>0.61785831659300938</v>
      </c>
      <c r="R793" s="56"/>
      <c r="S793" s="129"/>
      <c r="T793" s="105"/>
      <c r="U793" s="133"/>
      <c r="V793" s="133"/>
      <c r="W793" s="133"/>
      <c r="X793" s="133"/>
      <c r="Y793" s="133"/>
      <c r="Z793" s="134"/>
      <c r="AA793" s="6">
        <f t="shared" si="104"/>
        <v>0</v>
      </c>
    </row>
    <row r="794" spans="1:27" x14ac:dyDescent="0.3">
      <c r="A794" s="10"/>
      <c r="B794" s="10"/>
      <c r="C794" s="10"/>
      <c r="D794" s="10"/>
      <c r="E794" s="10"/>
      <c r="F794" s="41"/>
      <c r="G794" s="64"/>
      <c r="H794" s="64"/>
      <c r="I794" s="64"/>
      <c r="J794" s="64"/>
      <c r="K794" s="64"/>
      <c r="L794" s="64"/>
      <c r="M794" s="65"/>
      <c r="N794" s="64"/>
      <c r="O794" s="64"/>
      <c r="P794" s="64"/>
      <c r="Q794" s="57">
        <f>c_clinic_fu+c_CSG</f>
        <v>14403</v>
      </c>
      <c r="R794" s="57"/>
      <c r="T794" s="105"/>
      <c r="U794" s="133"/>
      <c r="V794" s="133"/>
      <c r="W794" s="133"/>
      <c r="X794" s="133"/>
      <c r="Y794" s="133"/>
      <c r="Z794" s="134"/>
      <c r="AA794" s="6">
        <f t="shared" si="104"/>
        <v>0</v>
      </c>
    </row>
    <row r="795" spans="1:27" x14ac:dyDescent="0.3">
      <c r="A795" s="10"/>
      <c r="B795" s="10"/>
      <c r="C795" s="10"/>
      <c r="D795" s="10"/>
      <c r="E795" s="10"/>
      <c r="F795" s="41"/>
      <c r="G795" s="64"/>
      <c r="H795" s="64"/>
      <c r="I795" s="64"/>
      <c r="J795" s="64"/>
      <c r="K795" s="64"/>
      <c r="L795" s="64"/>
      <c r="M795" s="65"/>
      <c r="N795" s="64"/>
      <c r="O795" s="64"/>
      <c r="P795" s="64"/>
      <c r="Q795" s="65"/>
      <c r="R795" s="65"/>
      <c r="T795" s="105"/>
      <c r="U795" s="133"/>
      <c r="V795" s="133"/>
      <c r="W795" s="133"/>
      <c r="X795" s="133"/>
      <c r="Y795" s="133"/>
      <c r="Z795" s="134"/>
      <c r="AA795" s="6">
        <f t="shared" si="104"/>
        <v>0</v>
      </c>
    </row>
    <row r="796" spans="1:27" x14ac:dyDescent="0.3">
      <c r="A796" s="10"/>
      <c r="B796" s="10"/>
      <c r="C796" s="10"/>
      <c r="D796" s="10"/>
      <c r="E796" s="10"/>
      <c r="F796" s="41"/>
      <c r="G796" s="64"/>
      <c r="H796" s="64"/>
      <c r="I796" s="64"/>
      <c r="J796" s="64"/>
      <c r="K796" s="54" t="s">
        <v>165</v>
      </c>
      <c r="L796" s="54"/>
      <c r="M796" s="54"/>
      <c r="N796" s="54"/>
      <c r="O796" s="54"/>
      <c r="P796" s="54"/>
      <c r="Q796" s="54"/>
      <c r="R796" s="54"/>
      <c r="S796" s="129"/>
      <c r="T796" s="105"/>
      <c r="U796" s="133">
        <f>$K$797*$I$805*$G$826*$E$754*$C$600*$A$555</f>
        <v>1.0819651907644022E-4</v>
      </c>
      <c r="V796" s="133">
        <v>2.2128110844283128E-4</v>
      </c>
      <c r="W796" s="134">
        <f>$K$798+$I$806+$G$827+$E$755+$C$601+$A$556</f>
        <v>7190.88</v>
      </c>
      <c r="X796" s="133">
        <f>u_Death</f>
        <v>19.181538114427529</v>
      </c>
      <c r="Y796" s="133"/>
      <c r="Z796" s="134">
        <f>U796*W796</f>
        <v>0.77802818509639238</v>
      </c>
      <c r="AA796" s="6">
        <f t="shared" si="104"/>
        <v>2.0753756545131233E-3</v>
      </c>
    </row>
    <row r="797" spans="1:27" x14ac:dyDescent="0.3">
      <c r="A797" s="10"/>
      <c r="B797" s="10"/>
      <c r="C797" s="10"/>
      <c r="D797" s="10"/>
      <c r="E797" s="10"/>
      <c r="F797" s="41"/>
      <c r="G797" s="64"/>
      <c r="H797" s="64"/>
      <c r="I797" s="64"/>
      <c r="J797" s="64"/>
      <c r="K797" s="56">
        <f>SGA_term_2d_2</f>
        <v>1.1748000000000001E-2</v>
      </c>
      <c r="L797" s="64"/>
      <c r="M797" s="64"/>
      <c r="N797" s="64"/>
      <c r="O797" s="64"/>
      <c r="P797" s="64"/>
      <c r="Q797" s="64"/>
      <c r="R797" s="64"/>
      <c r="S797" s="129"/>
      <c r="T797" s="105"/>
      <c r="U797" s="133"/>
      <c r="V797" s="133"/>
      <c r="W797" s="133"/>
      <c r="X797" s="133"/>
      <c r="Y797" s="133"/>
      <c r="Z797" s="134"/>
      <c r="AA797" s="6">
        <f t="shared" si="104"/>
        <v>0</v>
      </c>
    </row>
    <row r="798" spans="1:27" x14ac:dyDescent="0.3">
      <c r="A798" s="10"/>
      <c r="B798" s="10"/>
      <c r="C798" s="10"/>
      <c r="D798" s="10"/>
      <c r="E798" s="10"/>
      <c r="F798" s="41"/>
      <c r="G798" s="64"/>
      <c r="H798" s="64"/>
      <c r="I798" s="64"/>
      <c r="J798" s="64"/>
      <c r="K798" s="57">
        <f>c_SB</f>
        <v>1792</v>
      </c>
      <c r="L798" s="64"/>
      <c r="M798" s="64"/>
      <c r="N798" s="64"/>
      <c r="O798" s="64"/>
      <c r="P798" s="64"/>
      <c r="Q798" s="64"/>
      <c r="R798" s="64"/>
      <c r="S798" s="129"/>
      <c r="T798" s="105"/>
      <c r="U798" s="133"/>
      <c r="V798" s="133"/>
      <c r="W798" s="133"/>
      <c r="X798" s="133"/>
      <c r="Y798" s="133"/>
      <c r="Z798" s="134"/>
      <c r="AA798" s="6">
        <f t="shared" si="104"/>
        <v>0</v>
      </c>
    </row>
    <row r="799" spans="1:27" x14ac:dyDescent="0.3">
      <c r="A799" s="10"/>
      <c r="B799" s="10"/>
      <c r="C799" s="10"/>
      <c r="D799" s="10"/>
      <c r="E799" s="10"/>
      <c r="F799" s="41"/>
      <c r="G799" s="64"/>
      <c r="H799" s="64"/>
      <c r="I799" s="53"/>
      <c r="J799" s="53"/>
      <c r="K799" s="53"/>
      <c r="L799" s="53"/>
      <c r="M799" s="53"/>
      <c r="N799" s="53"/>
      <c r="O799" s="53"/>
      <c r="P799" s="53"/>
      <c r="Q799" s="53"/>
      <c r="R799" s="53"/>
      <c r="S799" s="129"/>
      <c r="T799" s="105"/>
      <c r="U799" s="133"/>
      <c r="V799" s="133"/>
      <c r="W799" s="133"/>
      <c r="X799" s="133"/>
      <c r="Y799" s="133"/>
      <c r="Z799" s="134"/>
      <c r="AA799" s="6">
        <f t="shared" si="104"/>
        <v>0</v>
      </c>
    </row>
    <row r="800" spans="1:27" x14ac:dyDescent="0.3">
      <c r="A800" s="10"/>
      <c r="B800" s="10"/>
      <c r="C800" s="10"/>
      <c r="D800" s="10"/>
      <c r="E800" s="10"/>
      <c r="F800" s="41"/>
      <c r="G800" s="64"/>
      <c r="H800" s="64"/>
      <c r="I800" s="53"/>
      <c r="J800" s="53"/>
      <c r="K800" s="53"/>
      <c r="L800" s="53"/>
      <c r="M800" s="53"/>
      <c r="N800" s="53"/>
      <c r="O800" s="53"/>
      <c r="P800" s="53"/>
      <c r="Q800" s="54" t="s">
        <v>368</v>
      </c>
      <c r="R800" s="54"/>
      <c r="S800" s="129"/>
      <c r="T800" s="105"/>
      <c r="U800" s="133">
        <f>$K$816*$I$805*$G$826*$E$754*$C$600*$A$555*$M$811*$O$806*Q801</f>
        <v>0</v>
      </c>
      <c r="V800" s="133">
        <v>0</v>
      </c>
      <c r="W800" s="134">
        <f>$K$817+$I$806+$G$827+$E$755+$C$601+$A$556+$M$812+$O$807+Q802</f>
        <v>93460.261450605642</v>
      </c>
      <c r="X800" s="133">
        <f>u_ChronicResp</f>
        <v>0.53465956747782661</v>
      </c>
      <c r="Y800" s="133"/>
      <c r="Z800" s="134">
        <f>U800*W800</f>
        <v>0</v>
      </c>
      <c r="AA800" s="6">
        <f t="shared" si="104"/>
        <v>0</v>
      </c>
    </row>
    <row r="801" spans="1:27" x14ac:dyDescent="0.3">
      <c r="A801" s="10"/>
      <c r="B801" s="10"/>
      <c r="C801" s="10"/>
      <c r="D801" s="10"/>
      <c r="E801" s="10"/>
      <c r="F801" s="41"/>
      <c r="G801" s="64"/>
      <c r="H801" s="64"/>
      <c r="I801" s="53"/>
      <c r="J801" s="53"/>
      <c r="K801" s="53"/>
      <c r="L801" s="53"/>
      <c r="M801" s="53"/>
      <c r="N801" s="53"/>
      <c r="O801" s="64"/>
      <c r="P801" s="64"/>
      <c r="Q801" s="56">
        <f>RDS2CLD_2-(Hypo2CI_2*RDS2CLD_2)</f>
        <v>0.34246866666666664</v>
      </c>
      <c r="R801" s="56"/>
      <c r="S801" s="129"/>
      <c r="T801" s="105"/>
      <c r="U801" s="133"/>
      <c r="V801" s="133"/>
      <c r="W801" s="133"/>
      <c r="X801" s="133"/>
      <c r="Y801" s="133"/>
      <c r="Z801" s="134"/>
      <c r="AA801" s="6">
        <f t="shared" si="104"/>
        <v>0</v>
      </c>
    </row>
    <row r="802" spans="1:27" x14ac:dyDescent="0.3">
      <c r="A802" s="10"/>
      <c r="B802" s="10"/>
      <c r="C802" s="10"/>
      <c r="D802" s="10"/>
      <c r="E802" s="10"/>
      <c r="F802" s="41"/>
      <c r="G802" s="64"/>
      <c r="H802" s="64"/>
      <c r="I802" s="53"/>
      <c r="J802" s="53"/>
      <c r="K802" s="53"/>
      <c r="L802" s="53"/>
      <c r="M802" s="53"/>
      <c r="N802" s="53"/>
      <c r="O802" s="64"/>
      <c r="P802" s="64"/>
      <c r="Q802" s="57">
        <f>c_lung+c_hosp_fu+c_CSG</f>
        <v>54529.510902399998</v>
      </c>
      <c r="R802" s="57"/>
      <c r="S802" s="129"/>
      <c r="T802" s="105"/>
      <c r="U802" s="133"/>
      <c r="V802" s="133"/>
      <c r="W802" s="133"/>
      <c r="X802" s="133"/>
      <c r="Y802" s="133"/>
      <c r="Z802" s="134"/>
      <c r="AA802" s="6">
        <f t="shared" si="104"/>
        <v>0</v>
      </c>
    </row>
    <row r="803" spans="1:27" x14ac:dyDescent="0.3">
      <c r="A803" s="10"/>
      <c r="B803" s="10"/>
      <c r="C803" s="10"/>
      <c r="D803" s="10"/>
      <c r="E803" s="10"/>
      <c r="F803" s="41"/>
      <c r="G803" s="64"/>
      <c r="H803" s="64"/>
      <c r="I803" s="53"/>
      <c r="J803" s="53"/>
      <c r="K803" s="53"/>
      <c r="L803" s="53"/>
      <c r="M803" s="53"/>
      <c r="N803" s="53"/>
      <c r="O803" s="64"/>
      <c r="P803" s="64"/>
      <c r="Q803" s="54" t="s">
        <v>226</v>
      </c>
      <c r="R803" s="54"/>
      <c r="S803" s="129"/>
      <c r="T803" s="105"/>
      <c r="U803" s="133">
        <f>$K$816*$I$805*$G$826*$E$754*$C$600*$A$555*$M$811*$O$806*Q804</f>
        <v>0</v>
      </c>
      <c r="V803" s="133">
        <v>0</v>
      </c>
      <c r="W803" s="134">
        <f>$K$817+$I$806+$G$827+$E$755+$C$601+$A$556+$M$812+$O$807+Q805</f>
        <v>54696.750548205637</v>
      </c>
      <c r="X803" s="133">
        <f>u_CongnitiveImpairement</f>
        <v>17.270393127285455</v>
      </c>
      <c r="Y803" s="133"/>
      <c r="Z803" s="134">
        <f>U803*W803</f>
        <v>0</v>
      </c>
      <c r="AA803" s="6">
        <f t="shared" si="104"/>
        <v>0</v>
      </c>
    </row>
    <row r="804" spans="1:27" x14ac:dyDescent="0.3">
      <c r="A804" s="10"/>
      <c r="B804" s="10"/>
      <c r="C804" s="10"/>
      <c r="D804" s="10"/>
      <c r="E804" s="10"/>
      <c r="F804" s="41"/>
      <c r="G804" s="64"/>
      <c r="H804" s="64"/>
      <c r="I804" s="54" t="s">
        <v>164</v>
      </c>
      <c r="J804" s="64"/>
      <c r="K804" s="64"/>
      <c r="L804" s="64"/>
      <c r="M804" s="64"/>
      <c r="N804" s="64"/>
      <c r="O804" s="64"/>
      <c r="P804" s="64"/>
      <c r="Q804" s="56">
        <f>Hypo2CI_2-(Hypo2CI_2*RDS2CLD_2)</f>
        <v>3.2801999999999998E-2</v>
      </c>
      <c r="R804" s="56"/>
      <c r="S804" s="129"/>
      <c r="T804" s="105"/>
      <c r="U804" s="133"/>
      <c r="V804" s="133"/>
      <c r="W804" s="133"/>
      <c r="X804" s="133"/>
      <c r="Y804" s="133"/>
      <c r="Z804" s="134"/>
      <c r="AA804" s="6">
        <f t="shared" si="104"/>
        <v>0</v>
      </c>
    </row>
    <row r="805" spans="1:27" x14ac:dyDescent="0.3">
      <c r="A805" s="10"/>
      <c r="B805" s="10"/>
      <c r="C805" s="10"/>
      <c r="D805" s="10"/>
      <c r="E805" s="10"/>
      <c r="F805" s="41"/>
      <c r="G805" s="64"/>
      <c r="H805" s="64"/>
      <c r="I805" s="56">
        <f>NBW_term_2SGA_2</f>
        <v>0.17096075860597007</v>
      </c>
      <c r="J805" s="64"/>
      <c r="K805" s="64"/>
      <c r="L805" s="64"/>
      <c r="M805" s="64"/>
      <c r="N805" s="64"/>
      <c r="O805" s="54" t="s">
        <v>161</v>
      </c>
      <c r="P805" s="64"/>
      <c r="Q805" s="57">
        <f>c_cog+c_hosp_fu+c_CSG</f>
        <v>15766</v>
      </c>
      <c r="R805" s="57"/>
      <c r="S805" s="129"/>
      <c r="T805" s="105"/>
      <c r="U805" s="133"/>
      <c r="V805" s="133"/>
      <c r="W805" s="133"/>
      <c r="X805" s="133"/>
      <c r="Y805" s="133"/>
      <c r="Z805" s="134"/>
      <c r="AA805" s="6">
        <f t="shared" si="104"/>
        <v>0</v>
      </c>
    </row>
    <row r="806" spans="1:27" x14ac:dyDescent="0.3">
      <c r="A806" s="10"/>
      <c r="B806" s="10"/>
      <c r="C806" s="10"/>
      <c r="D806" s="10"/>
      <c r="E806" s="10"/>
      <c r="F806" s="41"/>
      <c r="G806" s="64"/>
      <c r="H806" s="64"/>
      <c r="I806" s="57"/>
      <c r="J806" s="64"/>
      <c r="K806" s="64"/>
      <c r="L806" s="64"/>
      <c r="M806" s="64"/>
      <c r="N806" s="64"/>
      <c r="O806" s="56">
        <f>SGA_term_2hypoglycaemia_2</f>
        <v>0.26</v>
      </c>
      <c r="P806" s="64"/>
      <c r="Q806" s="54" t="s">
        <v>369</v>
      </c>
      <c r="R806" s="54"/>
      <c r="S806" s="129"/>
      <c r="T806" s="105"/>
      <c r="U806" s="133">
        <f>$K$816*$I$805*$G$826*$E$754*$C$600*$A$555*$M$811*$O$806*Q807</f>
        <v>0</v>
      </c>
      <c r="V806" s="133">
        <v>0</v>
      </c>
      <c r="W806" s="134">
        <f>$K$817+$I$806+$G$827+$E$755+$C$601+$A$556+$M$812+$O$807+Q808</f>
        <v>97279.261450605642</v>
      </c>
      <c r="X806" s="133">
        <f>u_ChronicResp+u_CongnitiveImpairement</f>
        <v>17.805052694763283</v>
      </c>
      <c r="Y806" s="133"/>
      <c r="Z806" s="134">
        <f>U806*W806</f>
        <v>0</v>
      </c>
      <c r="AA806" s="6">
        <f t="shared" si="104"/>
        <v>0</v>
      </c>
    </row>
    <row r="807" spans="1:27" x14ac:dyDescent="0.3">
      <c r="A807" s="10"/>
      <c r="B807" s="10"/>
      <c r="C807" s="10"/>
      <c r="D807" s="10"/>
      <c r="E807" s="10"/>
      <c r="F807" s="41"/>
      <c r="G807" s="64"/>
      <c r="H807" s="64"/>
      <c r="I807" s="64"/>
      <c r="J807" s="64"/>
      <c r="K807" s="64"/>
      <c r="L807" s="64"/>
      <c r="M807" s="64"/>
      <c r="N807" s="64"/>
      <c r="O807" s="57">
        <f>c_hypo</f>
        <v>2936.2604000000001</v>
      </c>
      <c r="P807" s="64"/>
      <c r="Q807" s="56">
        <f>Hypo2CI_2*RDS2CLD_2</f>
        <v>1.8531333333333334E-2</v>
      </c>
      <c r="R807" s="56"/>
      <c r="S807" s="129"/>
      <c r="T807" s="105"/>
      <c r="U807" s="133"/>
      <c r="V807" s="133"/>
      <c r="W807" s="133"/>
      <c r="X807" s="133"/>
      <c r="Y807" s="133"/>
      <c r="Z807" s="134"/>
      <c r="AA807" s="6">
        <f t="shared" si="104"/>
        <v>0</v>
      </c>
    </row>
    <row r="808" spans="1:27" x14ac:dyDescent="0.3">
      <c r="A808" s="10"/>
      <c r="B808" s="10"/>
      <c r="C808" s="10"/>
      <c r="D808" s="10"/>
      <c r="E808" s="110"/>
      <c r="F808" s="41"/>
      <c r="G808" s="64"/>
      <c r="H808" s="64"/>
      <c r="I808" s="64"/>
      <c r="J808" s="64"/>
      <c r="K808" s="64"/>
      <c r="L808" s="64"/>
      <c r="M808" s="65"/>
      <c r="N808" s="64"/>
      <c r="O808" s="53"/>
      <c r="P808" s="64"/>
      <c r="Q808" s="57">
        <f>c_lung+c_cog+c_hosp_fu+c_CSG</f>
        <v>58348.510902399998</v>
      </c>
      <c r="R808" s="57"/>
      <c r="S808" s="129"/>
      <c r="T808" s="105"/>
      <c r="U808" s="133"/>
      <c r="V808" s="133"/>
      <c r="W808" s="133"/>
      <c r="X808" s="133"/>
      <c r="Y808" s="133"/>
      <c r="Z808" s="134"/>
      <c r="AA808" s="6">
        <f t="shared" ref="AA808:AA839" si="105">U808*X808</f>
        <v>0</v>
      </c>
    </row>
    <row r="809" spans="1:27" x14ac:dyDescent="0.3">
      <c r="A809" s="10"/>
      <c r="B809" s="10"/>
      <c r="C809" s="10"/>
      <c r="D809" s="10"/>
      <c r="E809" s="110"/>
      <c r="F809" s="41"/>
      <c r="G809" s="41"/>
      <c r="H809" s="44"/>
      <c r="I809" s="64"/>
      <c r="J809" s="64"/>
      <c r="K809" s="64"/>
      <c r="L809" s="64"/>
      <c r="M809" s="64"/>
      <c r="N809" s="64"/>
      <c r="O809" s="64"/>
      <c r="P809" s="64"/>
      <c r="Q809" s="54" t="s">
        <v>370</v>
      </c>
      <c r="R809" s="54"/>
      <c r="S809" s="129"/>
      <c r="T809" s="105"/>
      <c r="U809" s="133">
        <f>$K$816*$I$805*$G$826*$E$754*$C$600*$A$555*$M$811*$O$806*Q810</f>
        <v>0</v>
      </c>
      <c r="V809" s="133">
        <v>0</v>
      </c>
      <c r="W809" s="134">
        <f>$K$817+$I$806+$G$827+$E$755+$C$601+$A$556+$M$812+$O$807+Q811</f>
        <v>53333.750548205637</v>
      </c>
      <c r="X809" s="133">
        <f>u_Healthy</f>
        <v>0</v>
      </c>
      <c r="Y809" s="133"/>
      <c r="Z809" s="134">
        <f>U809*W809</f>
        <v>0</v>
      </c>
      <c r="AA809" s="6">
        <f t="shared" si="105"/>
        <v>0</v>
      </c>
    </row>
    <row r="810" spans="1:27" x14ac:dyDescent="0.3">
      <c r="A810" s="10"/>
      <c r="B810" s="10"/>
      <c r="C810" s="10"/>
      <c r="D810" s="10"/>
      <c r="E810" s="116"/>
      <c r="F810" s="41"/>
      <c r="G810" s="64"/>
      <c r="H810" s="64"/>
      <c r="I810" s="64"/>
      <c r="J810" s="64"/>
      <c r="K810" s="64"/>
      <c r="L810" s="64"/>
      <c r="M810" s="54" t="s">
        <v>9</v>
      </c>
      <c r="N810" s="64"/>
      <c r="O810" s="64"/>
      <c r="P810" s="64"/>
      <c r="Q810" s="56">
        <f>1-Q801-Q804-Q807</f>
        <v>0.60619800000000001</v>
      </c>
      <c r="R810" s="56"/>
      <c r="S810" s="129"/>
      <c r="T810" s="105"/>
      <c r="U810" s="133"/>
      <c r="V810" s="133"/>
      <c r="W810" s="133"/>
      <c r="X810" s="133"/>
      <c r="Y810" s="133"/>
      <c r="Z810" s="134"/>
      <c r="AA810" s="6">
        <f t="shared" si="105"/>
        <v>0</v>
      </c>
    </row>
    <row r="811" spans="1:27" x14ac:dyDescent="0.3">
      <c r="A811" s="10"/>
      <c r="B811" s="10"/>
      <c r="C811" s="10"/>
      <c r="D811" s="10"/>
      <c r="E811" s="10"/>
      <c r="F811" s="41"/>
      <c r="G811" s="64"/>
      <c r="H811" s="64"/>
      <c r="I811" s="64"/>
      <c r="J811" s="64"/>
      <c r="K811" s="65"/>
      <c r="L811" s="64"/>
      <c r="M811" s="56">
        <f>S_term_2RDS_2</f>
        <v>0</v>
      </c>
      <c r="N811" s="64"/>
      <c r="O811" s="64"/>
      <c r="P811" s="64"/>
      <c r="Q811" s="57">
        <f>c_clinic_fu+c_CSG</f>
        <v>14403</v>
      </c>
      <c r="R811" s="57"/>
      <c r="S811" s="129"/>
      <c r="T811" s="105"/>
      <c r="U811" s="133"/>
      <c r="V811" s="133"/>
      <c r="W811" s="133"/>
      <c r="X811" s="133"/>
      <c r="Y811" s="133"/>
      <c r="Z811" s="134"/>
      <c r="AA811" s="6">
        <f t="shared" si="105"/>
        <v>0</v>
      </c>
    </row>
    <row r="812" spans="1:27" x14ac:dyDescent="0.3">
      <c r="A812" s="10"/>
      <c r="B812" s="10"/>
      <c r="C812" s="10"/>
      <c r="D812" s="10"/>
      <c r="E812" s="10"/>
      <c r="F812" s="41"/>
      <c r="G812" s="64"/>
      <c r="H812" s="64"/>
      <c r="I812" s="64"/>
      <c r="J812" s="64"/>
      <c r="K812" s="65"/>
      <c r="L812" s="64"/>
      <c r="M812" s="57">
        <f>c_RDS</f>
        <v>30595.610148205637</v>
      </c>
      <c r="N812" s="64"/>
      <c r="O812" s="64"/>
      <c r="P812" s="64"/>
      <c r="Q812" s="65"/>
      <c r="R812" s="65"/>
      <c r="S812" s="129"/>
      <c r="T812" s="105"/>
      <c r="U812" s="133"/>
      <c r="V812" s="133"/>
      <c r="W812" s="133"/>
      <c r="X812" s="133"/>
      <c r="Y812" s="133"/>
      <c r="Z812" s="134"/>
      <c r="AA812" s="6">
        <f t="shared" si="105"/>
        <v>0</v>
      </c>
    </row>
    <row r="813" spans="1:27" x14ac:dyDescent="0.3">
      <c r="A813" s="10"/>
      <c r="B813" s="10"/>
      <c r="C813" s="10"/>
      <c r="D813" s="10"/>
      <c r="E813" s="10"/>
      <c r="F813" s="41"/>
      <c r="G813" s="53"/>
      <c r="H813" s="64"/>
      <c r="I813" s="64"/>
      <c r="J813" s="64"/>
      <c r="K813" s="64"/>
      <c r="L813" s="64"/>
      <c r="M813" s="64"/>
      <c r="N813" s="64"/>
      <c r="O813" s="64"/>
      <c r="P813" s="64"/>
      <c r="Q813" s="54" t="s">
        <v>368</v>
      </c>
      <c r="R813" s="54"/>
      <c r="S813" s="129"/>
      <c r="T813" s="105"/>
      <c r="U813" s="133">
        <f>$K$816*$I$805*$G$826*$E$754*$C$600*$A$555*$M$811*$O$816*Q814</f>
        <v>0</v>
      </c>
      <c r="V813" s="133">
        <v>0</v>
      </c>
      <c r="W813" s="134">
        <f>$K$817+$I$806+$G$827+$E$755+$C$601+$A$556+$M$812+$O$817+Q815</f>
        <v>90524.001050605642</v>
      </c>
      <c r="X813" s="133">
        <f>u_ChronicResp</f>
        <v>0.53465956747782661</v>
      </c>
      <c r="Y813" s="133"/>
      <c r="Z813" s="134">
        <f>U813*W813</f>
        <v>0</v>
      </c>
      <c r="AA813" s="6">
        <f t="shared" si="105"/>
        <v>0</v>
      </c>
    </row>
    <row r="814" spans="1:27" x14ac:dyDescent="0.3">
      <c r="A814" s="10"/>
      <c r="B814" s="10"/>
      <c r="C814" s="10"/>
      <c r="D814" s="10"/>
      <c r="E814" s="10"/>
      <c r="F814" s="41"/>
      <c r="G814" s="53"/>
      <c r="H814" s="64"/>
      <c r="I814" s="64"/>
      <c r="J814" s="64"/>
      <c r="K814" s="64"/>
      <c r="L814" s="64"/>
      <c r="M814" s="64"/>
      <c r="N814" s="64"/>
      <c r="O814" s="64"/>
      <c r="P814" s="64"/>
      <c r="Q814" s="56">
        <f>RDS2CLD_2-(RDS2CLD_2*noHypo2CI_2)</f>
        <v>0.34905610687022898</v>
      </c>
      <c r="R814" s="56"/>
      <c r="S814" s="129"/>
      <c r="T814" s="105"/>
      <c r="U814" s="133"/>
      <c r="V814" s="133"/>
      <c r="W814" s="133"/>
      <c r="X814" s="133"/>
      <c r="Y814" s="133"/>
      <c r="Z814" s="134"/>
      <c r="AA814" s="6">
        <f t="shared" si="105"/>
        <v>0</v>
      </c>
    </row>
    <row r="815" spans="1:27" x14ac:dyDescent="0.3">
      <c r="A815" s="10"/>
      <c r="B815" s="10"/>
      <c r="C815" s="10"/>
      <c r="D815" s="10"/>
      <c r="E815" s="10"/>
      <c r="F815" s="41"/>
      <c r="G815" s="53"/>
      <c r="H815" s="64"/>
      <c r="I815" s="64"/>
      <c r="J815" s="64"/>
      <c r="K815" s="54" t="s">
        <v>37</v>
      </c>
      <c r="L815" s="64"/>
      <c r="M815" s="65"/>
      <c r="N815" s="64"/>
      <c r="O815" s="54" t="s">
        <v>371</v>
      </c>
      <c r="P815" s="64"/>
      <c r="Q815" s="57">
        <f>c_lung+c_hosp_fu+c_CSG</f>
        <v>54529.510902399998</v>
      </c>
      <c r="R815" s="57"/>
      <c r="S815" s="129"/>
      <c r="T815" s="105"/>
      <c r="U815" s="133"/>
      <c r="V815" s="133"/>
      <c r="W815" s="133"/>
      <c r="X815" s="133"/>
      <c r="Y815" s="133"/>
      <c r="Z815" s="134"/>
      <c r="AA815" s="6">
        <f t="shared" si="105"/>
        <v>0</v>
      </c>
    </row>
    <row r="816" spans="1:27" x14ac:dyDescent="0.3">
      <c r="A816" s="10"/>
      <c r="B816" s="10"/>
      <c r="C816" s="10"/>
      <c r="D816" s="10"/>
      <c r="E816" s="10"/>
      <c r="F816" s="41"/>
      <c r="G816" s="53"/>
      <c r="H816" s="64"/>
      <c r="I816" s="64"/>
      <c r="J816" s="64"/>
      <c r="K816" s="56">
        <f>SGA_term_2s_2</f>
        <v>0.98825200000000002</v>
      </c>
      <c r="L816" s="64"/>
      <c r="M816" s="64"/>
      <c r="N816" s="64"/>
      <c r="O816" s="56">
        <f>SGA_term_2normoglycaemia_2</f>
        <v>0.74</v>
      </c>
      <c r="P816" s="64"/>
      <c r="Q816" s="54" t="s">
        <v>226</v>
      </c>
      <c r="R816" s="54"/>
      <c r="S816" s="129"/>
      <c r="T816" s="105"/>
      <c r="U816" s="133">
        <f>$K$816*$I$805*$G$826*$E$754*$C$600*$A$555*$M$811*$O$816*Q817</f>
        <v>0</v>
      </c>
      <c r="V816" s="133">
        <v>0</v>
      </c>
      <c r="W816" s="134">
        <f>$K$817+$I$806+$G$827+$E$755+$C$601+$A$556+$M$812+$O$817+Q818</f>
        <v>51760.490148205638</v>
      </c>
      <c r="X816" s="133">
        <f>u_CongnitiveImpairement</f>
        <v>17.270393127285455</v>
      </c>
      <c r="Y816" s="133"/>
      <c r="Z816" s="134">
        <f>U816*W816</f>
        <v>0</v>
      </c>
      <c r="AA816" s="6">
        <f t="shared" si="105"/>
        <v>0</v>
      </c>
    </row>
    <row r="817" spans="1:27" x14ac:dyDescent="0.3">
      <c r="A817" s="10"/>
      <c r="B817" s="10"/>
      <c r="C817" s="10"/>
      <c r="D817" s="10"/>
      <c r="E817" s="10"/>
      <c r="F817" s="41"/>
      <c r="G817" s="53"/>
      <c r="H817" s="64"/>
      <c r="I817" s="64"/>
      <c r="J817" s="64"/>
      <c r="K817" s="57"/>
      <c r="L817" s="64"/>
      <c r="M817" s="64"/>
      <c r="N817" s="64"/>
      <c r="O817" s="57"/>
      <c r="P817" s="64"/>
      <c r="Q817" s="56">
        <f>noHypo2CI_2-(RDS2CLD_2*noHypo2CI_2)</f>
        <v>2.1141683406990762E-2</v>
      </c>
      <c r="R817" s="56"/>
      <c r="S817" s="129"/>
      <c r="T817" s="105"/>
      <c r="U817" s="133"/>
      <c r="V817" s="133"/>
      <c r="W817" s="133"/>
      <c r="X817" s="133"/>
      <c r="Y817" s="133"/>
      <c r="Z817" s="134"/>
      <c r="AA817" s="6">
        <f t="shared" si="105"/>
        <v>0</v>
      </c>
    </row>
    <row r="818" spans="1:27" x14ac:dyDescent="0.3">
      <c r="A818" s="10"/>
      <c r="B818" s="10"/>
      <c r="C818" s="10"/>
      <c r="D818" s="10"/>
      <c r="E818" s="10"/>
      <c r="F818" s="41"/>
      <c r="G818" s="64"/>
      <c r="H818" s="64"/>
      <c r="I818" s="64"/>
      <c r="J818" s="64"/>
      <c r="K818" s="64"/>
      <c r="L818" s="64"/>
      <c r="M818" s="64"/>
      <c r="N818" s="64"/>
      <c r="O818" s="53"/>
      <c r="P818" s="64"/>
      <c r="Q818" s="57">
        <f>c_cog+c_hosp_fu+c_CSG</f>
        <v>15766</v>
      </c>
      <c r="R818" s="57"/>
      <c r="S818" s="129"/>
      <c r="T818" s="105"/>
      <c r="U818" s="133"/>
      <c r="V818" s="133"/>
      <c r="W818" s="133"/>
      <c r="X818" s="133"/>
      <c r="Y818" s="133"/>
      <c r="Z818" s="134"/>
      <c r="AA818" s="6">
        <f t="shared" si="105"/>
        <v>0</v>
      </c>
    </row>
    <row r="819" spans="1:27" x14ac:dyDescent="0.3">
      <c r="A819" s="10"/>
      <c r="B819" s="10"/>
      <c r="C819" s="10"/>
      <c r="D819" s="10"/>
      <c r="E819" s="10"/>
      <c r="F819" s="41"/>
      <c r="G819" s="64"/>
      <c r="H819" s="64"/>
      <c r="I819" s="64"/>
      <c r="J819" s="64"/>
      <c r="K819" s="64"/>
      <c r="L819" s="64"/>
      <c r="M819" s="64"/>
      <c r="N819" s="64"/>
      <c r="O819" s="53"/>
      <c r="P819" s="64"/>
      <c r="Q819" s="54" t="s">
        <v>369</v>
      </c>
      <c r="R819" s="54"/>
      <c r="S819" s="129"/>
      <c r="T819" s="105"/>
      <c r="U819" s="133">
        <f>$K$816*$I$805*$G$826*$E$754*$C$600*$A$555*$M$811*$O$816*Q820</f>
        <v>0</v>
      </c>
      <c r="V819" s="133">
        <v>0</v>
      </c>
      <c r="W819" s="134">
        <f>$K$817+$I$806+$G$827+$E$755+$C$601+$A$556+$M$812+$O$817+Q821</f>
        <v>94343.001050605642</v>
      </c>
      <c r="X819" s="133">
        <f>u_ChronicResp+u_CongnitiveImpairement</f>
        <v>17.805052694763283</v>
      </c>
      <c r="Y819" s="133"/>
      <c r="Z819" s="134">
        <f>U819*W819</f>
        <v>0</v>
      </c>
      <c r="AA819" s="6">
        <f t="shared" si="105"/>
        <v>0</v>
      </c>
    </row>
    <row r="820" spans="1:27" x14ac:dyDescent="0.3">
      <c r="A820" s="10"/>
      <c r="B820" s="10"/>
      <c r="C820" s="10"/>
      <c r="D820" s="10"/>
      <c r="E820" s="10"/>
      <c r="F820" s="41"/>
      <c r="G820" s="64"/>
      <c r="H820" s="64"/>
      <c r="I820" s="64"/>
      <c r="J820" s="64"/>
      <c r="K820" s="64"/>
      <c r="L820" s="64"/>
      <c r="M820" s="64"/>
      <c r="N820" s="64"/>
      <c r="O820" s="53"/>
      <c r="P820" s="64"/>
      <c r="Q820" s="56">
        <f>RDS2CLD_2*noHypo2CI_2</f>
        <v>1.1943893129770991E-2</v>
      </c>
      <c r="R820" s="56"/>
      <c r="S820" s="129"/>
      <c r="T820" s="105"/>
      <c r="U820" s="133"/>
      <c r="V820" s="133"/>
      <c r="W820" s="133"/>
      <c r="X820" s="133"/>
      <c r="Y820" s="133"/>
      <c r="Z820" s="134"/>
      <c r="AA820" s="6">
        <f t="shared" si="105"/>
        <v>0</v>
      </c>
    </row>
    <row r="821" spans="1:27" x14ac:dyDescent="0.3">
      <c r="A821" s="10"/>
      <c r="B821" s="10"/>
      <c r="C821" s="10"/>
      <c r="D821" s="10"/>
      <c r="E821" s="10"/>
      <c r="F821" s="41"/>
      <c r="G821" s="64"/>
      <c r="H821" s="64"/>
      <c r="I821" s="64"/>
      <c r="J821" s="64"/>
      <c r="K821" s="64"/>
      <c r="L821" s="64"/>
      <c r="M821" s="64"/>
      <c r="N821" s="64"/>
      <c r="O821" s="53"/>
      <c r="P821" s="64"/>
      <c r="Q821" s="57">
        <f>c_cog+c_lung+c_hosp_fu+c_CSG</f>
        <v>58348.510902399998</v>
      </c>
      <c r="R821" s="57"/>
      <c r="S821" s="129"/>
      <c r="T821" s="105"/>
      <c r="U821" s="133"/>
      <c r="V821" s="133"/>
      <c r="W821" s="133"/>
      <c r="X821" s="133"/>
      <c r="Y821" s="133"/>
      <c r="Z821" s="134"/>
      <c r="AA821" s="6">
        <f t="shared" si="105"/>
        <v>0</v>
      </c>
    </row>
    <row r="822" spans="1:27" x14ac:dyDescent="0.3">
      <c r="A822" s="10"/>
      <c r="B822" s="10"/>
      <c r="C822" s="10"/>
      <c r="D822" s="10"/>
      <c r="E822" s="10"/>
      <c r="F822" s="41"/>
      <c r="G822" s="64"/>
      <c r="H822" s="64"/>
      <c r="I822" s="64"/>
      <c r="J822" s="64"/>
      <c r="K822" s="64"/>
      <c r="L822" s="64"/>
      <c r="M822" s="64"/>
      <c r="N822" s="64"/>
      <c r="O822" s="53"/>
      <c r="P822" s="64"/>
      <c r="Q822" s="54" t="s">
        <v>370</v>
      </c>
      <c r="R822" s="54"/>
      <c r="S822" s="129"/>
      <c r="T822" s="105"/>
      <c r="U822" s="133">
        <f>$K$816*$I$805*$G$826*$E$754*$C$600*$A$555*$M$811*$O$816*Q823</f>
        <v>0</v>
      </c>
      <c r="V822" s="133">
        <v>0</v>
      </c>
      <c r="W822" s="134">
        <f>$K$817+$I$806+$G$827+$E$755+$C$601+$A$556+$M$812+$O$817+Q824</f>
        <v>50397.490148205638</v>
      </c>
      <c r="X822" s="133">
        <f>u_Healthy</f>
        <v>0</v>
      </c>
      <c r="Y822" s="133"/>
      <c r="Z822" s="134">
        <f>U822*W822</f>
        <v>0</v>
      </c>
      <c r="AA822" s="6">
        <f t="shared" si="105"/>
        <v>0</v>
      </c>
    </row>
    <row r="823" spans="1:27" x14ac:dyDescent="0.3">
      <c r="A823" s="10"/>
      <c r="B823" s="10"/>
      <c r="C823" s="10"/>
      <c r="D823" s="10"/>
      <c r="E823" s="10"/>
      <c r="F823" s="41"/>
      <c r="G823" s="64"/>
      <c r="H823" s="64"/>
      <c r="I823" s="64"/>
      <c r="J823" s="64"/>
      <c r="K823" s="64"/>
      <c r="L823" s="64"/>
      <c r="M823" s="64"/>
      <c r="N823" s="64"/>
      <c r="O823" s="53"/>
      <c r="P823" s="64"/>
      <c r="Q823" s="56">
        <f>1-Q820-Q817-Q814</f>
        <v>0.61785831659300938</v>
      </c>
      <c r="R823" s="56"/>
      <c r="T823" s="105"/>
      <c r="U823" s="133"/>
      <c r="V823" s="133"/>
      <c r="W823" s="133"/>
      <c r="X823" s="133"/>
      <c r="Y823" s="133"/>
      <c r="Z823" s="134"/>
      <c r="AA823" s="6">
        <f t="shared" si="105"/>
        <v>0</v>
      </c>
    </row>
    <row r="824" spans="1:27" x14ac:dyDescent="0.3">
      <c r="A824" s="10"/>
      <c r="B824" s="10"/>
      <c r="C824" s="10"/>
      <c r="D824" s="10"/>
      <c r="E824" s="10"/>
      <c r="F824" s="41"/>
      <c r="G824" s="64"/>
      <c r="H824" s="64"/>
      <c r="I824" s="64"/>
      <c r="J824" s="64"/>
      <c r="K824" s="64"/>
      <c r="L824" s="64"/>
      <c r="M824" s="64"/>
      <c r="N824" s="64"/>
      <c r="O824" s="64"/>
      <c r="P824" s="64"/>
      <c r="Q824" s="57">
        <f>c_clinic_fu+c_CSG</f>
        <v>14403</v>
      </c>
      <c r="R824" s="57"/>
      <c r="S824" s="129"/>
      <c r="T824" s="105"/>
      <c r="U824" s="133"/>
      <c r="V824" s="133"/>
      <c r="W824" s="133"/>
      <c r="X824" s="133"/>
      <c r="Y824" s="133"/>
      <c r="Z824" s="134"/>
      <c r="AA824" s="6">
        <f t="shared" si="105"/>
        <v>0</v>
      </c>
    </row>
    <row r="825" spans="1:27" x14ac:dyDescent="0.3">
      <c r="A825" s="10"/>
      <c r="B825" s="10"/>
      <c r="C825" s="10"/>
      <c r="D825" s="10"/>
      <c r="E825" s="10"/>
      <c r="F825" s="41"/>
      <c r="G825" s="54" t="s">
        <v>372</v>
      </c>
      <c r="H825" s="64"/>
      <c r="I825" s="64"/>
      <c r="J825" s="64"/>
      <c r="K825" s="64"/>
      <c r="L825" s="64"/>
      <c r="M825" s="64"/>
      <c r="N825" s="64"/>
      <c r="O825" s="64"/>
      <c r="P825" s="64"/>
      <c r="Q825" s="65"/>
      <c r="R825" s="65"/>
      <c r="S825" s="129"/>
      <c r="T825" s="105"/>
      <c r="U825" s="133"/>
      <c r="V825" s="133">
        <v>1.4729694475272028E-3</v>
      </c>
      <c r="W825" s="133"/>
      <c r="X825" s="133"/>
      <c r="Y825" s="133"/>
      <c r="Z825" s="134"/>
      <c r="AA825" s="6">
        <f t="shared" si="105"/>
        <v>0</v>
      </c>
    </row>
    <row r="826" spans="1:27" x14ac:dyDescent="0.3">
      <c r="A826" s="10"/>
      <c r="B826" s="10"/>
      <c r="C826" s="10"/>
      <c r="D826" s="10"/>
      <c r="E826" s="10"/>
      <c r="F826" s="41"/>
      <c r="G826" s="56">
        <f>Term2NBW_2</f>
        <v>0.75313846153846153</v>
      </c>
      <c r="H826" s="64"/>
      <c r="I826" s="64"/>
      <c r="J826" s="64"/>
      <c r="K826" s="64"/>
      <c r="L826" s="64"/>
      <c r="M826" s="64"/>
      <c r="N826" s="64"/>
      <c r="O826" s="64"/>
      <c r="P826" s="64"/>
      <c r="Q826" s="54" t="s">
        <v>368</v>
      </c>
      <c r="R826" s="54"/>
      <c r="S826" s="129"/>
      <c r="T826" s="105"/>
      <c r="U826" s="133">
        <f>$K$816*$I$805*$G$826*$E$754*$C$600*$A$555*$M$831*$O$829*Q827</f>
        <v>8.1042204055763287E-4</v>
      </c>
      <c r="V826" s="133"/>
      <c r="W826" s="134">
        <f>$K$817+$I$806+$G$827+$E$755+$C$601+$A$556+$M$832+$O$830+Q828</f>
        <v>62864.651302400001</v>
      </c>
      <c r="X826" s="133">
        <f>u_ChronicResp</f>
        <v>0.53465956747782661</v>
      </c>
      <c r="Y826" s="133"/>
      <c r="Z826" s="134">
        <f>U826*W826</f>
        <v>50.946898987435063</v>
      </c>
      <c r="AA826" s="6">
        <f t="shared" si="105"/>
        <v>4.3329989767904167E-4</v>
      </c>
    </row>
    <row r="827" spans="1:27" x14ac:dyDescent="0.3">
      <c r="A827" s="10"/>
      <c r="B827" s="10"/>
      <c r="C827" s="10"/>
      <c r="D827" s="10"/>
      <c r="E827" s="10"/>
      <c r="F827" s="41"/>
      <c r="G827" s="57">
        <f>c_NICU_NBW</f>
        <v>3098.88</v>
      </c>
      <c r="H827" s="64"/>
      <c r="I827" s="64"/>
      <c r="J827" s="64"/>
      <c r="K827" s="64"/>
      <c r="L827" s="64"/>
      <c r="M827" s="64"/>
      <c r="N827" s="64"/>
      <c r="O827" s="64"/>
      <c r="P827" s="64"/>
      <c r="Q827" s="56">
        <f>RDS2CLD_2-(Hypo2CI_2*RDS2CLD_2)</f>
        <v>0.34246866666666664</v>
      </c>
      <c r="R827" s="56"/>
      <c r="S827" s="129"/>
      <c r="T827" s="105"/>
      <c r="U827" s="133"/>
      <c r="V827" s="133"/>
      <c r="W827" s="133"/>
      <c r="X827" s="133"/>
      <c r="Y827" s="133"/>
      <c r="Z827" s="134"/>
      <c r="AA827" s="6">
        <f t="shared" si="105"/>
        <v>0</v>
      </c>
    </row>
    <row r="828" spans="1:27" x14ac:dyDescent="0.3">
      <c r="A828" s="10"/>
      <c r="B828" s="10"/>
      <c r="C828" s="10"/>
      <c r="D828" s="10"/>
      <c r="E828" s="10"/>
      <c r="F828" s="41"/>
      <c r="G828" s="64"/>
      <c r="H828" s="64"/>
      <c r="I828" s="64"/>
      <c r="J828" s="64"/>
      <c r="K828" s="64"/>
      <c r="L828" s="64"/>
      <c r="M828" s="64"/>
      <c r="N828" s="64"/>
      <c r="O828" s="54" t="s">
        <v>161</v>
      </c>
      <c r="P828" s="64"/>
      <c r="Q828" s="57">
        <f>c_lung+c_hosp_fu+c_CSG</f>
        <v>54529.510902399998</v>
      </c>
      <c r="R828" s="57"/>
      <c r="S828" s="129"/>
      <c r="T828" s="105"/>
      <c r="U828" s="133"/>
      <c r="V828" s="133">
        <v>1.4108252380593643E-4</v>
      </c>
      <c r="W828" s="133"/>
      <c r="X828" s="133"/>
      <c r="Y828" s="133"/>
      <c r="Z828" s="134"/>
      <c r="AA828" s="6">
        <f t="shared" si="105"/>
        <v>0</v>
      </c>
    </row>
    <row r="829" spans="1:27" x14ac:dyDescent="0.3">
      <c r="A829" s="10"/>
      <c r="B829" s="10"/>
      <c r="C829" s="10"/>
      <c r="D829" s="10"/>
      <c r="E829" s="10"/>
      <c r="F829" s="41"/>
      <c r="G829" s="64"/>
      <c r="H829" s="64"/>
      <c r="I829" s="64"/>
      <c r="J829" s="64"/>
      <c r="K829" s="64"/>
      <c r="L829" s="64"/>
      <c r="M829" s="64"/>
      <c r="N829" s="64"/>
      <c r="O829" s="56">
        <f>SGA_term_2hypoglycaemia_2</f>
        <v>0.26</v>
      </c>
      <c r="P829" s="64"/>
      <c r="Q829" s="54" t="s">
        <v>226</v>
      </c>
      <c r="R829" s="54"/>
      <c r="S829" s="129"/>
      <c r="T829" s="105"/>
      <c r="U829" s="133">
        <f>$K$816*$I$805*$G$826*$E$754*$C$600*$A$555*$M$831*$O$829*Q830</f>
        <v>7.762305390771946E-5</v>
      </c>
      <c r="V829" s="133"/>
      <c r="W829" s="134">
        <f>$K$817+$I$806+$G$827+$E$755+$C$601+$A$556+$M$832+$O$830+Q831</f>
        <v>24101.1404</v>
      </c>
      <c r="X829" s="133">
        <f>u_CongnitiveImpairement</f>
        <v>17.270393127285455</v>
      </c>
      <c r="Y829" s="133"/>
      <c r="Z829" s="134">
        <f>U829*W829</f>
        <v>1.8708041205067154</v>
      </c>
      <c r="AA829" s="6">
        <f t="shared" si="105"/>
        <v>1.3405806567267865E-3</v>
      </c>
    </row>
    <row r="830" spans="1:27" x14ac:dyDescent="0.3">
      <c r="A830" s="10"/>
      <c r="B830" s="10"/>
      <c r="C830" s="10"/>
      <c r="D830" s="10"/>
      <c r="E830" s="10"/>
      <c r="F830" s="41"/>
      <c r="G830" s="64"/>
      <c r="H830" s="64"/>
      <c r="I830" s="64"/>
      <c r="J830" s="64"/>
      <c r="K830" s="64"/>
      <c r="L830" s="64"/>
      <c r="M830" s="54" t="s">
        <v>203</v>
      </c>
      <c r="N830" s="64"/>
      <c r="O830" s="57">
        <f>c_hypo</f>
        <v>2936.2604000000001</v>
      </c>
      <c r="P830" s="64"/>
      <c r="Q830" s="56">
        <f>Hypo2CI_2-(Hypo2CI_2*RDS2CLD_2)</f>
        <v>3.2801999999999998E-2</v>
      </c>
      <c r="R830" s="56"/>
      <c r="S830" s="129"/>
      <c r="T830" s="105"/>
      <c r="U830" s="133"/>
      <c r="V830" s="133"/>
      <c r="W830" s="133"/>
      <c r="X830" s="133"/>
      <c r="Y830" s="133"/>
      <c r="Z830" s="134"/>
      <c r="AA830" s="6">
        <f t="shared" si="105"/>
        <v>0</v>
      </c>
    </row>
    <row r="831" spans="1:27" x14ac:dyDescent="0.3">
      <c r="A831" s="10"/>
      <c r="B831" s="10"/>
      <c r="C831" s="10"/>
      <c r="D831" s="10"/>
      <c r="E831" s="10"/>
      <c r="F831" s="41"/>
      <c r="G831" s="64"/>
      <c r="H831" s="64"/>
      <c r="I831" s="64"/>
      <c r="J831" s="64"/>
      <c r="K831" s="64"/>
      <c r="L831" s="64"/>
      <c r="M831" s="56">
        <f>S_term_2noRDS_2</f>
        <v>1</v>
      </c>
      <c r="N831" s="64"/>
      <c r="O831" s="53"/>
      <c r="P831" s="64"/>
      <c r="Q831" s="57">
        <f>c_cog+c_hosp_fu+c_CSG</f>
        <v>15766</v>
      </c>
      <c r="R831" s="57"/>
      <c r="S831" s="129"/>
      <c r="T831" s="105"/>
      <c r="U831" s="133"/>
      <c r="V831" s="133">
        <v>7.9703898425575979E-5</v>
      </c>
      <c r="W831" s="133"/>
      <c r="X831" s="133"/>
      <c r="Y831" s="133"/>
      <c r="Z831" s="134"/>
      <c r="AA831" s="6">
        <f t="shared" si="105"/>
        <v>0</v>
      </c>
    </row>
    <row r="832" spans="1:27" x14ac:dyDescent="0.3">
      <c r="A832" s="110"/>
      <c r="B832" s="10"/>
      <c r="C832" s="10"/>
      <c r="D832" s="10"/>
      <c r="E832" s="10"/>
      <c r="F832" s="41"/>
      <c r="G832" s="65"/>
      <c r="H832" s="64"/>
      <c r="I832" s="64"/>
      <c r="J832" s="64"/>
      <c r="K832" s="64"/>
      <c r="L832" s="64"/>
      <c r="M832" s="57"/>
      <c r="N832" s="64"/>
      <c r="O832" s="65"/>
      <c r="P832" s="64"/>
      <c r="Q832" s="54" t="s">
        <v>369</v>
      </c>
      <c r="R832" s="54"/>
      <c r="S832" s="129"/>
      <c r="T832" s="105"/>
      <c r="U832" s="133">
        <f>$K$816*$I$805*$G$826*$E$754*$C$600*$A$555*$M$831*$O$829*Q833</f>
        <v>4.3852773803891588E-5</v>
      </c>
      <c r="V832" s="133"/>
      <c r="W832" s="134">
        <f>$K$817+$I$806+$G$827+$E$755+$C$601+$A$556+$M$832+$O$830+Q834</f>
        <v>66683.651302400001</v>
      </c>
      <c r="X832" s="133">
        <f>u_ChronicResp+u_CongnitiveImpairement</f>
        <v>17.805052694763283</v>
      </c>
      <c r="Y832" s="133"/>
      <c r="Z832" s="134">
        <f>U832*W832</f>
        <v>2.9242630769817279</v>
      </c>
      <c r="AA832" s="6">
        <f t="shared" si="105"/>
        <v>7.8080094838982469E-4</v>
      </c>
    </row>
    <row r="833" spans="1:27" x14ac:dyDescent="0.3">
      <c r="A833" s="110"/>
      <c r="B833" s="10"/>
      <c r="C833" s="10"/>
      <c r="D833" s="10"/>
      <c r="E833" s="10"/>
      <c r="F833" s="41"/>
      <c r="G833" s="64"/>
      <c r="H833" s="64"/>
      <c r="I833" s="64"/>
      <c r="J833" s="64"/>
      <c r="K833" s="64"/>
      <c r="L833" s="64"/>
      <c r="M833" s="65"/>
      <c r="N833" s="64"/>
      <c r="O833" s="41"/>
      <c r="P833" s="64"/>
      <c r="Q833" s="56">
        <f>Hypo2CI_2*RDS2CLD_2</f>
        <v>1.8531333333333334E-2</v>
      </c>
      <c r="R833" s="56"/>
      <c r="S833" s="129"/>
      <c r="T833" s="105"/>
      <c r="U833" s="133"/>
      <c r="V833" s="133"/>
      <c r="W833" s="133"/>
      <c r="X833" s="133"/>
      <c r="Y833" s="133"/>
      <c r="Z833" s="134"/>
      <c r="AA833" s="6">
        <f t="shared" si="105"/>
        <v>0</v>
      </c>
    </row>
    <row r="834" spans="1:27" x14ac:dyDescent="0.3">
      <c r="A834" s="116"/>
      <c r="B834" s="10"/>
      <c r="C834" s="10"/>
      <c r="D834" s="10"/>
      <c r="E834" s="10"/>
      <c r="F834" s="41"/>
      <c r="G834" s="64"/>
      <c r="H834" s="64"/>
      <c r="I834" s="64"/>
      <c r="J834" s="64"/>
      <c r="K834" s="64"/>
      <c r="L834" s="64"/>
      <c r="M834" s="65"/>
      <c r="N834" s="64"/>
      <c r="O834" s="41"/>
      <c r="P834" s="64"/>
      <c r="Q834" s="57">
        <f>c_lung+c_cog+c_hosp_fu+c_CSG</f>
        <v>58348.510902399998</v>
      </c>
      <c r="R834" s="57"/>
      <c r="S834" s="129"/>
      <c r="T834" s="105"/>
      <c r="U834" s="133"/>
      <c r="V834" s="133">
        <v>2.6072783295564617E-3</v>
      </c>
      <c r="W834" s="133"/>
      <c r="X834" s="133"/>
      <c r="Y834" s="133"/>
      <c r="Z834" s="134"/>
      <c r="AA834" s="6">
        <f t="shared" si="105"/>
        <v>0</v>
      </c>
    </row>
    <row r="835" spans="1:27" x14ac:dyDescent="0.3">
      <c r="A835" s="10"/>
      <c r="B835" s="10"/>
      <c r="C835" s="10"/>
      <c r="D835" s="10"/>
      <c r="E835" s="10"/>
      <c r="F835" s="41"/>
      <c r="G835" s="64"/>
      <c r="H835" s="64"/>
      <c r="I835" s="64"/>
      <c r="J835" s="64"/>
      <c r="K835" s="64"/>
      <c r="L835" s="64"/>
      <c r="M835" s="65"/>
      <c r="N835" s="64"/>
      <c r="O835" s="41"/>
      <c r="P835" s="64"/>
      <c r="Q835" s="54" t="s">
        <v>370</v>
      </c>
      <c r="R835" s="54"/>
      <c r="S835" s="129"/>
      <c r="T835" s="105"/>
      <c r="U835" s="133">
        <f>$K$816*$I$805*$G$826*$E$754*$C$600*$A$555*$M$831*$O$829*Q836</f>
        <v>1.4345143598790233E-3</v>
      </c>
      <c r="V835" s="133"/>
      <c r="W835" s="134">
        <f>$K$817+$I$806+$G$827+$E$755+$C$601+$A$556+$M$832+$O$830+Q837</f>
        <v>22738.1404</v>
      </c>
      <c r="X835" s="133">
        <f>u_Healthy</f>
        <v>0</v>
      </c>
      <c r="Y835" s="133"/>
      <c r="Z835" s="134">
        <f>U835*W835</f>
        <v>32.618188920745361</v>
      </c>
      <c r="AA835" s="6">
        <f t="shared" si="105"/>
        <v>0</v>
      </c>
    </row>
    <row r="836" spans="1:27" x14ac:dyDescent="0.3">
      <c r="A836" s="10"/>
      <c r="B836" s="10"/>
      <c r="C836" s="10"/>
      <c r="D836" s="10"/>
      <c r="E836" s="10"/>
      <c r="F836" s="41"/>
      <c r="G836" s="64"/>
      <c r="H836" s="64"/>
      <c r="I836" s="64"/>
      <c r="J836" s="64"/>
      <c r="K836" s="64"/>
      <c r="L836" s="64"/>
      <c r="M836" s="65"/>
      <c r="N836" s="64"/>
      <c r="O836" s="65"/>
      <c r="P836" s="64"/>
      <c r="Q836" s="56">
        <f>1-Q827-Q830-Q833</f>
        <v>0.60619800000000001</v>
      </c>
      <c r="R836" s="56"/>
      <c r="T836" s="105"/>
      <c r="U836" s="133"/>
      <c r="V836" s="133"/>
      <c r="W836" s="133"/>
      <c r="X836" s="133"/>
      <c r="Y836" s="133"/>
      <c r="Z836" s="134"/>
      <c r="AA836" s="6">
        <f t="shared" si="105"/>
        <v>0</v>
      </c>
    </row>
    <row r="837" spans="1:27" x14ac:dyDescent="0.3">
      <c r="A837" s="10"/>
      <c r="B837" s="10"/>
      <c r="C837" s="10"/>
      <c r="D837" s="10"/>
      <c r="E837" s="10"/>
      <c r="F837" s="41"/>
      <c r="G837" s="64"/>
      <c r="H837" s="64"/>
      <c r="I837" s="64"/>
      <c r="J837" s="64"/>
      <c r="K837" s="64"/>
      <c r="L837" s="64"/>
      <c r="M837" s="65"/>
      <c r="N837" s="64"/>
      <c r="O837" s="64"/>
      <c r="P837" s="64"/>
      <c r="Q837" s="57">
        <f>c_clinic_fu+c_CSG</f>
        <v>14403</v>
      </c>
      <c r="R837" s="57"/>
      <c r="S837" s="129"/>
      <c r="T837" s="105"/>
      <c r="U837" s="133"/>
      <c r="V837" s="133"/>
      <c r="W837" s="133"/>
      <c r="X837" s="133"/>
      <c r="Y837" s="133"/>
      <c r="Z837" s="134"/>
      <c r="AA837" s="6">
        <f t="shared" si="105"/>
        <v>0</v>
      </c>
    </row>
    <row r="838" spans="1:27" x14ac:dyDescent="0.3">
      <c r="A838" s="10"/>
      <c r="B838" s="10"/>
      <c r="C838" s="10"/>
      <c r="D838" s="10"/>
      <c r="E838" s="10"/>
      <c r="F838" s="41"/>
      <c r="G838" s="64"/>
      <c r="H838" s="64"/>
      <c r="I838" s="64"/>
      <c r="J838" s="64"/>
      <c r="K838" s="64"/>
      <c r="L838" s="64"/>
      <c r="M838" s="65"/>
      <c r="N838" s="64"/>
      <c r="O838" s="64"/>
      <c r="P838" s="64"/>
      <c r="Q838" s="65"/>
      <c r="R838" s="65"/>
      <c r="S838" s="130"/>
      <c r="T838" s="105"/>
      <c r="U838" s="133"/>
      <c r="V838" s="133">
        <v>4.2729371819815939E-3</v>
      </c>
      <c r="W838" s="133"/>
      <c r="X838" s="133"/>
      <c r="Y838" s="133"/>
      <c r="Z838" s="134"/>
      <c r="AA838" s="6">
        <f t="shared" si="105"/>
        <v>0</v>
      </c>
    </row>
    <row r="839" spans="1:27" x14ac:dyDescent="0.3">
      <c r="A839" s="10"/>
      <c r="B839" s="10"/>
      <c r="C839" s="10"/>
      <c r="D839" s="10"/>
      <c r="E839" s="10"/>
      <c r="F839" s="41"/>
      <c r="G839" s="64"/>
      <c r="H839" s="64"/>
      <c r="I839" s="64"/>
      <c r="J839" s="64"/>
      <c r="K839" s="64"/>
      <c r="L839" s="64"/>
      <c r="M839" s="65"/>
      <c r="N839" s="64"/>
      <c r="O839" s="64"/>
      <c r="P839" s="64"/>
      <c r="Q839" s="54" t="s">
        <v>368</v>
      </c>
      <c r="R839" s="54"/>
      <c r="S839" s="129"/>
      <c r="T839" s="105"/>
      <c r="U839" s="133">
        <f>$K$816*$I$805*$G$826*$E$754*$C$600*$A$555*$M$831*$O$843*Q840</f>
        <v>2.3509533588829934E-3</v>
      </c>
      <c r="V839" s="133"/>
      <c r="W839" s="134">
        <f>$K$817+$I$806+$G$827+$E$755+$C$601+$A$556+$M$832+$O$844+Q841</f>
        <v>59928.390902399995</v>
      </c>
      <c r="X839" s="133">
        <f>u_ChronicResp</f>
        <v>0.53465956747782661</v>
      </c>
      <c r="Y839" s="133"/>
      <c r="Z839" s="134">
        <f>U839*W839</f>
        <v>140.8888518844503</v>
      </c>
      <c r="AA839" s="6">
        <f t="shared" si="105"/>
        <v>1.2569597060209249E-3</v>
      </c>
    </row>
    <row r="840" spans="1:27" x14ac:dyDescent="0.3">
      <c r="A840" s="10"/>
      <c r="B840" s="10"/>
      <c r="C840" s="10"/>
      <c r="D840" s="10"/>
      <c r="E840" s="10"/>
      <c r="F840" s="41"/>
      <c r="G840" s="64"/>
      <c r="H840" s="64"/>
      <c r="I840" s="64"/>
      <c r="J840" s="64"/>
      <c r="K840" s="64"/>
      <c r="L840" s="64"/>
      <c r="M840" s="65"/>
      <c r="N840" s="64"/>
      <c r="O840" s="64"/>
      <c r="P840" s="64"/>
      <c r="Q840" s="56">
        <f>RDS2CLD_2-(RDS2CLD_2*noHypo2CI_2)</f>
        <v>0.34905610687022898</v>
      </c>
      <c r="R840" s="56"/>
      <c r="S840" s="129"/>
      <c r="T840" s="105"/>
      <c r="U840" s="133"/>
      <c r="V840" s="133"/>
      <c r="W840" s="133"/>
      <c r="X840" s="133"/>
      <c r="Y840" s="133"/>
      <c r="Z840" s="134"/>
      <c r="AA840" s="6">
        <f t="shared" ref="AA840:AA871" si="106">U840*X840</f>
        <v>0</v>
      </c>
    </row>
    <row r="841" spans="1:27" x14ac:dyDescent="0.3">
      <c r="A841" s="10"/>
      <c r="B841" s="10"/>
      <c r="C841" s="10"/>
      <c r="D841" s="10"/>
      <c r="E841" s="10"/>
      <c r="F841" s="41"/>
      <c r="G841" s="64"/>
      <c r="H841" s="64"/>
      <c r="I841" s="64"/>
      <c r="J841" s="64"/>
      <c r="K841" s="64"/>
      <c r="L841" s="64"/>
      <c r="M841" s="65"/>
      <c r="N841" s="64"/>
      <c r="O841" s="64"/>
      <c r="P841" s="64"/>
      <c r="Q841" s="57">
        <f>c_lung+c_hosp_fu+c_CSG</f>
        <v>54529.510902399998</v>
      </c>
      <c r="R841" s="57"/>
      <c r="S841" s="129"/>
      <c r="T841" s="105"/>
      <c r="U841" s="133"/>
      <c r="V841" s="133">
        <v>2.5880390957605959E-4</v>
      </c>
      <c r="W841" s="133"/>
      <c r="X841" s="133"/>
      <c r="Y841" s="133"/>
      <c r="Z841" s="134"/>
      <c r="AA841" s="6">
        <f t="shared" si="106"/>
        <v>0</v>
      </c>
    </row>
    <row r="842" spans="1:27" x14ac:dyDescent="0.3">
      <c r="A842" s="10"/>
      <c r="B842" s="10"/>
      <c r="C842" s="10"/>
      <c r="D842" s="10"/>
      <c r="E842" s="10"/>
      <c r="F842" s="41"/>
      <c r="G842" s="64"/>
      <c r="H842" s="64"/>
      <c r="I842" s="64"/>
      <c r="J842" s="64"/>
      <c r="K842" s="64"/>
      <c r="L842" s="64"/>
      <c r="M842" s="65"/>
      <c r="N842" s="64"/>
      <c r="O842" s="54" t="s">
        <v>371</v>
      </c>
      <c r="P842" s="64"/>
      <c r="Q842" s="54" t="s">
        <v>226</v>
      </c>
      <c r="R842" s="54"/>
      <c r="S842" s="129"/>
      <c r="T842" s="105"/>
      <c r="U842" s="133">
        <f>$K$816*$I$805*$G$826*$E$754*$C$600*$A$555*$M$831*$O$843*Q843</f>
        <v>1.4239290085414335E-4</v>
      </c>
      <c r="V842" s="133"/>
      <c r="W842" s="134">
        <f>$K$817+$I$806+$G$827+$E$755+$C$601+$A$556+$M$832+$O$844+Q844</f>
        <v>21164.880000000001</v>
      </c>
      <c r="X842" s="133">
        <f>u_CongnitiveImpairement</f>
        <v>17.270393127285455</v>
      </c>
      <c r="Y842" s="133"/>
      <c r="Z842" s="134">
        <f>U842*W842</f>
        <v>3.0137286594298414</v>
      </c>
      <c r="AA842" s="6">
        <f t="shared" si="106"/>
        <v>2.4591813762856363E-3</v>
      </c>
    </row>
    <row r="843" spans="1:27" x14ac:dyDescent="0.3">
      <c r="A843" s="10"/>
      <c r="B843" s="10"/>
      <c r="C843" s="10"/>
      <c r="D843" s="10"/>
      <c r="E843" s="10"/>
      <c r="F843" s="41"/>
      <c r="G843" s="64"/>
      <c r="H843" s="64"/>
      <c r="I843" s="64"/>
      <c r="J843" s="64"/>
      <c r="K843" s="64"/>
      <c r="L843" s="64"/>
      <c r="M843" s="65"/>
      <c r="N843" s="64"/>
      <c r="O843" s="56">
        <f>SGA_term_2normoglycaemia_2</f>
        <v>0.74</v>
      </c>
      <c r="P843" s="64"/>
      <c r="Q843" s="56">
        <f>noHypo2CI_2-(RDS2CLD_2*noHypo2CI_2)</f>
        <v>2.1141683406990762E-2</v>
      </c>
      <c r="R843" s="56"/>
      <c r="S843" s="129"/>
      <c r="T843" s="105"/>
      <c r="U843" s="133"/>
      <c r="V843" s="133"/>
      <c r="W843" s="133"/>
      <c r="X843" s="133"/>
      <c r="Y843" s="133"/>
      <c r="Z843" s="134"/>
      <c r="AA843" s="6">
        <f t="shared" si="106"/>
        <v>0</v>
      </c>
    </row>
    <row r="844" spans="1:27" x14ac:dyDescent="0.3">
      <c r="A844" s="10"/>
      <c r="B844" s="10"/>
      <c r="C844" s="10"/>
      <c r="D844" s="10"/>
      <c r="E844" s="10"/>
      <c r="F844" s="41"/>
      <c r="G844" s="64"/>
      <c r="H844" s="64"/>
      <c r="I844" s="64"/>
      <c r="J844" s="64"/>
      <c r="K844" s="64"/>
      <c r="L844" s="64"/>
      <c r="M844" s="65"/>
      <c r="N844" s="64"/>
      <c r="O844" s="57"/>
      <c r="P844" s="64"/>
      <c r="Q844" s="57">
        <f>c_cog+c_hosp_fu+c_CSG</f>
        <v>15766</v>
      </c>
      <c r="R844" s="57"/>
      <c r="S844" s="129"/>
      <c r="T844" s="105"/>
      <c r="U844" s="133"/>
      <c r="V844" s="133">
        <v>1.4621003342246867E-4</v>
      </c>
      <c r="W844" s="133"/>
      <c r="X844" s="133"/>
      <c r="Y844" s="133"/>
      <c r="Z844" s="134"/>
      <c r="AA844" s="6">
        <f t="shared" si="106"/>
        <v>0</v>
      </c>
    </row>
    <row r="845" spans="1:27" x14ac:dyDescent="0.3">
      <c r="A845" s="10"/>
      <c r="B845" s="10"/>
      <c r="C845" s="10"/>
      <c r="D845" s="10"/>
      <c r="E845" s="10"/>
      <c r="F845" s="41"/>
      <c r="G845" s="64"/>
      <c r="H845" s="64"/>
      <c r="I845" s="64"/>
      <c r="J845" s="64"/>
      <c r="K845" s="64"/>
      <c r="L845" s="64"/>
      <c r="M845" s="65"/>
      <c r="N845" s="64"/>
      <c r="O845" s="64"/>
      <c r="P845" s="64"/>
      <c r="Q845" s="54" t="s">
        <v>369</v>
      </c>
      <c r="R845" s="54"/>
      <c r="S845" s="129"/>
      <c r="T845" s="105"/>
      <c r="U845" s="133">
        <f>$K$816*$I$805*$G$826*$E$754*$C$600*$A$555*$M$831*$O$843*Q846</f>
        <v>8.0444189684422118E-5</v>
      </c>
      <c r="V845" s="133"/>
      <c r="W845" s="134">
        <f>$K$817+$I$806+$G$827+$E$755+$C$601+$A$556+$M$832+$O$844+Q847</f>
        <v>63747.390902399995</v>
      </c>
      <c r="X845" s="133">
        <f>u_ChronicResp+u_CongnitiveImpairement</f>
        <v>17.805052694763283</v>
      </c>
      <c r="Y845" s="133"/>
      <c r="Z845" s="134">
        <f>U845*W845</f>
        <v>5.1281072056396697</v>
      </c>
      <c r="AA845" s="6">
        <f t="shared" si="106"/>
        <v>1.4323130363186687E-3</v>
      </c>
    </row>
    <row r="846" spans="1:27" x14ac:dyDescent="0.3">
      <c r="A846" s="10"/>
      <c r="B846" s="10"/>
      <c r="C846" s="10"/>
      <c r="D846" s="10"/>
      <c r="E846" s="10"/>
      <c r="F846" s="41"/>
      <c r="G846" s="64"/>
      <c r="H846" s="64"/>
      <c r="I846" s="64"/>
      <c r="J846" s="64"/>
      <c r="K846" s="64"/>
      <c r="L846" s="64"/>
      <c r="M846" s="65"/>
      <c r="N846" s="64"/>
      <c r="O846" s="64"/>
      <c r="P846" s="64"/>
      <c r="Q846" s="56">
        <f>RDS2CLD_2*noHypo2CI_2</f>
        <v>1.1943893129770991E-2</v>
      </c>
      <c r="R846" s="56"/>
      <c r="S846" s="129"/>
      <c r="T846" s="105"/>
      <c r="U846" s="133"/>
      <c r="V846" s="133"/>
      <c r="W846" s="133"/>
      <c r="X846" s="133"/>
      <c r="Y846" s="133"/>
      <c r="Z846" s="134"/>
      <c r="AA846" s="6">
        <f t="shared" si="106"/>
        <v>0</v>
      </c>
    </row>
    <row r="847" spans="1:27" x14ac:dyDescent="0.3">
      <c r="A847" s="10"/>
      <c r="B847" s="10"/>
      <c r="C847" s="10"/>
      <c r="D847" s="10"/>
      <c r="E847" s="10"/>
      <c r="F847" s="41"/>
      <c r="G847" s="64"/>
      <c r="H847" s="64"/>
      <c r="I847" s="64"/>
      <c r="J847" s="64"/>
      <c r="K847" s="64"/>
      <c r="L847" s="64"/>
      <c r="M847" s="65"/>
      <c r="N847" s="64"/>
      <c r="O847" s="64"/>
      <c r="P847" s="64"/>
      <c r="Q847" s="57">
        <f>c_cog+c_lung+c_hosp_fu+c_CSG</f>
        <v>58348.510902399998</v>
      </c>
      <c r="R847" s="57"/>
      <c r="S847" s="129"/>
      <c r="T847" s="105"/>
      <c r="U847" s="133"/>
      <c r="V847" s="133">
        <v>7.563453903839998E-3</v>
      </c>
      <c r="W847" s="133"/>
      <c r="X847" s="133"/>
      <c r="Y847" s="133"/>
      <c r="Z847" s="134"/>
      <c r="AA847" s="6">
        <f t="shared" si="106"/>
        <v>0</v>
      </c>
    </row>
    <row r="848" spans="1:27" x14ac:dyDescent="0.3">
      <c r="A848" s="10"/>
      <c r="B848" s="10"/>
      <c r="C848" s="10"/>
      <c r="D848" s="10"/>
      <c r="E848" s="10"/>
      <c r="F848" s="41"/>
      <c r="G848" s="64"/>
      <c r="H848" s="64"/>
      <c r="I848" s="64"/>
      <c r="J848" s="64"/>
      <c r="K848" s="64"/>
      <c r="L848" s="64"/>
      <c r="M848" s="65"/>
      <c r="N848" s="64"/>
      <c r="O848" s="64"/>
      <c r="P848" s="64"/>
      <c r="Q848" s="54" t="s">
        <v>370</v>
      </c>
      <c r="R848" s="54"/>
      <c r="S848" s="129"/>
      <c r="T848" s="105"/>
      <c r="U848" s="133">
        <f>$K$816*$I$805*$G$826*$E$754*$C$600*$A$555*$M$831*$O$843*Q849</f>
        <v>4.1613828153081248E-3</v>
      </c>
      <c r="V848" s="133"/>
      <c r="W848" s="134">
        <f>$K$817+$I$806+$G$827+$E$755+$C$601+$A$556+$M$832+$O$844+Q850</f>
        <v>19801.88</v>
      </c>
      <c r="X848" s="133">
        <f>u_Healthy</f>
        <v>0</v>
      </c>
      <c r="Y848" s="133"/>
      <c r="Z848" s="134">
        <f>U848*W848</f>
        <v>82.403203142793657</v>
      </c>
      <c r="AA848" s="6">
        <f t="shared" si="106"/>
        <v>0</v>
      </c>
    </row>
    <row r="849" spans="1:27" x14ac:dyDescent="0.3">
      <c r="A849" s="10"/>
      <c r="B849" s="10"/>
      <c r="C849" s="10"/>
      <c r="D849" s="10"/>
      <c r="E849" s="10"/>
      <c r="F849" s="41"/>
      <c r="G849" s="64"/>
      <c r="H849" s="64"/>
      <c r="I849" s="64"/>
      <c r="J849" s="64"/>
      <c r="K849" s="64"/>
      <c r="L849" s="64"/>
      <c r="M849" s="65"/>
      <c r="N849" s="64"/>
      <c r="O849" s="64"/>
      <c r="P849" s="64"/>
      <c r="Q849" s="56">
        <f>1-Q846-Q843-Q840</f>
        <v>0.61785831659300938</v>
      </c>
      <c r="R849" s="56"/>
      <c r="S849" s="129"/>
      <c r="T849" s="105"/>
      <c r="U849" s="133"/>
      <c r="V849" s="133"/>
      <c r="W849" s="133"/>
      <c r="X849" s="133"/>
      <c r="Y849" s="133"/>
      <c r="Z849" s="134"/>
      <c r="AA849" s="6">
        <f t="shared" si="106"/>
        <v>0</v>
      </c>
    </row>
    <row r="850" spans="1:27" x14ac:dyDescent="0.3">
      <c r="A850" s="10"/>
      <c r="B850" s="10"/>
      <c r="C850" s="10"/>
      <c r="D850" s="10"/>
      <c r="E850" s="10"/>
      <c r="F850" s="41"/>
      <c r="G850" s="64"/>
      <c r="H850" s="64"/>
      <c r="I850" s="64"/>
      <c r="J850" s="64"/>
      <c r="K850" s="64"/>
      <c r="L850" s="64"/>
      <c r="M850" s="65"/>
      <c r="N850" s="64"/>
      <c r="O850" s="64"/>
      <c r="P850" s="64"/>
      <c r="Q850" s="57">
        <f>c_clinic_fu+c_CSG</f>
        <v>14403</v>
      </c>
      <c r="R850" s="57"/>
      <c r="T850" s="105"/>
      <c r="U850" s="133"/>
      <c r="V850" s="133"/>
      <c r="W850" s="133"/>
      <c r="X850" s="133"/>
      <c r="Y850" s="133"/>
      <c r="Z850" s="134"/>
      <c r="AA850" s="6">
        <f t="shared" si="106"/>
        <v>0</v>
      </c>
    </row>
    <row r="851" spans="1:27" x14ac:dyDescent="0.3">
      <c r="A851" s="10"/>
      <c r="B851" s="10"/>
      <c r="C851" s="10"/>
      <c r="D851" s="10"/>
      <c r="E851" s="10"/>
      <c r="F851" s="41"/>
      <c r="G851" s="64"/>
      <c r="H851" s="64"/>
      <c r="I851" s="64"/>
      <c r="J851" s="64"/>
      <c r="K851" s="64"/>
      <c r="L851" s="64"/>
      <c r="M851" s="65"/>
      <c r="N851" s="64"/>
      <c r="O851" s="64"/>
      <c r="P851" s="64"/>
      <c r="Q851" s="65"/>
      <c r="R851" s="65"/>
      <c r="S851" s="129"/>
      <c r="T851" s="105"/>
      <c r="U851" s="133"/>
      <c r="V851" s="133">
        <v>4.4560004697704594E-4</v>
      </c>
      <c r="W851" s="133"/>
      <c r="X851" s="133"/>
      <c r="Y851" s="133"/>
      <c r="Z851" s="134"/>
      <c r="AA851" s="6">
        <f t="shared" si="106"/>
        <v>0</v>
      </c>
    </row>
    <row r="852" spans="1:27" x14ac:dyDescent="0.3">
      <c r="A852" s="10"/>
      <c r="B852" s="10"/>
      <c r="C852" s="10"/>
      <c r="D852" s="10"/>
      <c r="E852" s="10"/>
      <c r="F852" s="41"/>
      <c r="G852" s="64"/>
      <c r="H852" s="64"/>
      <c r="I852" s="64"/>
      <c r="J852" s="64"/>
      <c r="K852" s="54" t="s">
        <v>165</v>
      </c>
      <c r="L852" s="54"/>
      <c r="M852" s="54"/>
      <c r="N852" s="54"/>
      <c r="O852" s="54"/>
      <c r="P852" s="54"/>
      <c r="Q852" s="54"/>
      <c r="R852" s="54"/>
      <c r="S852" s="129"/>
      <c r="T852" s="105"/>
      <c r="U852" s="133">
        <f>$K$853*$I$861*$G$826*$E$754*$C$600*$A$555</f>
        <v>2.4776408959387543E-4</v>
      </c>
      <c r="V852" s="133"/>
      <c r="W852" s="134">
        <f>$K$854+$I$862+$G$827+$E$755+$C$601+$A$556</f>
        <v>7190.88</v>
      </c>
      <c r="X852" s="133">
        <f>u_Death</f>
        <v>19.181538114427529</v>
      </c>
      <c r="Y852" s="133"/>
      <c r="Z852" s="134">
        <f>U852*W852</f>
        <v>1.7816418365788069</v>
      </c>
      <c r="AA852" s="6">
        <f t="shared" si="106"/>
        <v>4.7524963279313584E-3</v>
      </c>
    </row>
    <row r="853" spans="1:27" x14ac:dyDescent="0.3">
      <c r="A853" s="10"/>
      <c r="B853" s="10"/>
      <c r="C853" s="10"/>
      <c r="D853" s="10"/>
      <c r="E853" s="10"/>
      <c r="F853" s="41"/>
      <c r="G853" s="64"/>
      <c r="H853" s="64"/>
      <c r="I853" s="64"/>
      <c r="J853" s="64"/>
      <c r="K853" s="56">
        <f>AGA_term_2d_2</f>
        <v>5.5476666666666669E-3</v>
      </c>
      <c r="L853" s="64"/>
      <c r="M853" s="64"/>
      <c r="N853" s="64"/>
      <c r="O853" s="64"/>
      <c r="P853" s="64"/>
      <c r="Q853" s="64"/>
      <c r="R853" s="64"/>
      <c r="S853" s="129"/>
      <c r="T853" s="105"/>
      <c r="U853" s="133"/>
      <c r="V853" s="133"/>
      <c r="W853" s="133"/>
      <c r="X853" s="133"/>
      <c r="Y853" s="133"/>
      <c r="Z853" s="134"/>
      <c r="AA853" s="6">
        <f t="shared" si="106"/>
        <v>0</v>
      </c>
    </row>
    <row r="854" spans="1:27" x14ac:dyDescent="0.3">
      <c r="A854" s="10"/>
      <c r="B854" s="10"/>
      <c r="C854" s="10"/>
      <c r="D854" s="10"/>
      <c r="E854" s="10"/>
      <c r="F854" s="41"/>
      <c r="G854" s="64"/>
      <c r="H854" s="64"/>
      <c r="I854" s="64"/>
      <c r="J854" s="64"/>
      <c r="K854" s="57">
        <f>c_SB</f>
        <v>1792</v>
      </c>
      <c r="L854" s="64"/>
      <c r="M854" s="64"/>
      <c r="N854" s="64"/>
      <c r="O854" s="64"/>
      <c r="P854" s="64"/>
      <c r="Q854" s="64"/>
      <c r="R854" s="64"/>
      <c r="S854" s="129"/>
      <c r="T854" s="105"/>
      <c r="U854" s="133"/>
      <c r="V854" s="133"/>
      <c r="W854" s="133"/>
      <c r="X854" s="133"/>
      <c r="Y854" s="133"/>
      <c r="Z854" s="134"/>
      <c r="AA854" s="6">
        <f t="shared" si="106"/>
        <v>0</v>
      </c>
    </row>
    <row r="855" spans="1:27" x14ac:dyDescent="0.3">
      <c r="A855" s="10"/>
      <c r="B855" s="10"/>
      <c r="C855" s="10"/>
      <c r="D855" s="10"/>
      <c r="E855" s="10"/>
      <c r="F855" s="41"/>
      <c r="G855" s="64"/>
      <c r="H855" s="64"/>
      <c r="I855" s="64"/>
      <c r="J855" s="64"/>
      <c r="K855" s="53"/>
      <c r="L855" s="53"/>
      <c r="M855" s="53"/>
      <c r="N855" s="53"/>
      <c r="O855" s="53"/>
      <c r="P855" s="53"/>
      <c r="Q855" s="53"/>
      <c r="R855" s="53"/>
      <c r="S855" s="129"/>
      <c r="T855" s="105"/>
      <c r="U855" s="133"/>
      <c r="V855" s="133"/>
      <c r="W855" s="133"/>
      <c r="X855" s="133"/>
      <c r="Y855" s="133"/>
      <c r="Z855" s="134"/>
      <c r="AA855" s="6">
        <f t="shared" si="106"/>
        <v>0</v>
      </c>
    </row>
    <row r="856" spans="1:27" x14ac:dyDescent="0.3">
      <c r="A856" s="10"/>
      <c r="B856" s="10"/>
      <c r="C856" s="10"/>
      <c r="D856" s="10"/>
      <c r="E856" s="10"/>
      <c r="F856" s="41"/>
      <c r="G856" s="64"/>
      <c r="H856" s="64"/>
      <c r="I856" s="64"/>
      <c r="J856" s="64"/>
      <c r="K856" s="53"/>
      <c r="L856" s="53"/>
      <c r="M856" s="53"/>
      <c r="N856" s="53"/>
      <c r="O856" s="53"/>
      <c r="P856" s="53"/>
      <c r="Q856" s="54" t="s">
        <v>368</v>
      </c>
      <c r="R856" s="54"/>
      <c r="S856" s="129"/>
      <c r="T856" s="105"/>
      <c r="U856" s="133">
        <f>$K$872*$I$861*$G$826*$E$754*$C$600*$A$555*$M$867*$O$862*Q857</f>
        <v>0</v>
      </c>
      <c r="V856" s="133">
        <v>0</v>
      </c>
      <c r="W856" s="134">
        <f>$K$873+$I$862+$G$827+$E$755+$C$601+$A$556+$M$868+$O$863+Q858</f>
        <v>93460.261450605642</v>
      </c>
      <c r="X856" s="133">
        <f>u_ChronicResp</f>
        <v>0.53465956747782661</v>
      </c>
      <c r="Y856" s="133"/>
      <c r="Z856" s="134">
        <f>U856*W856</f>
        <v>0</v>
      </c>
      <c r="AA856" s="6">
        <f t="shared" si="106"/>
        <v>0</v>
      </c>
    </row>
    <row r="857" spans="1:27" x14ac:dyDescent="0.3">
      <c r="A857" s="10"/>
      <c r="B857" s="10"/>
      <c r="C857" s="10"/>
      <c r="D857" s="10"/>
      <c r="E857" s="10"/>
      <c r="F857" s="41"/>
      <c r="G857" s="64"/>
      <c r="H857" s="64"/>
      <c r="I857" s="64"/>
      <c r="J857" s="64"/>
      <c r="K857" s="53"/>
      <c r="L857" s="53"/>
      <c r="M857" s="53"/>
      <c r="N857" s="53"/>
      <c r="O857" s="64"/>
      <c r="P857" s="64"/>
      <c r="Q857" s="56">
        <f>RDS2CLD_2-(Hypo2CI_2*RDS2CLD_2)</f>
        <v>0.34246866666666664</v>
      </c>
      <c r="R857" s="56"/>
      <c r="S857" s="129"/>
      <c r="T857" s="105"/>
      <c r="U857" s="133"/>
      <c r="V857" s="133"/>
      <c r="W857" s="133"/>
      <c r="X857" s="133"/>
      <c r="Y857" s="133"/>
      <c r="Z857" s="134"/>
      <c r="AA857" s="6">
        <f t="shared" si="106"/>
        <v>0</v>
      </c>
    </row>
    <row r="858" spans="1:27" x14ac:dyDescent="0.3">
      <c r="A858" s="10"/>
      <c r="B858" s="10"/>
      <c r="C858" s="10"/>
      <c r="D858" s="10"/>
      <c r="E858" s="10"/>
      <c r="F858" s="41"/>
      <c r="G858" s="64"/>
      <c r="H858" s="64"/>
      <c r="I858" s="64"/>
      <c r="J858" s="64"/>
      <c r="K858" s="53"/>
      <c r="L858" s="53"/>
      <c r="M858" s="53"/>
      <c r="N858" s="53"/>
      <c r="O858" s="64"/>
      <c r="P858" s="64"/>
      <c r="Q858" s="57">
        <f>c_lung+c_hosp_fu+c_CSG</f>
        <v>54529.510902399998</v>
      </c>
      <c r="R858" s="57"/>
      <c r="S858" s="129"/>
      <c r="T858" s="105"/>
      <c r="U858" s="133"/>
      <c r="V858" s="133"/>
      <c r="W858" s="133"/>
      <c r="X858" s="133"/>
      <c r="Y858" s="133"/>
      <c r="Z858" s="134"/>
      <c r="AA858" s="6">
        <f t="shared" si="106"/>
        <v>0</v>
      </c>
    </row>
    <row r="859" spans="1:27" x14ac:dyDescent="0.3">
      <c r="A859" s="10"/>
      <c r="B859" s="10"/>
      <c r="C859" s="10"/>
      <c r="D859" s="10"/>
      <c r="E859" s="10"/>
      <c r="F859" s="41"/>
      <c r="G859" s="64"/>
      <c r="H859" s="64"/>
      <c r="I859" s="64"/>
      <c r="J859" s="64"/>
      <c r="K859" s="53"/>
      <c r="L859" s="53"/>
      <c r="M859" s="53"/>
      <c r="N859" s="53"/>
      <c r="O859" s="64"/>
      <c r="P859" s="64"/>
      <c r="Q859" s="54" t="s">
        <v>226</v>
      </c>
      <c r="R859" s="54"/>
      <c r="S859" s="129"/>
      <c r="T859" s="105"/>
      <c r="U859" s="133">
        <f>$K$872*$I$861*$G$826*$E$754*$C$600*$A$555*$M$867*$O$862*Q860</f>
        <v>0</v>
      </c>
      <c r="V859" s="133">
        <v>0</v>
      </c>
      <c r="W859" s="134">
        <f>$K$873+$I$862+$G$827+$E$755+$C$601+$A$556+$M$868+$O$863+Q861</f>
        <v>54696.750548205637</v>
      </c>
      <c r="X859" s="133">
        <f>u_CongnitiveImpairement</f>
        <v>17.270393127285455</v>
      </c>
      <c r="Y859" s="133"/>
      <c r="Z859" s="134">
        <f>U859*W859</f>
        <v>0</v>
      </c>
      <c r="AA859" s="6">
        <f t="shared" si="106"/>
        <v>0</v>
      </c>
    </row>
    <row r="860" spans="1:27" x14ac:dyDescent="0.3">
      <c r="A860" s="10"/>
      <c r="B860" s="10"/>
      <c r="C860" s="10"/>
      <c r="D860" s="10"/>
      <c r="E860" s="10"/>
      <c r="F860" s="41"/>
      <c r="G860" s="64"/>
      <c r="H860" s="64"/>
      <c r="I860" s="54" t="s">
        <v>425</v>
      </c>
      <c r="J860" s="64"/>
      <c r="K860" s="64"/>
      <c r="L860" s="64"/>
      <c r="M860" s="64"/>
      <c r="N860" s="64"/>
      <c r="O860" s="64"/>
      <c r="P860" s="64"/>
      <c r="Q860" s="56">
        <f>Hypo2CI_2-(Hypo2CI_2*RDS2CLD_2)</f>
        <v>3.2801999999999998E-2</v>
      </c>
      <c r="R860" s="56"/>
      <c r="S860" s="129"/>
      <c r="T860" s="105"/>
      <c r="U860" s="133"/>
      <c r="V860" s="133"/>
      <c r="W860" s="133"/>
      <c r="X860" s="133"/>
      <c r="Y860" s="133"/>
      <c r="Z860" s="134"/>
      <c r="AA860" s="6">
        <f t="shared" si="106"/>
        <v>0</v>
      </c>
    </row>
    <row r="861" spans="1:27" x14ac:dyDescent="0.3">
      <c r="A861" s="10"/>
      <c r="B861" s="10"/>
      <c r="C861" s="10"/>
      <c r="D861" s="10"/>
      <c r="E861" s="10"/>
      <c r="F861" s="41"/>
      <c r="G861" s="64"/>
      <c r="H861" s="64"/>
      <c r="I861" s="56">
        <f>NBW_term_2AGA_2</f>
        <v>0.82903924139402996</v>
      </c>
      <c r="J861" s="64"/>
      <c r="K861" s="64"/>
      <c r="L861" s="64"/>
      <c r="M861" s="64"/>
      <c r="N861" s="64"/>
      <c r="O861" s="54" t="s">
        <v>161</v>
      </c>
      <c r="P861" s="64"/>
      <c r="Q861" s="57">
        <f>c_cog+c_hosp_fu+c_CSG</f>
        <v>15766</v>
      </c>
      <c r="R861" s="57"/>
      <c r="S861" s="129"/>
      <c r="T861" s="105"/>
      <c r="U861" s="133"/>
      <c r="V861" s="133"/>
      <c r="W861" s="133"/>
      <c r="X861" s="133"/>
      <c r="Y861" s="133"/>
      <c r="Z861" s="134"/>
      <c r="AA861" s="6">
        <f t="shared" si="106"/>
        <v>0</v>
      </c>
    </row>
    <row r="862" spans="1:27" x14ac:dyDescent="0.3">
      <c r="A862" s="10"/>
      <c r="B862" s="10"/>
      <c r="C862" s="10"/>
      <c r="D862" s="10"/>
      <c r="E862" s="10"/>
      <c r="F862" s="41"/>
      <c r="G862" s="64"/>
      <c r="H862" s="64"/>
      <c r="I862" s="57"/>
      <c r="J862" s="64"/>
      <c r="K862" s="64"/>
      <c r="L862" s="64"/>
      <c r="M862" s="64"/>
      <c r="N862" s="64"/>
      <c r="O862" s="56">
        <f>AGA_term_2hypoglycaemia_2</f>
        <v>0</v>
      </c>
      <c r="P862" s="64"/>
      <c r="Q862" s="54" t="s">
        <v>369</v>
      </c>
      <c r="R862" s="54"/>
      <c r="S862" s="129"/>
      <c r="T862" s="105"/>
      <c r="U862" s="133">
        <f>$K$872*$I$861*$G$826*$E$754*$C$600*$A$555*$M$867*$O$862*Q863</f>
        <v>0</v>
      </c>
      <c r="V862" s="133">
        <v>0</v>
      </c>
      <c r="W862" s="134">
        <f>$K$873+$I$862+$G$827+$E$755+$C$601+$A$556+$M$868+$O$863+Q864</f>
        <v>97279.261450605642</v>
      </c>
      <c r="X862" s="133">
        <f>u_ChronicResp+u_CongnitiveImpairement</f>
        <v>17.805052694763283</v>
      </c>
      <c r="Y862" s="133"/>
      <c r="Z862" s="134">
        <f>U862*W862</f>
        <v>0</v>
      </c>
      <c r="AA862" s="6">
        <f t="shared" si="106"/>
        <v>0</v>
      </c>
    </row>
    <row r="863" spans="1:27" x14ac:dyDescent="0.3">
      <c r="A863" s="10"/>
      <c r="B863" s="10"/>
      <c r="C863" s="10"/>
      <c r="D863" s="10"/>
      <c r="E863" s="10"/>
      <c r="F863" s="41"/>
      <c r="G863" s="64"/>
      <c r="H863" s="64"/>
      <c r="I863" s="64"/>
      <c r="J863" s="64"/>
      <c r="K863" s="64"/>
      <c r="L863" s="64"/>
      <c r="M863" s="64"/>
      <c r="N863" s="64"/>
      <c r="O863" s="57">
        <f>c_hypo</f>
        <v>2936.2604000000001</v>
      </c>
      <c r="P863" s="64"/>
      <c r="Q863" s="56">
        <f>Hypo2CI_2*RDS2CLD_2</f>
        <v>1.8531333333333334E-2</v>
      </c>
      <c r="R863" s="56"/>
      <c r="S863" s="129"/>
      <c r="T863" s="105"/>
      <c r="U863" s="133"/>
      <c r="V863" s="133"/>
      <c r="W863" s="133"/>
      <c r="X863" s="133"/>
      <c r="Y863" s="133"/>
      <c r="Z863" s="134"/>
      <c r="AA863" s="6">
        <f t="shared" si="106"/>
        <v>0</v>
      </c>
    </row>
    <row r="864" spans="1:27" x14ac:dyDescent="0.3">
      <c r="A864" s="10"/>
      <c r="B864" s="10"/>
      <c r="C864" s="10"/>
      <c r="D864" s="10"/>
      <c r="E864" s="10"/>
      <c r="F864" s="41"/>
      <c r="G864" s="64"/>
      <c r="H864" s="64"/>
      <c r="I864" s="64"/>
      <c r="J864" s="64"/>
      <c r="K864" s="64"/>
      <c r="L864" s="64"/>
      <c r="M864" s="65"/>
      <c r="N864" s="64"/>
      <c r="O864" s="53"/>
      <c r="P864" s="64"/>
      <c r="Q864" s="57">
        <f>c_lung+c_cog+c_hosp_fu+c_CSG</f>
        <v>58348.510902399998</v>
      </c>
      <c r="R864" s="57"/>
      <c r="S864" s="129"/>
      <c r="T864" s="105"/>
      <c r="U864" s="133"/>
      <c r="V864" s="133"/>
      <c r="W864" s="133"/>
      <c r="X864" s="133"/>
      <c r="Y864" s="133"/>
      <c r="Z864" s="134"/>
      <c r="AA864" s="6">
        <f t="shared" si="106"/>
        <v>0</v>
      </c>
    </row>
    <row r="865" spans="1:27" x14ac:dyDescent="0.3">
      <c r="A865" s="10"/>
      <c r="B865" s="10"/>
      <c r="C865" s="10"/>
      <c r="D865" s="10"/>
      <c r="E865" s="10"/>
      <c r="F865" s="41"/>
      <c r="G865" s="64"/>
      <c r="H865" s="64"/>
      <c r="I865" s="64"/>
      <c r="J865" s="64"/>
      <c r="K865" s="64"/>
      <c r="L865" s="64"/>
      <c r="M865" s="64"/>
      <c r="N865" s="64"/>
      <c r="O865" s="64"/>
      <c r="P865" s="64"/>
      <c r="Q865" s="54" t="s">
        <v>370</v>
      </c>
      <c r="R865" s="54"/>
      <c r="S865" s="129"/>
      <c r="T865" s="105"/>
      <c r="U865" s="133">
        <f>$K$872*$I$861*$G$826*$E$754*$C$600*$A$555*$M$867*$O$862*Q866</f>
        <v>0</v>
      </c>
      <c r="V865" s="133">
        <v>0</v>
      </c>
      <c r="W865" s="134">
        <f>$K$873+$I$862+$G$827+$E$755+$C$601+$A$556+$M$868+$O$863+Q867</f>
        <v>53333.750548205637</v>
      </c>
      <c r="X865" s="133">
        <f>u_Healthy</f>
        <v>0</v>
      </c>
      <c r="Y865" s="133"/>
      <c r="Z865" s="134">
        <f>U865*W865</f>
        <v>0</v>
      </c>
      <c r="AA865" s="6">
        <f t="shared" si="106"/>
        <v>0</v>
      </c>
    </row>
    <row r="866" spans="1:27" x14ac:dyDescent="0.3">
      <c r="A866" s="10"/>
      <c r="B866" s="10"/>
      <c r="C866" s="10"/>
      <c r="D866" s="10"/>
      <c r="E866" s="10"/>
      <c r="F866" s="41"/>
      <c r="G866" s="64"/>
      <c r="H866" s="64"/>
      <c r="I866" s="64"/>
      <c r="J866" s="64"/>
      <c r="K866" s="64"/>
      <c r="L866" s="64"/>
      <c r="M866" s="54" t="s">
        <v>9</v>
      </c>
      <c r="N866" s="64"/>
      <c r="O866" s="64"/>
      <c r="P866" s="64"/>
      <c r="Q866" s="56">
        <f>1-Q857-Q860-Q863</f>
        <v>0.60619800000000001</v>
      </c>
      <c r="R866" s="56"/>
      <c r="S866" s="129"/>
      <c r="T866" s="105"/>
      <c r="U866" s="133"/>
      <c r="V866" s="133"/>
      <c r="W866" s="133"/>
      <c r="X866" s="133"/>
      <c r="Y866" s="133"/>
      <c r="Z866" s="134"/>
      <c r="AA866" s="6">
        <f t="shared" si="106"/>
        <v>0</v>
      </c>
    </row>
    <row r="867" spans="1:27" x14ac:dyDescent="0.3">
      <c r="A867" s="10"/>
      <c r="B867" s="10"/>
      <c r="C867" s="10"/>
      <c r="D867" s="10"/>
      <c r="E867" s="10"/>
      <c r="F867" s="41"/>
      <c r="G867" s="64"/>
      <c r="H867" s="64"/>
      <c r="I867" s="64"/>
      <c r="J867" s="64"/>
      <c r="K867" s="65"/>
      <c r="L867" s="64"/>
      <c r="M867" s="56">
        <f>S_term_2RDS_2</f>
        <v>0</v>
      </c>
      <c r="N867" s="64"/>
      <c r="O867" s="64"/>
      <c r="P867" s="64"/>
      <c r="Q867" s="57">
        <f>c_clinic_fu+c_CSG</f>
        <v>14403</v>
      </c>
      <c r="R867" s="57"/>
      <c r="S867" s="129"/>
      <c r="T867" s="105"/>
      <c r="U867" s="133"/>
      <c r="V867" s="133"/>
      <c r="W867" s="133"/>
      <c r="X867" s="133"/>
      <c r="Y867" s="133"/>
      <c r="Z867" s="134"/>
      <c r="AA867" s="6">
        <f t="shared" si="106"/>
        <v>0</v>
      </c>
    </row>
    <row r="868" spans="1:27" x14ac:dyDescent="0.3">
      <c r="A868" s="10"/>
      <c r="B868" s="10"/>
      <c r="C868" s="10"/>
      <c r="D868" s="10"/>
      <c r="E868" s="10"/>
      <c r="F868" s="41"/>
      <c r="G868" s="64"/>
      <c r="H868" s="64"/>
      <c r="I868" s="64"/>
      <c r="J868" s="64"/>
      <c r="K868" s="65"/>
      <c r="L868" s="64"/>
      <c r="M868" s="57">
        <f>c_RDS</f>
        <v>30595.610148205637</v>
      </c>
      <c r="N868" s="64"/>
      <c r="O868" s="64"/>
      <c r="P868" s="64"/>
      <c r="Q868" s="65"/>
      <c r="R868" s="65"/>
      <c r="S868" s="129"/>
      <c r="T868" s="105"/>
      <c r="U868" s="133"/>
      <c r="V868" s="133"/>
      <c r="W868" s="133"/>
      <c r="X868" s="133"/>
      <c r="Y868" s="133"/>
      <c r="Z868" s="134"/>
      <c r="AA868" s="6">
        <f t="shared" si="106"/>
        <v>0</v>
      </c>
    </row>
    <row r="869" spans="1:27" x14ac:dyDescent="0.3">
      <c r="A869" s="10"/>
      <c r="B869" s="10"/>
      <c r="C869" s="10"/>
      <c r="D869" s="10"/>
      <c r="E869" s="10"/>
      <c r="F869" s="41"/>
      <c r="G869" s="64"/>
      <c r="H869" s="64"/>
      <c r="I869" s="64"/>
      <c r="J869" s="64"/>
      <c r="K869" s="64"/>
      <c r="L869" s="64"/>
      <c r="M869" s="64"/>
      <c r="N869" s="64"/>
      <c r="O869" s="64"/>
      <c r="P869" s="64"/>
      <c r="Q869" s="54" t="s">
        <v>368</v>
      </c>
      <c r="R869" s="54"/>
      <c r="S869" s="129"/>
      <c r="T869" s="105"/>
      <c r="U869" s="133">
        <f>$K$872*$I$861*$G$826*$E$754*$C$600*$A$555*$M$867*$O$872*Q870</f>
        <v>0</v>
      </c>
      <c r="V869" s="133">
        <v>0</v>
      </c>
      <c r="W869" s="134">
        <f>$K$873+$I$862+$G$827+$E$755+$C$601+$A$556+$M$868+$O$873+Q871</f>
        <v>90524.001050605642</v>
      </c>
      <c r="X869" s="133">
        <f>u_ChronicResp</f>
        <v>0.53465956747782661</v>
      </c>
      <c r="Y869" s="133"/>
      <c r="Z869" s="134">
        <f>U869*W869</f>
        <v>0</v>
      </c>
      <c r="AA869" s="6">
        <f t="shared" si="106"/>
        <v>0</v>
      </c>
    </row>
    <row r="870" spans="1:27" x14ac:dyDescent="0.3">
      <c r="A870" s="10"/>
      <c r="B870" s="10"/>
      <c r="C870" s="10"/>
      <c r="D870" s="10"/>
      <c r="E870" s="10"/>
      <c r="F870" s="41"/>
      <c r="G870" s="64"/>
      <c r="H870" s="64"/>
      <c r="I870" s="64"/>
      <c r="J870" s="64"/>
      <c r="K870" s="64"/>
      <c r="L870" s="64"/>
      <c r="M870" s="64"/>
      <c r="N870" s="64"/>
      <c r="O870" s="64"/>
      <c r="P870" s="64"/>
      <c r="Q870" s="56">
        <f>RDS2CLD_2-(RDS2CLD_2*noHypo2CI_2)</f>
        <v>0.34905610687022898</v>
      </c>
      <c r="R870" s="56"/>
      <c r="S870" s="129"/>
      <c r="T870" s="105"/>
      <c r="U870" s="133"/>
      <c r="V870" s="133"/>
      <c r="W870" s="133"/>
      <c r="X870" s="133"/>
      <c r="Y870" s="133"/>
      <c r="Z870" s="134"/>
      <c r="AA870" s="6">
        <f t="shared" si="106"/>
        <v>0</v>
      </c>
    </row>
    <row r="871" spans="1:27" x14ac:dyDescent="0.3">
      <c r="A871" s="10"/>
      <c r="B871" s="10"/>
      <c r="C871" s="10"/>
      <c r="D871" s="10"/>
      <c r="E871" s="10"/>
      <c r="F871" s="41"/>
      <c r="G871" s="64"/>
      <c r="H871" s="64"/>
      <c r="I871" s="64"/>
      <c r="J871" s="64"/>
      <c r="K871" s="54" t="s">
        <v>37</v>
      </c>
      <c r="L871" s="64"/>
      <c r="M871" s="65"/>
      <c r="N871" s="64"/>
      <c r="O871" s="54" t="s">
        <v>371</v>
      </c>
      <c r="P871" s="64"/>
      <c r="Q871" s="57">
        <f>c_lung+c_hosp_fu+c_CSG</f>
        <v>54529.510902399998</v>
      </c>
      <c r="R871" s="57"/>
      <c r="S871" s="129"/>
      <c r="T871" s="105"/>
      <c r="U871" s="133"/>
      <c r="V871" s="133"/>
      <c r="W871" s="133"/>
      <c r="X871" s="133"/>
      <c r="Y871" s="133"/>
      <c r="Z871" s="134"/>
      <c r="AA871" s="6">
        <f t="shared" si="106"/>
        <v>0</v>
      </c>
    </row>
    <row r="872" spans="1:27" x14ac:dyDescent="0.3">
      <c r="A872" s="10"/>
      <c r="B872" s="10"/>
      <c r="C872" s="10"/>
      <c r="D872" s="10"/>
      <c r="E872" s="10"/>
      <c r="F872" s="41"/>
      <c r="G872" s="64"/>
      <c r="H872" s="64"/>
      <c r="I872" s="64"/>
      <c r="J872" s="64"/>
      <c r="K872" s="56">
        <f>AGA_term_2s_2</f>
        <v>0.99445233333333338</v>
      </c>
      <c r="L872" s="64"/>
      <c r="M872" s="64"/>
      <c r="N872" s="64"/>
      <c r="O872" s="56">
        <f>AGA_term_2normoglycaemia_2</f>
        <v>1</v>
      </c>
      <c r="P872" s="64"/>
      <c r="Q872" s="54" t="s">
        <v>226</v>
      </c>
      <c r="R872" s="54"/>
      <c r="S872" s="129"/>
      <c r="T872" s="105"/>
      <c r="U872" s="133">
        <f>$K$872*$I$861*$G$826*$E$754*$C$600*$A$555*$M$867*$O$872*Q873</f>
        <v>0</v>
      </c>
      <c r="V872" s="133">
        <v>0</v>
      </c>
      <c r="W872" s="134">
        <f>$K$873+$I$862+$G$827+$E$755+$C$601+$A$556+$M$868+$O$873+Q874</f>
        <v>51760.490148205638</v>
      </c>
      <c r="X872" s="133">
        <f>u_CongnitiveImpairement</f>
        <v>17.270393127285455</v>
      </c>
      <c r="Y872" s="133"/>
      <c r="Z872" s="134">
        <f>U872*W872</f>
        <v>0</v>
      </c>
      <c r="AA872" s="6">
        <f t="shared" ref="AA872:AA907" si="107">U872*X872</f>
        <v>0</v>
      </c>
    </row>
    <row r="873" spans="1:27" x14ac:dyDescent="0.3">
      <c r="A873" s="10"/>
      <c r="B873" s="10"/>
      <c r="C873" s="10"/>
      <c r="D873" s="10"/>
      <c r="E873" s="10"/>
      <c r="F873" s="41"/>
      <c r="G873" s="64"/>
      <c r="H873" s="64"/>
      <c r="I873" s="64"/>
      <c r="J873" s="64"/>
      <c r="K873" s="57"/>
      <c r="L873" s="64"/>
      <c r="M873" s="64"/>
      <c r="N873" s="64"/>
      <c r="O873" s="57"/>
      <c r="P873" s="64"/>
      <c r="Q873" s="56">
        <f>noHypo2CI_2-(RDS2CLD_2*noHypo2CI_2)</f>
        <v>2.1141683406990762E-2</v>
      </c>
      <c r="R873" s="56"/>
      <c r="S873" s="129"/>
      <c r="T873" s="105"/>
      <c r="U873" s="133"/>
      <c r="V873" s="133"/>
      <c r="W873" s="133"/>
      <c r="X873" s="133"/>
      <c r="Y873" s="133"/>
      <c r="Z873" s="134"/>
      <c r="AA873" s="6">
        <f t="shared" si="107"/>
        <v>0</v>
      </c>
    </row>
    <row r="874" spans="1:27" x14ac:dyDescent="0.3">
      <c r="A874" s="10"/>
      <c r="B874" s="10"/>
      <c r="C874" s="10"/>
      <c r="D874" s="10"/>
      <c r="E874" s="10"/>
      <c r="F874" s="41"/>
      <c r="G874" s="64"/>
      <c r="H874" s="64"/>
      <c r="I874" s="64"/>
      <c r="J874" s="64"/>
      <c r="K874" s="64"/>
      <c r="L874" s="64"/>
      <c r="M874" s="64"/>
      <c r="N874" s="64"/>
      <c r="O874" s="53"/>
      <c r="P874" s="64"/>
      <c r="Q874" s="57">
        <f>c_cog+c_hosp_fu+c_CSG</f>
        <v>15766</v>
      </c>
      <c r="R874" s="57"/>
      <c r="S874" s="129"/>
      <c r="T874" s="105"/>
      <c r="U874" s="133"/>
      <c r="V874" s="133"/>
      <c r="W874" s="133"/>
      <c r="X874" s="133"/>
      <c r="Y874" s="133"/>
      <c r="Z874" s="134"/>
      <c r="AA874" s="6">
        <f t="shared" si="107"/>
        <v>0</v>
      </c>
    </row>
    <row r="875" spans="1:27" x14ac:dyDescent="0.3">
      <c r="A875" s="10"/>
      <c r="B875" s="10"/>
      <c r="C875" s="10"/>
      <c r="D875" s="10"/>
      <c r="E875" s="10"/>
      <c r="F875" s="41"/>
      <c r="G875" s="64"/>
      <c r="H875" s="64"/>
      <c r="I875" s="64"/>
      <c r="J875" s="64"/>
      <c r="K875" s="64"/>
      <c r="L875" s="64"/>
      <c r="M875" s="64"/>
      <c r="N875" s="64"/>
      <c r="O875" s="53"/>
      <c r="P875" s="64"/>
      <c r="Q875" s="54" t="s">
        <v>369</v>
      </c>
      <c r="R875" s="54"/>
      <c r="S875" s="129"/>
      <c r="T875" s="105"/>
      <c r="U875" s="133">
        <f>$K$872*$I$861*$G$826*$E$754*$C$600*$A$555*$M$867*$O$872*Q876</f>
        <v>0</v>
      </c>
      <c r="V875" s="133">
        <v>0</v>
      </c>
      <c r="W875" s="134">
        <f>$K$873+$I$862+$G$827+$E$755+$C$601+$A$556+$M$868+$O$873+Q877</f>
        <v>94343.001050605642</v>
      </c>
      <c r="X875" s="133">
        <f>u_ChronicResp+u_CongnitiveImpairement</f>
        <v>17.805052694763283</v>
      </c>
      <c r="Y875" s="133"/>
      <c r="Z875" s="134">
        <f>U875*W875</f>
        <v>0</v>
      </c>
      <c r="AA875" s="6">
        <f t="shared" si="107"/>
        <v>0</v>
      </c>
    </row>
    <row r="876" spans="1:27" x14ac:dyDescent="0.3">
      <c r="A876" s="10"/>
      <c r="B876" s="10"/>
      <c r="C876" s="10"/>
      <c r="D876" s="10"/>
      <c r="E876" s="10"/>
      <c r="F876" s="41"/>
      <c r="G876" s="64"/>
      <c r="H876" s="64"/>
      <c r="I876" s="64"/>
      <c r="J876" s="64"/>
      <c r="K876" s="64"/>
      <c r="L876" s="64"/>
      <c r="M876" s="64"/>
      <c r="N876" s="64"/>
      <c r="O876" s="53"/>
      <c r="P876" s="64"/>
      <c r="Q876" s="56">
        <f>RDS2CLD_2*noHypo2CI_2</f>
        <v>1.1943893129770991E-2</v>
      </c>
      <c r="R876" s="56"/>
      <c r="S876" s="129"/>
      <c r="T876" s="105"/>
      <c r="U876" s="133"/>
      <c r="V876" s="133"/>
      <c r="W876" s="133"/>
      <c r="X876" s="133"/>
      <c r="Y876" s="133"/>
      <c r="Z876" s="134"/>
      <c r="AA876" s="6">
        <f t="shared" si="107"/>
        <v>0</v>
      </c>
    </row>
    <row r="877" spans="1:27" x14ac:dyDescent="0.3">
      <c r="A877" s="10"/>
      <c r="B877" s="10"/>
      <c r="C877" s="110"/>
      <c r="D877" s="10"/>
      <c r="E877" s="10"/>
      <c r="F877" s="41"/>
      <c r="G877" s="64"/>
      <c r="H877" s="64"/>
      <c r="I877" s="64"/>
      <c r="J877" s="64"/>
      <c r="K877" s="64"/>
      <c r="L877" s="64"/>
      <c r="M877" s="64"/>
      <c r="N877" s="64"/>
      <c r="O877" s="53"/>
      <c r="P877" s="64"/>
      <c r="Q877" s="57">
        <f>c_cog+c_lung+c_hosp_fu+c_CSG</f>
        <v>58348.510902399998</v>
      </c>
      <c r="R877" s="57"/>
      <c r="S877" s="129"/>
      <c r="T877" s="105"/>
      <c r="U877" s="133"/>
      <c r="V877" s="133"/>
      <c r="W877" s="133"/>
      <c r="X877" s="133"/>
      <c r="Y877" s="133"/>
      <c r="Z877" s="134"/>
      <c r="AA877" s="6">
        <f t="shared" si="107"/>
        <v>0</v>
      </c>
    </row>
    <row r="878" spans="1:27" x14ac:dyDescent="0.3">
      <c r="A878" s="10"/>
      <c r="B878" s="10"/>
      <c r="C878" s="110"/>
      <c r="D878" s="10"/>
      <c r="E878" s="10"/>
      <c r="F878" s="41"/>
      <c r="G878" s="64"/>
      <c r="H878" s="64"/>
      <c r="I878" s="64"/>
      <c r="J878" s="64"/>
      <c r="K878" s="64"/>
      <c r="L878" s="64"/>
      <c r="M878" s="64"/>
      <c r="N878" s="64"/>
      <c r="O878" s="53"/>
      <c r="P878" s="64"/>
      <c r="Q878" s="54" t="s">
        <v>370</v>
      </c>
      <c r="R878" s="54"/>
      <c r="S878" s="129"/>
      <c r="T878" s="105"/>
      <c r="U878" s="133">
        <f>$K$872*$I$861*$G$826*$E$754*$C$600*$A$555*$M$867*$O$872*Q879</f>
        <v>0</v>
      </c>
      <c r="V878" s="133">
        <v>0</v>
      </c>
      <c r="W878" s="134">
        <f>$K$873+$I$862+$G$827+$E$755+$C$601+$A$556+$M$868+$O$873+Q880</f>
        <v>50397.490148205638</v>
      </c>
      <c r="X878" s="133">
        <f>u_Healthy</f>
        <v>0</v>
      </c>
      <c r="Y878" s="133"/>
      <c r="Z878" s="134">
        <f>U878*W878</f>
        <v>0</v>
      </c>
      <c r="AA878" s="6">
        <f t="shared" si="107"/>
        <v>0</v>
      </c>
    </row>
    <row r="879" spans="1:27" x14ac:dyDescent="0.3">
      <c r="A879" s="10"/>
      <c r="B879" s="10"/>
      <c r="C879" s="116"/>
      <c r="D879" s="10"/>
      <c r="E879" s="10"/>
      <c r="F879" s="41"/>
      <c r="G879" s="64"/>
      <c r="H879" s="64"/>
      <c r="I879" s="64"/>
      <c r="J879" s="64"/>
      <c r="K879" s="64"/>
      <c r="L879" s="64"/>
      <c r="M879" s="64"/>
      <c r="N879" s="64"/>
      <c r="O879" s="53"/>
      <c r="P879" s="64"/>
      <c r="Q879" s="56">
        <f>1-Q876-Q873-Q870</f>
        <v>0.61785831659300938</v>
      </c>
      <c r="R879" s="56"/>
      <c r="T879" s="105"/>
      <c r="U879" s="133"/>
      <c r="V879" s="133"/>
      <c r="W879" s="133"/>
      <c r="X879" s="133"/>
      <c r="Y879" s="133"/>
      <c r="Z879" s="134"/>
      <c r="AA879" s="6">
        <f t="shared" si="107"/>
        <v>0</v>
      </c>
    </row>
    <row r="880" spans="1:27" x14ac:dyDescent="0.3">
      <c r="A880" s="10"/>
      <c r="B880" s="10"/>
      <c r="C880" s="10"/>
      <c r="D880" s="10"/>
      <c r="E880" s="10"/>
      <c r="F880" s="41"/>
      <c r="G880" s="64"/>
      <c r="H880" s="64"/>
      <c r="I880" s="64"/>
      <c r="J880" s="64"/>
      <c r="K880" s="64"/>
      <c r="L880" s="64"/>
      <c r="M880" s="64"/>
      <c r="N880" s="64"/>
      <c r="O880" s="64"/>
      <c r="P880" s="64"/>
      <c r="Q880" s="57">
        <f>c_clinic_fu+c_CSG</f>
        <v>14403</v>
      </c>
      <c r="R880" s="57"/>
      <c r="S880" s="129"/>
      <c r="T880" s="105"/>
      <c r="U880" s="133"/>
      <c r="V880" s="133"/>
      <c r="W880" s="133"/>
      <c r="X880" s="133"/>
      <c r="Y880" s="133"/>
      <c r="Z880" s="134"/>
      <c r="AA880" s="6">
        <f t="shared" si="107"/>
        <v>0</v>
      </c>
    </row>
    <row r="881" spans="1:27" x14ac:dyDescent="0.3">
      <c r="A881" s="10"/>
      <c r="B881" s="10"/>
      <c r="C881" s="10"/>
      <c r="D881" s="10"/>
      <c r="E881" s="10"/>
      <c r="F881" s="41"/>
      <c r="G881" s="64"/>
      <c r="H881" s="64"/>
      <c r="I881" s="64"/>
      <c r="J881" s="64"/>
      <c r="K881" s="64"/>
      <c r="L881" s="64"/>
      <c r="M881" s="64"/>
      <c r="N881" s="64"/>
      <c r="O881" s="64"/>
      <c r="P881" s="64"/>
      <c r="Q881" s="65"/>
      <c r="R881" s="65"/>
      <c r="S881" s="129"/>
      <c r="T881" s="105"/>
      <c r="U881" s="133"/>
      <c r="V881" s="133"/>
      <c r="W881" s="133"/>
      <c r="X881" s="133"/>
      <c r="Y881" s="133"/>
      <c r="Z881" s="134"/>
      <c r="AA881" s="6">
        <f t="shared" si="107"/>
        <v>0</v>
      </c>
    </row>
    <row r="882" spans="1:27" x14ac:dyDescent="0.3">
      <c r="A882" s="10"/>
      <c r="B882" s="10"/>
      <c r="C882" s="10"/>
      <c r="D882" s="10"/>
      <c r="E882" s="10"/>
      <c r="F882" s="41"/>
      <c r="G882" s="53"/>
      <c r="H882" s="64"/>
      <c r="I882" s="64"/>
      <c r="J882" s="64"/>
      <c r="K882" s="64"/>
      <c r="L882" s="64"/>
      <c r="M882" s="64"/>
      <c r="N882" s="64"/>
      <c r="O882" s="64"/>
      <c r="P882" s="64"/>
      <c r="Q882" s="54" t="s">
        <v>368</v>
      </c>
      <c r="R882" s="54"/>
      <c r="S882" s="129"/>
      <c r="T882" s="105"/>
      <c r="U882" s="133">
        <f>$K$872*$I$861*$G$826*$E$754*$C$600*$A$555*$M$887*$O$885*Q883</f>
        <v>0</v>
      </c>
      <c r="V882" s="133">
        <v>0</v>
      </c>
      <c r="W882" s="134">
        <f>$K$873+$I$862+$G$827+$E$755+$C$601+$A$556+$M$888+$O$886+Q884</f>
        <v>62864.651302400001</v>
      </c>
      <c r="X882" s="133">
        <f>u_ChronicResp</f>
        <v>0.53465956747782661</v>
      </c>
      <c r="Y882" s="133"/>
      <c r="Z882" s="134">
        <f>U882*W882</f>
        <v>0</v>
      </c>
      <c r="AA882" s="6">
        <f t="shared" si="107"/>
        <v>0</v>
      </c>
    </row>
    <row r="883" spans="1:27" x14ac:dyDescent="0.3">
      <c r="A883" s="10"/>
      <c r="B883" s="10"/>
      <c r="C883" s="10"/>
      <c r="D883" s="10"/>
      <c r="E883" s="10"/>
      <c r="F883" s="41"/>
      <c r="G883" s="64"/>
      <c r="H883" s="64"/>
      <c r="I883" s="64"/>
      <c r="J883" s="64"/>
      <c r="K883" s="64"/>
      <c r="L883" s="64"/>
      <c r="M883" s="64"/>
      <c r="N883" s="64"/>
      <c r="O883" s="64"/>
      <c r="P883" s="64"/>
      <c r="Q883" s="56">
        <f>RDS2CLD_2-(Hypo2CI_2*RDS2CLD_2)</f>
        <v>0.34246866666666664</v>
      </c>
      <c r="R883" s="56"/>
      <c r="S883" s="129"/>
      <c r="T883" s="105"/>
      <c r="U883" s="133"/>
      <c r="V883" s="133"/>
      <c r="W883" s="133"/>
      <c r="X883" s="133"/>
      <c r="Y883" s="133"/>
      <c r="Z883" s="134"/>
      <c r="AA883" s="6">
        <f t="shared" si="107"/>
        <v>0</v>
      </c>
    </row>
    <row r="884" spans="1:27" x14ac:dyDescent="0.3">
      <c r="A884" s="10"/>
      <c r="B884" s="10"/>
      <c r="C884" s="10"/>
      <c r="D884" s="10"/>
      <c r="E884" s="10"/>
      <c r="F884" s="41"/>
      <c r="G884" s="64"/>
      <c r="H884" s="64"/>
      <c r="I884" s="64"/>
      <c r="J884" s="64"/>
      <c r="K884" s="64"/>
      <c r="L884" s="64"/>
      <c r="M884" s="64"/>
      <c r="N884" s="64"/>
      <c r="O884" s="54" t="s">
        <v>161</v>
      </c>
      <c r="P884" s="64"/>
      <c r="Q884" s="57">
        <f>c_lung+c_hosp_fu+c_CSG</f>
        <v>54529.510902399998</v>
      </c>
      <c r="R884" s="57"/>
      <c r="S884" s="129"/>
      <c r="T884" s="105"/>
      <c r="U884" s="133"/>
      <c r="V884" s="133"/>
      <c r="W884" s="133"/>
      <c r="X884" s="133"/>
      <c r="Y884" s="133"/>
      <c r="Z884" s="134"/>
      <c r="AA884" s="6">
        <f t="shared" si="107"/>
        <v>0</v>
      </c>
    </row>
    <row r="885" spans="1:27" x14ac:dyDescent="0.3">
      <c r="A885" s="10"/>
      <c r="B885" s="10"/>
      <c r="C885" s="10"/>
      <c r="D885" s="10"/>
      <c r="E885" s="10"/>
      <c r="F885" s="41"/>
      <c r="G885" s="64"/>
      <c r="H885" s="64"/>
      <c r="I885" s="64"/>
      <c r="J885" s="64"/>
      <c r="K885" s="64"/>
      <c r="L885" s="64"/>
      <c r="M885" s="64"/>
      <c r="N885" s="64"/>
      <c r="O885" s="56">
        <f>AGA_term_2hypoglycaemia_2</f>
        <v>0</v>
      </c>
      <c r="P885" s="64"/>
      <c r="Q885" s="54" t="s">
        <v>226</v>
      </c>
      <c r="R885" s="54"/>
      <c r="S885" s="129"/>
      <c r="T885" s="105"/>
      <c r="U885" s="133">
        <f>$K$872*$I$861*$G$826*$E$754*$C$600*$A$555*$M$887*$O$885*Q886</f>
        <v>0</v>
      </c>
      <c r="V885" s="133">
        <v>0</v>
      </c>
      <c r="W885" s="134">
        <f>$K$873+$I$862+$G$827+$E$755+$C$601+$A$556+$M$888+$O$886+Q887</f>
        <v>24101.1404</v>
      </c>
      <c r="X885" s="133">
        <f>u_CongnitiveImpairement</f>
        <v>17.270393127285455</v>
      </c>
      <c r="Y885" s="133"/>
      <c r="Z885" s="134">
        <f>U885*W885</f>
        <v>0</v>
      </c>
      <c r="AA885" s="6">
        <f t="shared" si="107"/>
        <v>0</v>
      </c>
    </row>
    <row r="886" spans="1:27" x14ac:dyDescent="0.3">
      <c r="A886" s="10"/>
      <c r="B886" s="10"/>
      <c r="C886" s="10"/>
      <c r="D886" s="10"/>
      <c r="E886" s="10"/>
      <c r="F886" s="41"/>
      <c r="G886" s="64"/>
      <c r="H886" s="64"/>
      <c r="I886" s="64"/>
      <c r="J886" s="64"/>
      <c r="K886" s="64"/>
      <c r="L886" s="64"/>
      <c r="M886" s="54" t="s">
        <v>203</v>
      </c>
      <c r="N886" s="64"/>
      <c r="O886" s="57">
        <f>c_hypo</f>
        <v>2936.2604000000001</v>
      </c>
      <c r="P886" s="64"/>
      <c r="Q886" s="56">
        <f>Hypo2CI_2-(Hypo2CI_2*RDS2CLD_2)</f>
        <v>3.2801999999999998E-2</v>
      </c>
      <c r="R886" s="56"/>
      <c r="S886" s="129"/>
      <c r="T886" s="105"/>
      <c r="U886" s="133"/>
      <c r="V886" s="133"/>
      <c r="W886" s="133"/>
      <c r="X886" s="133"/>
      <c r="Y886" s="133"/>
      <c r="Z886" s="134"/>
      <c r="AA886" s="6">
        <f t="shared" si="107"/>
        <v>0</v>
      </c>
    </row>
    <row r="887" spans="1:27" x14ac:dyDescent="0.3">
      <c r="A887" s="10"/>
      <c r="B887" s="10"/>
      <c r="C887" s="10"/>
      <c r="D887" s="10"/>
      <c r="E887" s="10"/>
      <c r="F887" s="41"/>
      <c r="G887" s="64"/>
      <c r="H887" s="64"/>
      <c r="I887" s="64"/>
      <c r="J887" s="64"/>
      <c r="K887" s="64"/>
      <c r="L887" s="64"/>
      <c r="M887" s="56">
        <f>S_term_2noRDS_2</f>
        <v>1</v>
      </c>
      <c r="N887" s="64"/>
      <c r="O887" s="53"/>
      <c r="P887" s="64"/>
      <c r="Q887" s="57">
        <f>c_cog+c_hosp_fu+c_CSG</f>
        <v>15766</v>
      </c>
      <c r="R887" s="57"/>
      <c r="S887" s="129"/>
      <c r="T887" s="105"/>
      <c r="U887" s="133"/>
      <c r="V887" s="133"/>
      <c r="W887" s="133"/>
      <c r="X887" s="133"/>
      <c r="Y887" s="133"/>
      <c r="Z887" s="134"/>
      <c r="AA887" s="6">
        <f t="shared" si="107"/>
        <v>0</v>
      </c>
    </row>
    <row r="888" spans="1:27" x14ac:dyDescent="0.3">
      <c r="A888" s="10"/>
      <c r="B888" s="10"/>
      <c r="C888" s="10"/>
      <c r="D888" s="10"/>
      <c r="E888" s="10"/>
      <c r="F888" s="41"/>
      <c r="G888" s="64"/>
      <c r="H888" s="64"/>
      <c r="I888" s="64"/>
      <c r="J888" s="64"/>
      <c r="K888" s="64"/>
      <c r="L888" s="64"/>
      <c r="M888" s="57"/>
      <c r="N888" s="64"/>
      <c r="O888" s="65"/>
      <c r="P888" s="64"/>
      <c r="Q888" s="54" t="s">
        <v>369</v>
      </c>
      <c r="R888" s="54"/>
      <c r="S888" s="129"/>
      <c r="T888" s="105"/>
      <c r="U888" s="133">
        <f>$K$872*$I$861*$G$826*$E$754*$C$600*$A$555*$M$887*$O$885*Q889</f>
        <v>0</v>
      </c>
      <c r="V888" s="133">
        <v>0</v>
      </c>
      <c r="W888" s="134">
        <f>$K$873+$I$862+$G$827+$E$755+$C$601+$A$556+$M$888+$O$886+Q890</f>
        <v>66683.651302400001</v>
      </c>
      <c r="X888" s="133">
        <f>u_ChronicResp+u_CongnitiveImpairement</f>
        <v>17.805052694763283</v>
      </c>
      <c r="Y888" s="133"/>
      <c r="Z888" s="134">
        <f>U888*W888</f>
        <v>0</v>
      </c>
      <c r="AA888" s="6">
        <f t="shared" si="107"/>
        <v>0</v>
      </c>
    </row>
    <row r="889" spans="1:27" x14ac:dyDescent="0.3">
      <c r="A889" s="10"/>
      <c r="B889" s="10"/>
      <c r="C889" s="10"/>
      <c r="D889" s="10"/>
      <c r="E889" s="10"/>
      <c r="F889" s="41"/>
      <c r="G889" s="64"/>
      <c r="H889" s="64"/>
      <c r="I889" s="53"/>
      <c r="J889" s="53"/>
      <c r="K889" s="64"/>
      <c r="L889" s="64"/>
      <c r="M889" s="65"/>
      <c r="N889" s="64"/>
      <c r="O889" s="41"/>
      <c r="P889" s="64"/>
      <c r="Q889" s="56">
        <f>Hypo2CI_2*RDS2CLD_2</f>
        <v>1.8531333333333334E-2</v>
      </c>
      <c r="R889" s="56"/>
      <c r="S889" s="129"/>
      <c r="T889" s="105"/>
      <c r="U889" s="133"/>
      <c r="V889" s="133"/>
      <c r="W889" s="133"/>
      <c r="X889" s="133"/>
      <c r="Y889" s="133"/>
      <c r="Z889" s="134"/>
      <c r="AA889" s="6">
        <f t="shared" si="107"/>
        <v>0</v>
      </c>
    </row>
    <row r="890" spans="1:27" x14ac:dyDescent="0.3">
      <c r="A890" s="10"/>
      <c r="B890" s="10"/>
      <c r="C890" s="10"/>
      <c r="D890" s="10"/>
      <c r="E890" s="10"/>
      <c r="F890" s="41"/>
      <c r="G890" s="64"/>
      <c r="H890" s="64"/>
      <c r="I890" s="53"/>
      <c r="J890" s="53"/>
      <c r="K890" s="64"/>
      <c r="L890" s="64"/>
      <c r="M890" s="65"/>
      <c r="N890" s="64"/>
      <c r="O890" s="41"/>
      <c r="P890" s="64"/>
      <c r="Q890" s="57">
        <f>c_lung+c_cog+c_hosp_fu+c_CSG</f>
        <v>58348.510902399998</v>
      </c>
      <c r="R890" s="57"/>
      <c r="S890" s="129"/>
      <c r="T890" s="105"/>
      <c r="U890" s="133"/>
      <c r="V890" s="133"/>
      <c r="W890" s="133"/>
      <c r="X890" s="133"/>
      <c r="Y890" s="133"/>
      <c r="Z890" s="134"/>
      <c r="AA890" s="6">
        <f t="shared" si="107"/>
        <v>0</v>
      </c>
    </row>
    <row r="891" spans="1:27" x14ac:dyDescent="0.3">
      <c r="A891" s="10"/>
      <c r="B891" s="10"/>
      <c r="C891" s="10"/>
      <c r="D891" s="10"/>
      <c r="E891" s="10"/>
      <c r="F891" s="41"/>
      <c r="G891" s="64"/>
      <c r="H891" s="64"/>
      <c r="I891" s="53"/>
      <c r="J891" s="53"/>
      <c r="K891" s="64"/>
      <c r="L891" s="64"/>
      <c r="M891" s="65"/>
      <c r="N891" s="64"/>
      <c r="O891" s="41"/>
      <c r="P891" s="64"/>
      <c r="Q891" s="54" t="s">
        <v>370</v>
      </c>
      <c r="R891" s="54"/>
      <c r="S891" s="129"/>
      <c r="T891" s="105"/>
      <c r="U891" s="133">
        <f>$K$872*$I$861*$G$826*$E$754*$C$600*$A$555*$M$887*$O$885*Q892</f>
        <v>0</v>
      </c>
      <c r="V891" s="133">
        <v>0</v>
      </c>
      <c r="W891" s="134">
        <f>$K$873+$I$862+$G$827+$E$755+$C$601+$A$556+$M$888+$O$886+Q893</f>
        <v>22738.1404</v>
      </c>
      <c r="X891" s="133">
        <f>u_Healthy</f>
        <v>0</v>
      </c>
      <c r="Y891" s="133"/>
      <c r="Z891" s="134">
        <f>U891*W891</f>
        <v>0</v>
      </c>
      <c r="AA891" s="6">
        <f t="shared" si="107"/>
        <v>0</v>
      </c>
    </row>
    <row r="892" spans="1:27" x14ac:dyDescent="0.3">
      <c r="A892" s="10"/>
      <c r="B892" s="10"/>
      <c r="C892" s="10"/>
      <c r="D892" s="10"/>
      <c r="E892" s="10"/>
      <c r="F892" s="41"/>
      <c r="G892" s="64"/>
      <c r="H892" s="64"/>
      <c r="I892" s="53"/>
      <c r="J892" s="53"/>
      <c r="K892" s="64"/>
      <c r="L892" s="64"/>
      <c r="M892" s="65"/>
      <c r="N892" s="64"/>
      <c r="O892" s="65"/>
      <c r="P892" s="64"/>
      <c r="Q892" s="56">
        <f>1-Q883-Q886-Q889</f>
        <v>0.60619800000000001</v>
      </c>
      <c r="R892" s="56"/>
      <c r="T892" s="105"/>
      <c r="U892" s="133"/>
      <c r="V892" s="133"/>
      <c r="W892" s="133"/>
      <c r="X892" s="133"/>
      <c r="Y892" s="133"/>
      <c r="Z892" s="134"/>
      <c r="AA892" s="6">
        <f t="shared" si="107"/>
        <v>0</v>
      </c>
    </row>
    <row r="893" spans="1:27" x14ac:dyDescent="0.3">
      <c r="A893" s="10"/>
      <c r="B893" s="10"/>
      <c r="C893" s="10"/>
      <c r="D893" s="10"/>
      <c r="E893" s="10"/>
      <c r="F893" s="41"/>
      <c r="G893" s="64"/>
      <c r="H893" s="64"/>
      <c r="I893" s="53"/>
      <c r="J893" s="53"/>
      <c r="K893" s="64"/>
      <c r="L893" s="64"/>
      <c r="M893" s="65"/>
      <c r="N893" s="64"/>
      <c r="O893" s="64"/>
      <c r="P893" s="64"/>
      <c r="Q893" s="57">
        <f>c_clinic_fu+c_CSG</f>
        <v>14403</v>
      </c>
      <c r="R893" s="57"/>
      <c r="S893" s="129"/>
      <c r="T893" s="105"/>
      <c r="U893" s="133"/>
      <c r="V893" s="133"/>
      <c r="W893" s="133"/>
      <c r="X893" s="133"/>
      <c r="Y893" s="133"/>
      <c r="Z893" s="134"/>
      <c r="AA893" s="6">
        <f t="shared" si="107"/>
        <v>0</v>
      </c>
    </row>
    <row r="894" spans="1:27" x14ac:dyDescent="0.3">
      <c r="A894" s="10"/>
      <c r="B894" s="10"/>
      <c r="C894" s="10"/>
      <c r="D894" s="10"/>
      <c r="E894" s="10"/>
      <c r="F894" s="41"/>
      <c r="G894" s="64"/>
      <c r="H894" s="64"/>
      <c r="I894" s="41"/>
      <c r="J894" s="64"/>
      <c r="K894" s="64"/>
      <c r="L894" s="64"/>
      <c r="M894" s="65"/>
      <c r="N894" s="64"/>
      <c r="O894" s="64"/>
      <c r="P894" s="64"/>
      <c r="Q894" s="65"/>
      <c r="R894" s="65"/>
      <c r="S894" s="130"/>
      <c r="T894" s="105"/>
      <c r="U894" s="133"/>
      <c r="V894" s="133"/>
      <c r="W894" s="133"/>
      <c r="X894" s="133"/>
      <c r="Y894" s="133"/>
      <c r="Z894" s="134"/>
      <c r="AA894" s="6">
        <f t="shared" si="107"/>
        <v>0</v>
      </c>
    </row>
    <row r="895" spans="1:27" x14ac:dyDescent="0.3">
      <c r="A895" s="10"/>
      <c r="B895" s="10"/>
      <c r="C895" s="10"/>
      <c r="D895" s="10"/>
      <c r="E895" s="10"/>
      <c r="F895" s="41"/>
      <c r="G895" s="64"/>
      <c r="H895" s="64"/>
      <c r="I895" s="41"/>
      <c r="J895" s="64"/>
      <c r="K895" s="64"/>
      <c r="L895" s="64"/>
      <c r="M895" s="65"/>
      <c r="N895" s="64"/>
      <c r="O895" s="64"/>
      <c r="P895" s="64"/>
      <c r="Q895" s="54" t="s">
        <v>368</v>
      </c>
      <c r="R895" s="54"/>
      <c r="S895" s="129"/>
      <c r="T895" s="105"/>
      <c r="U895" s="133">
        <f>$K$872*$I$861*$G$826*$E$754*$C$600*$A$555*$M$887*$O$899*Q896</f>
        <v>1.550269540206162E-2</v>
      </c>
      <c r="V895" s="133">
        <v>2.4797308328744445E-2</v>
      </c>
      <c r="W895" s="134">
        <f>$K$873+$I$862+$G$827+$E$755+$C$601+$A$556+$M$888+$O$900+Q897</f>
        <v>59928.390902399995</v>
      </c>
      <c r="X895" s="133">
        <f>u_ChronicResp</f>
        <v>0.53465956747782661</v>
      </c>
      <c r="Y895" s="133"/>
      <c r="Z895" s="134">
        <f>U895*W895</f>
        <v>929.05159009558781</v>
      </c>
      <c r="AA895" s="6">
        <f t="shared" si="107"/>
        <v>8.2886644184067566E-3</v>
      </c>
    </row>
    <row r="896" spans="1:27" x14ac:dyDescent="0.3">
      <c r="A896" s="10"/>
      <c r="B896" s="10"/>
      <c r="C896" s="10"/>
      <c r="D896" s="10"/>
      <c r="E896" s="10"/>
      <c r="F896" s="41"/>
      <c r="G896" s="64"/>
      <c r="H896" s="64"/>
      <c r="I896" s="41"/>
      <c r="J896" s="64"/>
      <c r="K896" s="64"/>
      <c r="L896" s="64"/>
      <c r="M896" s="65"/>
      <c r="N896" s="64"/>
      <c r="O896" s="64"/>
      <c r="P896" s="64"/>
      <c r="Q896" s="56">
        <f>RDS2CLD_2-(RDS2CLD_2*noHypo2CI_2)</f>
        <v>0.34905610687022898</v>
      </c>
      <c r="R896" s="56"/>
      <c r="S896" s="129"/>
      <c r="T896" s="105"/>
      <c r="U896" s="133"/>
      <c r="V896" s="133"/>
      <c r="W896" s="133"/>
      <c r="X896" s="133"/>
      <c r="Y896" s="133"/>
      <c r="Z896" s="134"/>
      <c r="AA896" s="6">
        <f t="shared" si="107"/>
        <v>0</v>
      </c>
    </row>
    <row r="897" spans="1:36" x14ac:dyDescent="0.3">
      <c r="A897" s="10"/>
      <c r="B897" s="10"/>
      <c r="C897" s="10"/>
      <c r="D897" s="10"/>
      <c r="E897" s="10"/>
      <c r="F897" s="41"/>
      <c r="G897" s="64"/>
      <c r="H897" s="64"/>
      <c r="I897" s="64"/>
      <c r="J897" s="64"/>
      <c r="K897" s="64"/>
      <c r="L897" s="64"/>
      <c r="M897" s="65"/>
      <c r="N897" s="64"/>
      <c r="O897" s="64"/>
      <c r="P897" s="64"/>
      <c r="Q897" s="57">
        <f>c_lung+c_hosp_fu+c_CSG</f>
        <v>54529.510902399998</v>
      </c>
      <c r="R897" s="57"/>
      <c r="S897" s="129"/>
      <c r="T897" s="105"/>
      <c r="U897" s="133"/>
      <c r="V897" s="133"/>
      <c r="W897" s="133"/>
      <c r="X897" s="133"/>
      <c r="Y897" s="133"/>
      <c r="Z897" s="134"/>
      <c r="AA897" s="6">
        <f t="shared" si="107"/>
        <v>0</v>
      </c>
    </row>
    <row r="898" spans="1:36" x14ac:dyDescent="0.3">
      <c r="A898" s="10"/>
      <c r="B898" s="10"/>
      <c r="C898" s="10"/>
      <c r="D898" s="10"/>
      <c r="E898" s="10"/>
      <c r="F898" s="41"/>
      <c r="G898" s="64"/>
      <c r="H898" s="64"/>
      <c r="I898" s="64"/>
      <c r="J898" s="64"/>
      <c r="K898" s="64"/>
      <c r="L898" s="64"/>
      <c r="M898" s="65"/>
      <c r="N898" s="64"/>
      <c r="O898" s="54" t="s">
        <v>371</v>
      </c>
      <c r="P898" s="64"/>
      <c r="Q898" s="54" t="s">
        <v>226</v>
      </c>
      <c r="R898" s="54"/>
      <c r="S898" s="129"/>
      <c r="T898" s="105"/>
      <c r="U898" s="133">
        <f>$K$872*$I$861*$G$826*$E$754*$C$600*$A$555*$M$887*$O$899*Q899</f>
        <v>9.3896961461055082E-4</v>
      </c>
      <c r="V898" s="133">
        <v>1.5019271449869143E-3</v>
      </c>
      <c r="W898" s="134">
        <f>$K$873+$I$862+$G$827+$E$755+$C$601+$A$556+$M$888+$O$900+Q900</f>
        <v>21164.880000000001</v>
      </c>
      <c r="X898" s="133">
        <f>u_CongnitiveImpairement</f>
        <v>17.270393127285455</v>
      </c>
      <c r="Y898" s="133"/>
      <c r="Z898" s="134">
        <f>U898*W898</f>
        <v>19.873179216878555</v>
      </c>
      <c r="AA898" s="6">
        <f t="shared" si="107"/>
        <v>1.6216374378899931E-2</v>
      </c>
    </row>
    <row r="899" spans="1:36" x14ac:dyDescent="0.3">
      <c r="A899" s="10"/>
      <c r="B899" s="10"/>
      <c r="C899" s="10"/>
      <c r="D899" s="10"/>
      <c r="E899" s="10"/>
      <c r="F899" s="41"/>
      <c r="G899" s="64"/>
      <c r="H899" s="64"/>
      <c r="I899" s="64"/>
      <c r="J899" s="64"/>
      <c r="K899" s="64"/>
      <c r="L899" s="64"/>
      <c r="M899" s="65"/>
      <c r="N899" s="64"/>
      <c r="O899" s="56">
        <f>AGA_term_2normoglycaemia_2</f>
        <v>1</v>
      </c>
      <c r="P899" s="64"/>
      <c r="Q899" s="56">
        <f>noHypo2CI_2-(RDS2CLD_2*noHypo2CI_2)</f>
        <v>2.1141683406990762E-2</v>
      </c>
      <c r="R899" s="56"/>
      <c r="S899" s="129"/>
      <c r="T899" s="105"/>
      <c r="U899" s="133"/>
      <c r="V899" s="133"/>
      <c r="W899" s="133"/>
      <c r="X899" s="133"/>
      <c r="Y899" s="133"/>
      <c r="Z899" s="134"/>
      <c r="AA899" s="6">
        <f t="shared" si="107"/>
        <v>0</v>
      </c>
    </row>
    <row r="900" spans="1:36" x14ac:dyDescent="0.3">
      <c r="A900" s="10"/>
      <c r="B900" s="10"/>
      <c r="C900" s="10"/>
      <c r="D900" s="10"/>
      <c r="E900" s="10"/>
      <c r="F900" s="41"/>
      <c r="G900" s="64"/>
      <c r="H900" s="64"/>
      <c r="I900" s="64"/>
      <c r="J900" s="64"/>
      <c r="K900" s="64"/>
      <c r="L900" s="64"/>
      <c r="M900" s="65"/>
      <c r="N900" s="64"/>
      <c r="O900" s="57"/>
      <c r="P900" s="64"/>
      <c r="Q900" s="57">
        <f>c_cog+c_hosp_fu+c_CSG</f>
        <v>15766</v>
      </c>
      <c r="R900" s="57"/>
      <c r="S900" s="129"/>
      <c r="T900" s="105"/>
      <c r="U900" s="133"/>
      <c r="V900" s="133"/>
      <c r="W900" s="133"/>
      <c r="X900" s="133"/>
      <c r="Y900" s="133"/>
      <c r="Z900" s="134"/>
      <c r="AA900" s="6">
        <f t="shared" si="107"/>
        <v>0</v>
      </c>
    </row>
    <row r="901" spans="1:36" x14ac:dyDescent="0.3">
      <c r="A901" s="10"/>
      <c r="B901" s="10"/>
      <c r="C901" s="10"/>
      <c r="D901" s="10"/>
      <c r="E901" s="10"/>
      <c r="F901" s="41"/>
      <c r="G901" s="65"/>
      <c r="H901" s="64"/>
      <c r="I901" s="64"/>
      <c r="J901" s="64"/>
      <c r="K901" s="64"/>
      <c r="L901" s="64"/>
      <c r="M901" s="65"/>
      <c r="N901" s="64"/>
      <c r="O901" s="64"/>
      <c r="P901" s="64"/>
      <c r="Q901" s="54" t="s">
        <v>369</v>
      </c>
      <c r="R901" s="54"/>
      <c r="S901" s="129"/>
      <c r="T901" s="105"/>
      <c r="U901" s="133">
        <f>$K$872*$I$861*$G$826*$E$754*$C$600*$A$555*$M$887*$O$899*Q902</f>
        <v>5.3046640199437989E-4</v>
      </c>
      <c r="V901" s="133">
        <v>8.4850657173752111E-4</v>
      </c>
      <c r="W901" s="134">
        <f>$K$873+$I$862+$G$827+$E$755+$C$601+$A$556+$M$888+$O$900+Q903</f>
        <v>63747.390902399995</v>
      </c>
      <c r="X901" s="133">
        <f>u_ChronicResp+u_CongnitiveImpairement</f>
        <v>17.805052694763283</v>
      </c>
      <c r="Y901" s="133"/>
      <c r="Z901" s="134">
        <f>U901*W901</f>
        <v>33.81584908852539</v>
      </c>
      <c r="AA901" s="6">
        <f t="shared" si="107"/>
        <v>9.4449822403114177E-3</v>
      </c>
    </row>
    <row r="902" spans="1:36" x14ac:dyDescent="0.3">
      <c r="A902" s="10"/>
      <c r="B902" s="10"/>
      <c r="C902" s="10"/>
      <c r="D902" s="10"/>
      <c r="E902" s="10"/>
      <c r="F902" s="41"/>
      <c r="G902" s="64"/>
      <c r="H902" s="64"/>
      <c r="I902" s="64"/>
      <c r="J902" s="64"/>
      <c r="K902" s="64"/>
      <c r="L902" s="64"/>
      <c r="M902" s="53"/>
      <c r="N902" s="64"/>
      <c r="O902" s="64"/>
      <c r="P902" s="64"/>
      <c r="Q902" s="56">
        <f>RDS2CLD_2*noHypo2CI_2</f>
        <v>1.1943893129770991E-2</v>
      </c>
      <c r="R902" s="56"/>
      <c r="S902" s="129"/>
      <c r="T902" s="105"/>
      <c r="U902" s="133"/>
      <c r="V902" s="133"/>
      <c r="W902" s="133"/>
      <c r="X902" s="133"/>
      <c r="Y902" s="133"/>
      <c r="Z902" s="134"/>
      <c r="AA902" s="6">
        <f t="shared" si="107"/>
        <v>0</v>
      </c>
    </row>
    <row r="903" spans="1:36" x14ac:dyDescent="0.3">
      <c r="A903" s="10"/>
      <c r="B903" s="10"/>
      <c r="C903" s="10"/>
      <c r="D903" s="10"/>
      <c r="E903" s="10"/>
      <c r="F903" s="41"/>
      <c r="G903" s="64"/>
      <c r="H903" s="64"/>
      <c r="I903" s="64"/>
      <c r="J903" s="64"/>
      <c r="K903" s="64"/>
      <c r="L903" s="64"/>
      <c r="M903" s="44"/>
      <c r="N903" s="64"/>
      <c r="O903" s="64"/>
      <c r="P903" s="64"/>
      <c r="Q903" s="57">
        <f>c_cog+c_lung+c_hosp_fu+c_CSG</f>
        <v>58348.510902399998</v>
      </c>
      <c r="R903" s="57"/>
      <c r="S903" s="129"/>
      <c r="T903" s="105"/>
      <c r="U903" s="133"/>
      <c r="V903" s="133"/>
      <c r="W903" s="133"/>
      <c r="X903" s="133"/>
      <c r="Y903" s="133"/>
      <c r="Z903" s="134"/>
      <c r="AA903" s="6">
        <f t="shared" si="107"/>
        <v>0</v>
      </c>
    </row>
    <row r="904" spans="1:36" x14ac:dyDescent="0.3">
      <c r="A904" s="10"/>
      <c r="B904" s="10"/>
      <c r="C904" s="10"/>
      <c r="D904" s="10"/>
      <c r="E904" s="10"/>
      <c r="F904" s="41"/>
      <c r="G904" s="64"/>
      <c r="H904" s="64"/>
      <c r="I904" s="64"/>
      <c r="J904" s="64"/>
      <c r="K904" s="64"/>
      <c r="L904" s="64"/>
      <c r="M904" s="65"/>
      <c r="N904" s="64"/>
      <c r="O904" s="64"/>
      <c r="P904" s="64"/>
      <c r="Q904" s="54" t="s">
        <v>370</v>
      </c>
      <c r="R904" s="54"/>
      <c r="S904" s="129"/>
      <c r="T904" s="105"/>
      <c r="U904" s="133">
        <f>$K$872*$I$861*$G$826*$E$754*$C$600*$A$555*$M$887*$O$899*Q905</f>
        <v>2.7441059174286367E-2</v>
      </c>
      <c r="V904" s="133">
        <v>4.3893296460021346E-2</v>
      </c>
      <c r="W904" s="134">
        <f>$K$873+$I$862+$G$827+$E$755+$C$601+$A$556+$M$888+$O$900+Q906</f>
        <v>19801.88</v>
      </c>
      <c r="X904" s="133">
        <f>u_Healthy</f>
        <v>0</v>
      </c>
      <c r="Y904" s="133"/>
      <c r="Z904" s="134">
        <f>U904*W904</f>
        <v>543.38456084211771</v>
      </c>
      <c r="AA904" s="6">
        <f t="shared" si="107"/>
        <v>0</v>
      </c>
    </row>
    <row r="905" spans="1:36" x14ac:dyDescent="0.3">
      <c r="A905" s="10"/>
      <c r="B905" s="10"/>
      <c r="C905" s="10"/>
      <c r="D905" s="10"/>
      <c r="E905" s="10"/>
      <c r="F905" s="41"/>
      <c r="G905" s="64"/>
      <c r="H905" s="64"/>
      <c r="I905" s="64"/>
      <c r="J905" s="64"/>
      <c r="K905" s="64"/>
      <c r="L905" s="64"/>
      <c r="M905" s="65"/>
      <c r="N905" s="44"/>
      <c r="O905" s="64"/>
      <c r="P905" s="64"/>
      <c r="Q905" s="56">
        <f>1-Q902-Q899-Q896</f>
        <v>0.61785831659300938</v>
      </c>
      <c r="R905" s="56"/>
      <c r="T905" s="105"/>
      <c r="U905" s="133"/>
      <c r="V905" s="133"/>
      <c r="W905" s="133"/>
      <c r="X905" s="133"/>
      <c r="Y905" s="133"/>
      <c r="Z905" s="134"/>
      <c r="AA905" s="6">
        <f t="shared" si="107"/>
        <v>0</v>
      </c>
    </row>
    <row r="906" spans="1:36" x14ac:dyDescent="0.3">
      <c r="A906" s="10"/>
      <c r="B906" s="10"/>
      <c r="C906" s="10"/>
      <c r="D906" s="10"/>
      <c r="E906" s="10"/>
      <c r="F906" s="41"/>
      <c r="G906" s="64"/>
      <c r="H906" s="64"/>
      <c r="I906" s="64"/>
      <c r="J906" s="64"/>
      <c r="K906" s="64"/>
      <c r="L906" s="64"/>
      <c r="M906" s="65"/>
      <c r="N906" s="64"/>
      <c r="O906" s="64"/>
      <c r="P906" s="64"/>
      <c r="Q906" s="57">
        <f>c_clinic_fu+c_CSG</f>
        <v>14403</v>
      </c>
      <c r="R906" s="57"/>
      <c r="S906" s="129"/>
      <c r="T906" s="105"/>
      <c r="U906" s="133"/>
      <c r="V906" s="133"/>
      <c r="W906" s="133"/>
      <c r="X906" s="133"/>
      <c r="Y906" s="133"/>
      <c r="Z906" s="134"/>
      <c r="AA906" s="6">
        <f t="shared" si="107"/>
        <v>0</v>
      </c>
    </row>
    <row r="907" spans="1:36" x14ac:dyDescent="0.3">
      <c r="A907" s="115"/>
      <c r="B907" s="115"/>
      <c r="C907" s="115"/>
      <c r="D907" s="115"/>
      <c r="E907" s="115"/>
      <c r="F907" s="111"/>
      <c r="G907" s="112"/>
      <c r="H907" s="112"/>
      <c r="I907" s="112"/>
      <c r="J907" s="112"/>
      <c r="K907" s="112"/>
      <c r="L907" s="112"/>
      <c r="M907" s="117"/>
      <c r="N907" s="112"/>
      <c r="O907" s="112"/>
      <c r="P907" s="112"/>
      <c r="Q907" s="117"/>
      <c r="R907" s="117"/>
      <c r="S907" s="131"/>
      <c r="T907" s="105"/>
      <c r="U907" s="133"/>
      <c r="V907" s="133"/>
      <c r="W907" s="133"/>
      <c r="X907" s="133"/>
      <c r="Y907" s="133"/>
      <c r="Z907" s="134"/>
      <c r="AA907" s="6">
        <f t="shared" si="107"/>
        <v>0</v>
      </c>
    </row>
    <row r="908" spans="1:36" x14ac:dyDescent="0.3">
      <c r="A908" s="95" t="s">
        <v>5</v>
      </c>
      <c r="B908" s="95"/>
      <c r="C908" s="95"/>
      <c r="D908" s="95"/>
      <c r="E908" s="95"/>
      <c r="F908" s="95"/>
      <c r="G908" s="95"/>
      <c r="H908" s="95"/>
      <c r="I908" s="95"/>
      <c r="J908" s="95"/>
      <c r="K908" s="95"/>
      <c r="L908" s="95"/>
      <c r="M908" s="95"/>
      <c r="N908" s="95"/>
      <c r="O908" s="95"/>
      <c r="P908" s="95"/>
      <c r="Q908" s="95"/>
      <c r="R908" s="95"/>
      <c r="T908" s="140" t="s">
        <v>719</v>
      </c>
      <c r="U908" s="141">
        <f>SUM(U3:U904)</f>
        <v>1.0000000000000002</v>
      </c>
      <c r="V908" s="141">
        <f>SUM(U909:U1357)</f>
        <v>0.83099999999999985</v>
      </c>
      <c r="W908" s="141">
        <f>SUM(W3:W904)</f>
        <v>41666710.342780255</v>
      </c>
      <c r="X908" s="141">
        <f>SUM(X3:X904)</f>
        <v>2624.314430989391</v>
      </c>
      <c r="Y908" s="141"/>
      <c r="Z908" s="141">
        <f t="shared" ref="Z908" si="108">SUM(Z3:Z904)</f>
        <v>77061.40692316991</v>
      </c>
      <c r="AA908" s="142">
        <f>SUM(AA3:AA904)</f>
        <v>1.1761411490617018</v>
      </c>
      <c r="AB908" s="44"/>
      <c r="AC908" s="44"/>
      <c r="AD908" s="44"/>
      <c r="AE908" s="44"/>
      <c r="AF908" s="44"/>
      <c r="AG908" s="44"/>
      <c r="AH908" s="44"/>
      <c r="AI908" s="44"/>
      <c r="AJ908" s="44"/>
    </row>
    <row r="909" spans="1:36" x14ac:dyDescent="0.3">
      <c r="A909" s="41"/>
      <c r="B909" s="41"/>
      <c r="C909" s="54" t="s">
        <v>3</v>
      </c>
      <c r="D909" s="54"/>
      <c r="E909" s="54"/>
      <c r="F909" s="54"/>
      <c r="G909" s="54"/>
      <c r="H909" s="54"/>
      <c r="I909" s="54"/>
      <c r="J909" s="54"/>
      <c r="K909" s="54"/>
      <c r="L909" s="54"/>
      <c r="M909" s="54"/>
      <c r="N909" s="54"/>
      <c r="O909" s="54"/>
      <c r="P909" s="54"/>
      <c r="Q909" s="54"/>
      <c r="R909" s="54"/>
      <c r="S909" s="129"/>
      <c r="T909" s="105"/>
      <c r="U909" s="133">
        <f>C910*A1008</f>
        <v>1.3647347965249199E-2</v>
      </c>
      <c r="V909" s="133">
        <v>1.3647347965249199E-2</v>
      </c>
      <c r="W909" s="134">
        <f>C911+A1009</f>
        <v>1969</v>
      </c>
      <c r="X909" s="133">
        <f>u_Death</f>
        <v>19.181538114427529</v>
      </c>
      <c r="Y909" s="133"/>
      <c r="Z909" s="134">
        <f>U909*W909</f>
        <v>26.871628143575673</v>
      </c>
      <c r="AA909" s="6">
        <f t="shared" ref="AA909:AA972" si="109">U909*X909</f>
        <v>0.26177712515628249</v>
      </c>
    </row>
    <row r="910" spans="1:36" x14ac:dyDescent="0.3">
      <c r="A910" s="41"/>
      <c r="B910" s="41"/>
      <c r="C910" s="56">
        <f>ANC2SB_3</f>
        <v>1.6422801402225271E-2</v>
      </c>
      <c r="D910" s="41"/>
      <c r="E910" s="41"/>
      <c r="F910" s="41"/>
      <c r="G910" s="41"/>
      <c r="H910" s="41"/>
      <c r="I910" s="41"/>
      <c r="J910" s="41"/>
      <c r="K910" s="41"/>
      <c r="L910" s="41"/>
      <c r="M910" s="41"/>
      <c r="N910" s="41"/>
      <c r="O910" s="41"/>
      <c r="P910" s="41"/>
      <c r="Q910" s="41"/>
      <c r="T910" s="105"/>
      <c r="U910" s="133"/>
      <c r="V910" s="133"/>
      <c r="W910" s="133"/>
      <c r="X910" s="133"/>
      <c r="Y910" s="133"/>
      <c r="Z910" s="134"/>
      <c r="AA910" s="6">
        <f t="shared" si="109"/>
        <v>0</v>
      </c>
    </row>
    <row r="911" spans="1:36" x14ac:dyDescent="0.3">
      <c r="A911" s="41"/>
      <c r="B911" s="41"/>
      <c r="C911" s="57">
        <f>c_SB</f>
        <v>1792</v>
      </c>
      <c r="D911" s="41"/>
      <c r="E911" s="41"/>
      <c r="F911" s="41"/>
      <c r="G911" s="41"/>
      <c r="H911" s="41"/>
      <c r="I911" s="41"/>
      <c r="J911" s="41"/>
      <c r="K911" s="41"/>
      <c r="L911" s="41"/>
      <c r="M911" s="41"/>
      <c r="N911" s="41"/>
      <c r="O911" s="41"/>
      <c r="P911" s="41"/>
      <c r="Q911" s="41"/>
      <c r="T911" s="105"/>
      <c r="U911" s="133"/>
      <c r="V911" s="133"/>
      <c r="W911" s="133"/>
      <c r="X911" s="133"/>
      <c r="Y911" s="133"/>
      <c r="Z911" s="134">
        <f t="shared" ref="Z911:Z974" si="110">U911*W911</f>
        <v>0</v>
      </c>
      <c r="AA911" s="6">
        <f t="shared" si="109"/>
        <v>0</v>
      </c>
    </row>
    <row r="912" spans="1:36" s="41" customFormat="1" x14ac:dyDescent="0.3">
      <c r="C912" s="57"/>
      <c r="S912" s="25"/>
      <c r="T912" s="105"/>
      <c r="U912" s="133"/>
      <c r="V912" s="133"/>
      <c r="W912" s="133"/>
      <c r="X912" s="133"/>
      <c r="Y912" s="133"/>
      <c r="Z912" s="134">
        <f t="shared" si="110"/>
        <v>0</v>
      </c>
      <c r="AA912" s="6">
        <f t="shared" si="109"/>
        <v>0</v>
      </c>
    </row>
    <row r="913" spans="1:27" x14ac:dyDescent="0.3">
      <c r="A913" s="41"/>
      <c r="B913" s="41"/>
      <c r="C913" s="41"/>
      <c r="D913" s="41"/>
      <c r="E913" s="41"/>
      <c r="F913" s="41"/>
      <c r="G913" s="64"/>
      <c r="H913" s="64"/>
      <c r="I913" s="64"/>
      <c r="J913" s="64"/>
      <c r="K913" s="54" t="s">
        <v>165</v>
      </c>
      <c r="L913" s="54"/>
      <c r="M913" s="54"/>
      <c r="N913" s="54"/>
      <c r="O913" s="54"/>
      <c r="P913" s="54"/>
      <c r="Q913" s="54"/>
      <c r="R913" s="54"/>
      <c r="S913" s="129"/>
      <c r="T913" s="105"/>
      <c r="U913" s="133">
        <f>$K$914*$I$922*$G$946*$E$984*$C$1053*$A$1008</f>
        <v>3.6347052383081582E-3</v>
      </c>
      <c r="V913" s="133">
        <v>3.6347052383081582E-3</v>
      </c>
      <c r="W913" s="134">
        <f>$K$915+$I$923+$G$947+$E$985+$C$1054+$A$1009</f>
        <v>201198.6673081081</v>
      </c>
      <c r="X913" s="133">
        <f>u_Death</f>
        <v>19.181538114427529</v>
      </c>
      <c r="Y913" s="133"/>
      <c r="Z913" s="134">
        <f t="shared" si="110"/>
        <v>731.29785000540085</v>
      </c>
      <c r="AA913" s="6">
        <f t="shared" si="109"/>
        <v>6.9719237063317327E-2</v>
      </c>
    </row>
    <row r="914" spans="1:27" x14ac:dyDescent="0.3">
      <c r="A914" s="41"/>
      <c r="B914" s="41"/>
      <c r="C914" s="41"/>
      <c r="D914" s="41"/>
      <c r="E914" s="41"/>
      <c r="F914" s="41"/>
      <c r="G914" s="64"/>
      <c r="H914" s="64"/>
      <c r="I914" s="64"/>
      <c r="J914" s="64"/>
      <c r="K914" s="56">
        <f>SGA_prem_2d_3</f>
        <v>8.4066666666666665E-2</v>
      </c>
      <c r="L914" s="64"/>
      <c r="M914" s="64"/>
      <c r="N914" s="64"/>
      <c r="O914" s="64"/>
      <c r="P914" s="64"/>
      <c r="Q914" s="64"/>
      <c r="R914" s="64"/>
      <c r="S914" s="129"/>
      <c r="T914" s="105"/>
      <c r="U914" s="133"/>
      <c r="V914" s="133"/>
      <c r="W914" s="133"/>
      <c r="X914" s="133"/>
      <c r="Y914" s="133"/>
      <c r="Z914" s="134">
        <f t="shared" si="110"/>
        <v>0</v>
      </c>
      <c r="AA914" s="6">
        <f t="shared" si="109"/>
        <v>0</v>
      </c>
    </row>
    <row r="915" spans="1:27" x14ac:dyDescent="0.3">
      <c r="A915" s="41"/>
      <c r="B915" s="41"/>
      <c r="C915" s="41"/>
      <c r="D915" s="41"/>
      <c r="E915" s="41"/>
      <c r="F915" s="41"/>
      <c r="G915" s="64"/>
      <c r="H915" s="64"/>
      <c r="I915" s="64"/>
      <c r="J915" s="64"/>
      <c r="K915" s="57">
        <f>c_SB</f>
        <v>1792</v>
      </c>
      <c r="L915" s="64"/>
      <c r="M915" s="64"/>
      <c r="N915" s="64"/>
      <c r="O915" s="64"/>
      <c r="P915" s="64"/>
      <c r="Q915" s="64"/>
      <c r="R915" s="64"/>
      <c r="S915" s="129"/>
      <c r="T915" s="105"/>
      <c r="U915" s="133"/>
      <c r="V915" s="133"/>
      <c r="W915" s="133"/>
      <c r="X915" s="133"/>
      <c r="Y915" s="133"/>
      <c r="Z915" s="134">
        <f t="shared" si="110"/>
        <v>0</v>
      </c>
      <c r="AA915" s="6">
        <f t="shared" si="109"/>
        <v>0</v>
      </c>
    </row>
    <row r="916" spans="1:27" x14ac:dyDescent="0.3">
      <c r="A916" s="41"/>
      <c r="B916" s="41"/>
      <c r="C916" s="41"/>
      <c r="D916" s="41"/>
      <c r="E916" s="41"/>
      <c r="F916" s="41"/>
      <c r="G916" s="53"/>
      <c r="H916" s="53"/>
      <c r="I916" s="53"/>
      <c r="J916" s="53"/>
      <c r="K916" s="53"/>
      <c r="L916" s="53"/>
      <c r="M916" s="53"/>
      <c r="N916" s="53"/>
      <c r="O916" s="53"/>
      <c r="P916" s="53"/>
      <c r="Q916" s="53"/>
      <c r="R916" s="53"/>
      <c r="S916" s="129"/>
      <c r="T916" s="105"/>
      <c r="U916" s="133"/>
      <c r="V916" s="133"/>
      <c r="W916" s="133"/>
      <c r="X916" s="133"/>
      <c r="Y916" s="133"/>
      <c r="Z916" s="134">
        <f t="shared" si="110"/>
        <v>0</v>
      </c>
      <c r="AA916" s="6">
        <f t="shared" si="109"/>
        <v>0</v>
      </c>
    </row>
    <row r="917" spans="1:27" x14ac:dyDescent="0.3">
      <c r="A917" s="41"/>
      <c r="B917" s="41"/>
      <c r="C917" s="41"/>
      <c r="D917" s="41"/>
      <c r="E917" s="41"/>
      <c r="F917" s="41"/>
      <c r="G917" s="53"/>
      <c r="H917" s="53"/>
      <c r="I917" s="53"/>
      <c r="J917" s="53"/>
      <c r="K917" s="53"/>
      <c r="L917" s="53"/>
      <c r="M917" s="53"/>
      <c r="N917" s="53"/>
      <c r="O917" s="53"/>
      <c r="P917" s="53"/>
      <c r="Q917" s="54" t="s">
        <v>368</v>
      </c>
      <c r="R917" s="54"/>
      <c r="S917" s="129"/>
      <c r="T917" s="105"/>
      <c r="U917" s="133">
        <f>$K$933*$I$922*$G$946*$E$984*$C$1053*$A$1008*$M$928*$O$923*Q918</f>
        <v>1.3151941396883434E-3</v>
      </c>
      <c r="V917" s="133">
        <v>1.3151941396883436E-3</v>
      </c>
      <c r="W917" s="134">
        <f>$K$934+$I$923+$G$947+$E$985+$C$1054+$A$1009+$M$929+$O$924+Q919</f>
        <v>287468.0487587137</v>
      </c>
      <c r="X917" s="133">
        <f>u_ChronicResp</f>
        <v>0.53465956747782661</v>
      </c>
      <c r="Y917" s="133"/>
      <c r="Z917" s="134">
        <f t="shared" si="110"/>
        <v>378.07629307510319</v>
      </c>
      <c r="AA917" s="6">
        <f t="shared" si="109"/>
        <v>7.0318112987514199E-4</v>
      </c>
    </row>
    <row r="918" spans="1:27" x14ac:dyDescent="0.3">
      <c r="A918" s="41"/>
      <c r="B918" s="41"/>
      <c r="C918" s="41"/>
      <c r="D918" s="41"/>
      <c r="E918" s="41"/>
      <c r="F918" s="41"/>
      <c r="G918" s="53"/>
      <c r="H918" s="53"/>
      <c r="I918" s="53"/>
      <c r="J918" s="53"/>
      <c r="K918" s="53"/>
      <c r="L918" s="53"/>
      <c r="M918" s="53"/>
      <c r="N918" s="53"/>
      <c r="O918" s="64"/>
      <c r="P918" s="64"/>
      <c r="Q918" s="56">
        <f>RDS2CLD_3-(Hypo2CI_3*RDS2CLD_3)</f>
        <v>0.34246866666666664</v>
      </c>
      <c r="R918" s="56"/>
      <c r="S918" s="129"/>
      <c r="T918" s="105"/>
      <c r="U918" s="133"/>
      <c r="V918" s="133"/>
      <c r="W918" s="133"/>
      <c r="X918" s="133"/>
      <c r="Y918" s="133"/>
      <c r="Z918" s="134">
        <f t="shared" si="110"/>
        <v>0</v>
      </c>
      <c r="AA918" s="6">
        <f t="shared" si="109"/>
        <v>0</v>
      </c>
    </row>
    <row r="919" spans="1:27" x14ac:dyDescent="0.3">
      <c r="A919" s="41"/>
      <c r="B919" s="41"/>
      <c r="C919" s="41"/>
      <c r="D919" s="41"/>
      <c r="E919" s="41"/>
      <c r="F919" s="41"/>
      <c r="G919" s="53"/>
      <c r="H919" s="53"/>
      <c r="I919" s="53"/>
      <c r="J919" s="53"/>
      <c r="K919" s="53"/>
      <c r="L919" s="53"/>
      <c r="M919" s="53"/>
      <c r="N919" s="53"/>
      <c r="O919" s="64"/>
      <c r="P919" s="64"/>
      <c r="Q919" s="57">
        <f>c_lung+c_hosp_fu+c_CSG</f>
        <v>54529.510902399998</v>
      </c>
      <c r="R919" s="57"/>
      <c r="S919" s="129"/>
      <c r="T919" s="105"/>
      <c r="U919" s="133"/>
      <c r="V919" s="133"/>
      <c r="W919" s="133"/>
      <c r="X919" s="133"/>
      <c r="Y919" s="133"/>
      <c r="Z919" s="134">
        <f t="shared" si="110"/>
        <v>0</v>
      </c>
      <c r="AA919" s="6">
        <f t="shared" si="109"/>
        <v>0</v>
      </c>
    </row>
    <row r="920" spans="1:27" x14ac:dyDescent="0.3">
      <c r="A920" s="41"/>
      <c r="B920" s="41"/>
      <c r="C920" s="41"/>
      <c r="D920" s="41"/>
      <c r="E920" s="41"/>
      <c r="F920" s="41"/>
      <c r="G920" s="53"/>
      <c r="H920" s="53"/>
      <c r="I920" s="53"/>
      <c r="J920" s="53"/>
      <c r="K920" s="53"/>
      <c r="L920" s="53"/>
      <c r="M920" s="53"/>
      <c r="N920" s="53"/>
      <c r="O920" s="64"/>
      <c r="P920" s="64"/>
      <c r="Q920" s="54" t="s">
        <v>226</v>
      </c>
      <c r="R920" s="54"/>
      <c r="S920" s="129"/>
      <c r="T920" s="105"/>
      <c r="U920" s="133">
        <f>$K$933*$I$922*$G$946*$E$984*$C$1053*$A$1008*$M$928*$O$923*Q921</f>
        <v>1.2597064306629619E-4</v>
      </c>
      <c r="V920" s="133">
        <v>1.2597064306629622E-4</v>
      </c>
      <c r="W920" s="134">
        <f>$K$934+$I$923+$G$947+$E$985+$C$1054+$A$1009+$M$929+$O$924+Q922</f>
        <v>248704.53785631372</v>
      </c>
      <c r="X920" s="133">
        <f>u_CongnitiveImpairement</f>
        <v>17.270393127285455</v>
      </c>
      <c r="Y920" s="133"/>
      <c r="Z920" s="134">
        <f t="shared" si="110"/>
        <v>31.329470567265844</v>
      </c>
      <c r="AA920" s="6">
        <f t="shared" si="109"/>
        <v>2.1755625282518908E-3</v>
      </c>
    </row>
    <row r="921" spans="1:27" x14ac:dyDescent="0.3">
      <c r="A921" s="41"/>
      <c r="B921" s="41"/>
      <c r="C921" s="41"/>
      <c r="D921" s="41"/>
      <c r="E921" s="41"/>
      <c r="F921" s="41"/>
      <c r="G921" s="64"/>
      <c r="H921" s="64"/>
      <c r="I921" s="54" t="s">
        <v>164</v>
      </c>
      <c r="J921" s="64"/>
      <c r="K921" s="64"/>
      <c r="L921" s="64"/>
      <c r="M921" s="64"/>
      <c r="N921" s="64"/>
      <c r="O921" s="64"/>
      <c r="P921" s="64"/>
      <c r="Q921" s="56">
        <f>Hypo2CI_3-(Hypo2CI_3*RDS2CLD_3)</f>
        <v>3.2801999999999998E-2</v>
      </c>
      <c r="R921" s="56"/>
      <c r="S921" s="129"/>
      <c r="T921" s="105"/>
      <c r="U921" s="133"/>
      <c r="V921" s="133"/>
      <c r="W921" s="133"/>
      <c r="X921" s="133"/>
      <c r="Y921" s="133"/>
      <c r="Z921" s="134">
        <f t="shared" si="110"/>
        <v>0</v>
      </c>
      <c r="AA921" s="6">
        <f t="shared" si="109"/>
        <v>0</v>
      </c>
    </row>
    <row r="922" spans="1:27" x14ac:dyDescent="0.3">
      <c r="A922" s="41"/>
      <c r="B922" s="41"/>
      <c r="C922" s="41"/>
      <c r="D922" s="41"/>
      <c r="E922" s="41"/>
      <c r="F922" s="41"/>
      <c r="G922" s="64"/>
      <c r="H922" s="64"/>
      <c r="I922" s="56">
        <f>LBW_prem_2SGA_3</f>
        <v>0.44409547738693467</v>
      </c>
      <c r="J922" s="64"/>
      <c r="K922" s="64"/>
      <c r="L922" s="64"/>
      <c r="M922" s="64"/>
      <c r="N922" s="64"/>
      <c r="O922" s="54" t="s">
        <v>161</v>
      </c>
      <c r="P922" s="64"/>
      <c r="Q922" s="57">
        <f>c_cog+c_hosp_fu+c_CSG</f>
        <v>15766</v>
      </c>
      <c r="R922" s="57"/>
      <c r="S922" s="129"/>
      <c r="T922" s="105"/>
      <c r="U922" s="133"/>
      <c r="V922" s="133"/>
      <c r="W922" s="133"/>
      <c r="X922" s="133"/>
      <c r="Y922" s="133"/>
      <c r="Z922" s="134">
        <f t="shared" si="110"/>
        <v>0</v>
      </c>
      <c r="AA922" s="6">
        <f t="shared" si="109"/>
        <v>0</v>
      </c>
    </row>
    <row r="923" spans="1:27" x14ac:dyDescent="0.3">
      <c r="A923" s="41"/>
      <c r="B923" s="41"/>
      <c r="C923" s="41"/>
      <c r="D923" s="41"/>
      <c r="E923" s="41"/>
      <c r="F923" s="41"/>
      <c r="G923" s="64"/>
      <c r="H923" s="64"/>
      <c r="I923" s="57"/>
      <c r="J923" s="64"/>
      <c r="K923" s="64"/>
      <c r="L923" s="64"/>
      <c r="M923" s="64"/>
      <c r="N923" s="64"/>
      <c r="O923" s="56">
        <f>SGA_prem_2hypoglycaemia_3</f>
        <v>0.2155</v>
      </c>
      <c r="P923" s="64"/>
      <c r="Q923" s="54" t="s">
        <v>369</v>
      </c>
      <c r="R923" s="54"/>
      <c r="S923" s="129"/>
      <c r="T923" s="105"/>
      <c r="U923" s="133">
        <f>$K$933*$I$922*$G$946*$E$984*$C$1053*$A$1008*$M$928*$O$923*Q924</f>
        <v>7.1166513531976426E-5</v>
      </c>
      <c r="V923" s="133">
        <v>7.1166513531976426E-5</v>
      </c>
      <c r="W923" s="134">
        <f>$K$934+$I$923+$G$947+$E$985+$C$1054+$A$1009+$M$929+$O$924+Q925</f>
        <v>291287.0487587137</v>
      </c>
      <c r="X923" s="133">
        <f>u_ChronicResp+u_CongnitiveImpairement</f>
        <v>17.805052694763283</v>
      </c>
      <c r="Y923" s="133"/>
      <c r="Z923" s="134">
        <f t="shared" si="110"/>
        <v>20.729883697176476</v>
      </c>
      <c r="AA923" s="6">
        <f t="shared" si="109"/>
        <v>1.2671235235394245E-3</v>
      </c>
    </row>
    <row r="924" spans="1:27" x14ac:dyDescent="0.3">
      <c r="A924" s="41"/>
      <c r="B924" s="41"/>
      <c r="C924" s="41"/>
      <c r="D924" s="41"/>
      <c r="E924" s="41"/>
      <c r="F924" s="41"/>
      <c r="G924" s="64"/>
      <c r="H924" s="64"/>
      <c r="I924" s="64"/>
      <c r="J924" s="64"/>
      <c r="K924" s="64"/>
      <c r="L924" s="64"/>
      <c r="M924" s="64"/>
      <c r="N924" s="64"/>
      <c r="O924" s="57">
        <f>c_hypo</f>
        <v>2936.2604000000001</v>
      </c>
      <c r="P924" s="64"/>
      <c r="Q924" s="56">
        <f>Hypo2CI_3*RDS2CLD_3</f>
        <v>1.8531333333333334E-2</v>
      </c>
      <c r="R924" s="56"/>
      <c r="S924" s="129"/>
      <c r="T924" s="105"/>
      <c r="U924" s="133"/>
      <c r="V924" s="133"/>
      <c r="W924" s="133"/>
      <c r="X924" s="133"/>
      <c r="Y924" s="133"/>
      <c r="Z924" s="134">
        <f t="shared" si="110"/>
        <v>0</v>
      </c>
      <c r="AA924" s="6">
        <f t="shared" si="109"/>
        <v>0</v>
      </c>
    </row>
    <row r="925" spans="1:27" x14ac:dyDescent="0.3">
      <c r="A925" s="41"/>
      <c r="B925" s="41"/>
      <c r="C925" s="41"/>
      <c r="D925" s="41"/>
      <c r="E925" s="41"/>
      <c r="F925" s="41"/>
      <c r="G925" s="64"/>
      <c r="H925" s="64"/>
      <c r="I925" s="64"/>
      <c r="J925" s="64"/>
      <c r="K925" s="64"/>
      <c r="L925" s="64"/>
      <c r="M925" s="65"/>
      <c r="N925" s="64"/>
      <c r="O925" s="53"/>
      <c r="P925" s="64"/>
      <c r="Q925" s="57">
        <f>c_lung+c_cog+c_hosp_fu+c_CSG</f>
        <v>58348.510902399998</v>
      </c>
      <c r="R925" s="57"/>
      <c r="S925" s="129"/>
      <c r="T925" s="105"/>
      <c r="U925" s="133"/>
      <c r="V925" s="133"/>
      <c r="W925" s="133"/>
      <c r="X925" s="133"/>
      <c r="Y925" s="133"/>
      <c r="Z925" s="134">
        <f t="shared" si="110"/>
        <v>0</v>
      </c>
      <c r="AA925" s="6">
        <f t="shared" si="109"/>
        <v>0</v>
      </c>
    </row>
    <row r="926" spans="1:27" x14ac:dyDescent="0.3">
      <c r="A926" s="41"/>
      <c r="B926" s="41"/>
      <c r="C926" s="41"/>
      <c r="D926" s="41"/>
      <c r="E926" s="41"/>
      <c r="F926" s="41"/>
      <c r="G926" s="64"/>
      <c r="H926" s="64"/>
      <c r="I926" s="64"/>
      <c r="J926" s="64"/>
      <c r="K926" s="64"/>
      <c r="L926" s="64"/>
      <c r="M926" s="64"/>
      <c r="N926" s="64"/>
      <c r="O926" s="64"/>
      <c r="P926" s="64"/>
      <c r="Q926" s="54" t="s">
        <v>370</v>
      </c>
      <c r="R926" s="54"/>
      <c r="S926" s="129"/>
      <c r="T926" s="105"/>
      <c r="U926" s="133">
        <f>$K$933*$I$922*$G$946*$E$984*$C$1053*$A$1008*$M$928*$O$923*Q927</f>
        <v>2.3280029231602536E-3</v>
      </c>
      <c r="V926" s="133">
        <v>2.3280029231602536E-3</v>
      </c>
      <c r="W926" s="134">
        <f>$K$934+$I$923+$G$947+$E$985+$C$1054+$A$1009+$M$929+$O$924+Q928</f>
        <v>247341.53785631372</v>
      </c>
      <c r="X926" s="133">
        <f>u_Healthy</f>
        <v>0</v>
      </c>
      <c r="Y926" s="133"/>
      <c r="Z926" s="134">
        <f t="shared" si="110"/>
        <v>575.81182314845091</v>
      </c>
      <c r="AA926" s="6">
        <f t="shared" si="109"/>
        <v>0</v>
      </c>
    </row>
    <row r="927" spans="1:27" x14ac:dyDescent="0.3">
      <c r="A927" s="41"/>
      <c r="B927" s="41"/>
      <c r="C927" s="41"/>
      <c r="D927" s="41"/>
      <c r="E927" s="41"/>
      <c r="F927" s="41"/>
      <c r="G927" s="64"/>
      <c r="H927" s="64"/>
      <c r="I927" s="64"/>
      <c r="J927" s="64"/>
      <c r="K927" s="64"/>
      <c r="L927" s="64"/>
      <c r="M927" s="54" t="s">
        <v>9</v>
      </c>
      <c r="N927" s="64"/>
      <c r="O927" s="64"/>
      <c r="P927" s="64"/>
      <c r="Q927" s="56">
        <f>1-Q918-Q921-Q924</f>
        <v>0.60619800000000001</v>
      </c>
      <c r="R927" s="56"/>
      <c r="S927" s="129"/>
      <c r="T927" s="105"/>
      <c r="U927" s="133"/>
      <c r="V927" s="133"/>
      <c r="W927" s="133"/>
      <c r="X927" s="133"/>
      <c r="Y927" s="133"/>
      <c r="Z927" s="134">
        <f t="shared" si="110"/>
        <v>0</v>
      </c>
      <c r="AA927" s="6">
        <f t="shared" si="109"/>
        <v>0</v>
      </c>
    </row>
    <row r="928" spans="1:27" x14ac:dyDescent="0.3">
      <c r="A928" s="41"/>
      <c r="B928" s="41"/>
      <c r="C928" s="41"/>
      <c r="D928" s="41"/>
      <c r="E928" s="41"/>
      <c r="F928" s="41"/>
      <c r="G928" s="64"/>
      <c r="H928" s="64"/>
      <c r="I928" s="64"/>
      <c r="J928" s="64"/>
      <c r="K928" s="65"/>
      <c r="L928" s="64"/>
      <c r="M928" s="56">
        <f>S_prem_2RDS_3</f>
        <v>0.45</v>
      </c>
      <c r="N928" s="64"/>
      <c r="O928" s="64"/>
      <c r="P928" s="64"/>
      <c r="Q928" s="57">
        <f>c_clinic_fu+c_CSG</f>
        <v>14403</v>
      </c>
      <c r="R928" s="57"/>
      <c r="S928" s="129"/>
      <c r="T928" s="105"/>
      <c r="U928" s="133"/>
      <c r="V928" s="133"/>
      <c r="W928" s="133"/>
      <c r="X928" s="133"/>
      <c r="Y928" s="133"/>
      <c r="Z928" s="134">
        <f t="shared" si="110"/>
        <v>0</v>
      </c>
      <c r="AA928" s="6">
        <f t="shared" si="109"/>
        <v>0</v>
      </c>
    </row>
    <row r="929" spans="1:27" x14ac:dyDescent="0.3">
      <c r="A929" s="41"/>
      <c r="B929" s="41"/>
      <c r="C929" s="41"/>
      <c r="D929" s="41"/>
      <c r="E929" s="41"/>
      <c r="F929" s="41"/>
      <c r="G929" s="64"/>
      <c r="H929" s="64"/>
      <c r="I929" s="64"/>
      <c r="J929" s="64"/>
      <c r="K929" s="65"/>
      <c r="L929" s="64"/>
      <c r="M929" s="57">
        <f>c_RDS</f>
        <v>30595.610148205637</v>
      </c>
      <c r="N929" s="64"/>
      <c r="O929" s="64"/>
      <c r="P929" s="64"/>
      <c r="Q929" s="65"/>
      <c r="R929" s="65"/>
      <c r="S929" s="129"/>
      <c r="T929" s="105"/>
      <c r="U929" s="133"/>
      <c r="V929" s="133"/>
      <c r="W929" s="133"/>
      <c r="X929" s="133"/>
      <c r="Y929" s="133"/>
      <c r="Z929" s="134">
        <f t="shared" si="110"/>
        <v>0</v>
      </c>
      <c r="AA929" s="6">
        <f t="shared" si="109"/>
        <v>0</v>
      </c>
    </row>
    <row r="930" spans="1:27" x14ac:dyDescent="0.3">
      <c r="A930" s="41"/>
      <c r="B930" s="41"/>
      <c r="C930" s="41"/>
      <c r="D930" s="41"/>
      <c r="E930" s="41"/>
      <c r="F930" s="41"/>
      <c r="G930" s="64"/>
      <c r="H930" s="64"/>
      <c r="I930" s="64"/>
      <c r="J930" s="64"/>
      <c r="K930" s="64"/>
      <c r="L930" s="64"/>
      <c r="M930" s="64"/>
      <c r="N930" s="64"/>
      <c r="O930" s="64"/>
      <c r="P930" s="64"/>
      <c r="Q930" s="54" t="s">
        <v>368</v>
      </c>
      <c r="R930" s="54"/>
      <c r="S930" s="129"/>
      <c r="T930" s="105"/>
      <c r="U930" s="133">
        <f>$K$933*$I$922*$G$946*$E$984*$C$1053*$A$1008*$M$928*$O$933*Q931</f>
        <v>4.8798889171454531E-3</v>
      </c>
      <c r="V930" s="133">
        <v>4.879888917145454E-3</v>
      </c>
      <c r="W930" s="134">
        <f>$K$934+$I$923+$G$947+$E$985+$C$1054+$A$1009+$M$929+$O$934+Q932</f>
        <v>284531.78835871373</v>
      </c>
      <c r="X930" s="133">
        <f>u_ChronicResp</f>
        <v>0.53465956747782661</v>
      </c>
      <c r="Y930" s="133"/>
      <c r="Z930" s="134">
        <f t="shared" si="110"/>
        <v>1388.4835205872628</v>
      </c>
      <c r="AA930" s="6">
        <f t="shared" si="109"/>
        <v>2.6090792977808276E-3</v>
      </c>
    </row>
    <row r="931" spans="1:27" x14ac:dyDescent="0.3">
      <c r="A931" s="41"/>
      <c r="B931" s="41"/>
      <c r="C931" s="41"/>
      <c r="D931" s="41"/>
      <c r="E931" s="41"/>
      <c r="F931" s="41"/>
      <c r="G931" s="64"/>
      <c r="H931" s="64"/>
      <c r="I931" s="64"/>
      <c r="J931" s="64"/>
      <c r="K931" s="64"/>
      <c r="L931" s="64"/>
      <c r="M931" s="64"/>
      <c r="N931" s="64"/>
      <c r="O931" s="64"/>
      <c r="P931" s="64"/>
      <c r="Q931" s="56">
        <f>RDS2CLD_3-(RDS2CLD_3*noHypo2CI_3)</f>
        <v>0.34905610687022898</v>
      </c>
      <c r="R931" s="56"/>
      <c r="S931" s="129"/>
      <c r="T931" s="105"/>
      <c r="U931" s="133"/>
      <c r="V931" s="133"/>
      <c r="W931" s="133"/>
      <c r="X931" s="133"/>
      <c r="Y931" s="133"/>
      <c r="Z931" s="134">
        <f t="shared" si="110"/>
        <v>0</v>
      </c>
      <c r="AA931" s="6">
        <f t="shared" si="109"/>
        <v>0</v>
      </c>
    </row>
    <row r="932" spans="1:27" x14ac:dyDescent="0.3">
      <c r="A932" s="41"/>
      <c r="B932" s="41"/>
      <c r="C932" s="41"/>
      <c r="D932" s="41"/>
      <c r="E932" s="41"/>
      <c r="F932" s="41"/>
      <c r="G932" s="64"/>
      <c r="H932" s="64"/>
      <c r="I932" s="64"/>
      <c r="J932" s="64"/>
      <c r="K932" s="54" t="s">
        <v>37</v>
      </c>
      <c r="L932" s="64"/>
      <c r="M932" s="65"/>
      <c r="N932" s="64"/>
      <c r="O932" s="54" t="s">
        <v>371</v>
      </c>
      <c r="P932" s="64"/>
      <c r="Q932" s="57">
        <f>c_lung+c_hosp_fu+c_CSG</f>
        <v>54529.510902399998</v>
      </c>
      <c r="R932" s="57"/>
      <c r="S932" s="129"/>
      <c r="T932" s="105"/>
      <c r="U932" s="133"/>
      <c r="V932" s="133"/>
      <c r="W932" s="133"/>
      <c r="X932" s="133"/>
      <c r="Y932" s="133"/>
      <c r="Z932" s="134">
        <f t="shared" si="110"/>
        <v>0</v>
      </c>
      <c r="AA932" s="6">
        <f t="shared" si="109"/>
        <v>0</v>
      </c>
    </row>
    <row r="933" spans="1:27" x14ac:dyDescent="0.3">
      <c r="A933" s="41"/>
      <c r="B933" s="41"/>
      <c r="C933" s="41"/>
      <c r="D933" s="41"/>
      <c r="E933" s="41"/>
      <c r="F933" s="41"/>
      <c r="G933" s="64"/>
      <c r="H933" s="64"/>
      <c r="I933" s="64"/>
      <c r="J933" s="64"/>
      <c r="K933" s="56">
        <f>SGA_prem_2s_3</f>
        <v>0.91593333333333338</v>
      </c>
      <c r="L933" s="64"/>
      <c r="M933" s="64"/>
      <c r="N933" s="64"/>
      <c r="O933" s="56">
        <f>SGA_prem_2normoglycaemia_3</f>
        <v>0.78449999999999998</v>
      </c>
      <c r="P933" s="64"/>
      <c r="Q933" s="54" t="s">
        <v>226</v>
      </c>
      <c r="R933" s="54"/>
      <c r="S933" s="129"/>
      <c r="T933" s="105"/>
      <c r="U933" s="133">
        <f>$K$933*$I$922*$G$946*$E$984*$C$1053*$A$1008*$M$928*$O$933*Q934</f>
        <v>2.9556585464905798E-4</v>
      </c>
      <c r="V933" s="133">
        <v>2.9556585464905798E-4</v>
      </c>
      <c r="W933" s="134">
        <f>$K$934+$I$923+$G$947+$E$985+$C$1054+$A$1009+$M$929+$O$934+Q935</f>
        <v>245768.27745631372</v>
      </c>
      <c r="X933" s="133">
        <f>u_CongnitiveImpairement</f>
        <v>17.270393127285455</v>
      </c>
      <c r="Y933" s="133"/>
      <c r="Z933" s="134">
        <f t="shared" si="110"/>
        <v>72.640710972002168</v>
      </c>
      <c r="AA933" s="6">
        <f t="shared" si="109"/>
        <v>5.1045385047913429E-3</v>
      </c>
    </row>
    <row r="934" spans="1:27" x14ac:dyDescent="0.3">
      <c r="A934" s="41"/>
      <c r="B934" s="41"/>
      <c r="C934" s="41"/>
      <c r="D934" s="41"/>
      <c r="E934" s="41"/>
      <c r="F934" s="41"/>
      <c r="G934" s="41"/>
      <c r="H934" s="64"/>
      <c r="I934" s="64"/>
      <c r="J934" s="64"/>
      <c r="K934" s="57"/>
      <c r="L934" s="64"/>
      <c r="M934" s="64"/>
      <c r="N934" s="64"/>
      <c r="O934" s="57"/>
      <c r="P934" s="64"/>
      <c r="Q934" s="56">
        <f>noHypo2CI_3-(RDS2CLD_3*noHypo2CI_3)</f>
        <v>2.1141683406990762E-2</v>
      </c>
      <c r="R934" s="56"/>
      <c r="S934" s="129"/>
      <c r="T934" s="105"/>
      <c r="U934" s="133"/>
      <c r="V934" s="133"/>
      <c r="W934" s="133"/>
      <c r="X934" s="133"/>
      <c r="Y934" s="133"/>
      <c r="Z934" s="134">
        <f t="shared" si="110"/>
        <v>0</v>
      </c>
      <c r="AA934" s="6">
        <f t="shared" si="109"/>
        <v>0</v>
      </c>
    </row>
    <row r="935" spans="1:27" x14ac:dyDescent="0.3">
      <c r="A935" s="41"/>
      <c r="B935" s="41"/>
      <c r="C935" s="41"/>
      <c r="D935" s="41"/>
      <c r="E935" s="41"/>
      <c r="F935" s="41"/>
      <c r="G935" s="41"/>
      <c r="H935" s="64"/>
      <c r="I935" s="64"/>
      <c r="J935" s="64"/>
      <c r="K935" s="64"/>
      <c r="L935" s="64"/>
      <c r="M935" s="64"/>
      <c r="N935" s="64"/>
      <c r="O935" s="53"/>
      <c r="P935" s="64"/>
      <c r="Q935" s="57">
        <f>c_cog+c_hosp_fu+c_CSG</f>
        <v>15766</v>
      </c>
      <c r="R935" s="57"/>
      <c r="S935" s="129"/>
      <c r="T935" s="105"/>
      <c r="U935" s="133"/>
      <c r="V935" s="133"/>
      <c r="W935" s="133"/>
      <c r="X935" s="133"/>
      <c r="Y935" s="133"/>
      <c r="Z935" s="134">
        <f t="shared" si="110"/>
        <v>0</v>
      </c>
      <c r="AA935" s="6">
        <f t="shared" si="109"/>
        <v>0</v>
      </c>
    </row>
    <row r="936" spans="1:27" x14ac:dyDescent="0.3">
      <c r="A936" s="41"/>
      <c r="B936" s="41"/>
      <c r="C936" s="41"/>
      <c r="D936" s="41"/>
      <c r="E936" s="41"/>
      <c r="F936" s="41"/>
      <c r="G936" s="41"/>
      <c r="H936" s="64"/>
      <c r="I936" s="64"/>
      <c r="J936" s="64"/>
      <c r="K936" s="64"/>
      <c r="L936" s="64"/>
      <c r="M936" s="64"/>
      <c r="N936" s="64"/>
      <c r="O936" s="53"/>
      <c r="P936" s="64"/>
      <c r="Q936" s="54" t="s">
        <v>369</v>
      </c>
      <c r="R936" s="54"/>
      <c r="S936" s="129"/>
      <c r="T936" s="105"/>
      <c r="U936" s="133">
        <f>$K$933*$I$922*$G$946*$E$984*$C$1053*$A$1008*$M$928*$O$933*Q937</f>
        <v>1.6697851882364618E-4</v>
      </c>
      <c r="V936" s="133">
        <v>1.6697851882364618E-4</v>
      </c>
      <c r="W936" s="134">
        <f>$K$934+$I$923+$G$947+$E$985+$C$1054+$A$1009+$M$929+$O$934+Q938</f>
        <v>288350.78835871373</v>
      </c>
      <c r="X936" s="133">
        <f>u_ChronicResp+u_CongnitiveImpairement</f>
        <v>17.805052694763283</v>
      </c>
      <c r="Y936" s="133"/>
      <c r="Z936" s="134">
        <f t="shared" si="110"/>
        <v>48.148387541768699</v>
      </c>
      <c r="AA936" s="6">
        <f t="shared" si="109"/>
        <v>2.9730613265485429E-3</v>
      </c>
    </row>
    <row r="937" spans="1:27" x14ac:dyDescent="0.3">
      <c r="A937" s="41"/>
      <c r="B937" s="41"/>
      <c r="C937" s="41"/>
      <c r="D937" s="41"/>
      <c r="E937" s="41"/>
      <c r="F937" s="41"/>
      <c r="G937" s="65"/>
      <c r="H937" s="64"/>
      <c r="I937" s="64"/>
      <c r="J937" s="64"/>
      <c r="K937" s="64"/>
      <c r="L937" s="64"/>
      <c r="M937" s="64"/>
      <c r="N937" s="64"/>
      <c r="O937" s="53"/>
      <c r="P937" s="64"/>
      <c r="Q937" s="56">
        <f>RDS2CLD_3*noHypo2CI_3</f>
        <v>1.1943893129770991E-2</v>
      </c>
      <c r="R937" s="56"/>
      <c r="S937" s="129"/>
      <c r="T937" s="105"/>
      <c r="U937" s="133"/>
      <c r="V937" s="133"/>
      <c r="W937" s="133"/>
      <c r="X937" s="133"/>
      <c r="Y937" s="133"/>
      <c r="Z937" s="134">
        <f t="shared" si="110"/>
        <v>0</v>
      </c>
      <c r="AA937" s="6">
        <f t="shared" si="109"/>
        <v>0</v>
      </c>
    </row>
    <row r="938" spans="1:27" x14ac:dyDescent="0.3">
      <c r="A938" s="41"/>
      <c r="B938" s="41"/>
      <c r="C938" s="41"/>
      <c r="D938" s="41"/>
      <c r="E938" s="41"/>
      <c r="F938" s="41"/>
      <c r="G938" s="65"/>
      <c r="H938" s="64"/>
      <c r="I938" s="64"/>
      <c r="J938" s="64"/>
      <c r="K938" s="64"/>
      <c r="L938" s="64"/>
      <c r="M938" s="64"/>
      <c r="N938" s="64"/>
      <c r="O938" s="53"/>
      <c r="P938" s="64"/>
      <c r="Q938" s="57">
        <f>c_cog+c_lung+c_hosp_fu+c_CSG</f>
        <v>58348.510902399998</v>
      </c>
      <c r="R938" s="57"/>
      <c r="S938" s="129"/>
      <c r="T938" s="105"/>
      <c r="U938" s="133"/>
      <c r="V938" s="133"/>
      <c r="W938" s="133"/>
      <c r="X938" s="133"/>
      <c r="Y938" s="133"/>
      <c r="Z938" s="134">
        <f t="shared" si="110"/>
        <v>0</v>
      </c>
      <c r="AA938" s="6">
        <f t="shared" si="109"/>
        <v>0</v>
      </c>
    </row>
    <row r="939" spans="1:27" x14ac:dyDescent="0.3">
      <c r="A939" s="41"/>
      <c r="B939" s="41"/>
      <c r="C939" s="41"/>
      <c r="D939" s="41"/>
      <c r="E939" s="41"/>
      <c r="F939" s="41"/>
      <c r="G939" s="64"/>
      <c r="H939" s="64"/>
      <c r="I939" s="64"/>
      <c r="J939" s="64"/>
      <c r="K939" s="64"/>
      <c r="L939" s="64"/>
      <c r="M939" s="64"/>
      <c r="N939" s="64"/>
      <c r="O939" s="53"/>
      <c r="P939" s="64"/>
      <c r="Q939" s="54" t="s">
        <v>370</v>
      </c>
      <c r="R939" s="54"/>
      <c r="S939" s="129"/>
      <c r="T939" s="105"/>
      <c r="U939" s="133">
        <f>$K$933*$I$922*$G$946*$E$984*$C$1053*$A$1008*$M$928*$O$933*Q940</f>
        <v>8.6378089142823983E-3</v>
      </c>
      <c r="V939" s="133">
        <v>8.6378089142823983E-3</v>
      </c>
      <c r="W939" s="134">
        <f>$K$934+$I$923+$G$947+$E$985+$C$1054+$A$1009+$M$929+$O$934+Q941</f>
        <v>244405.27745631372</v>
      </c>
      <c r="X939" s="133">
        <f>u_Healthy</f>
        <v>0</v>
      </c>
      <c r="Y939" s="133"/>
      <c r="Z939" s="134">
        <f t="shared" si="110"/>
        <v>2111.1260843098094</v>
      </c>
      <c r="AA939" s="6">
        <f t="shared" si="109"/>
        <v>0</v>
      </c>
    </row>
    <row r="940" spans="1:27" x14ac:dyDescent="0.3">
      <c r="A940" s="41"/>
      <c r="B940" s="41"/>
      <c r="C940" s="41"/>
      <c r="D940" s="41"/>
      <c r="E940" s="41"/>
      <c r="F940" s="41"/>
      <c r="G940" s="64"/>
      <c r="H940" s="64"/>
      <c r="I940" s="64"/>
      <c r="J940" s="64"/>
      <c r="K940" s="64"/>
      <c r="L940" s="64"/>
      <c r="M940" s="64"/>
      <c r="N940" s="64"/>
      <c r="O940" s="53"/>
      <c r="P940" s="64"/>
      <c r="Q940" s="56">
        <f>1-Q937-Q934-Q931</f>
        <v>0.61785831659300938</v>
      </c>
      <c r="R940" s="56"/>
      <c r="T940" s="105"/>
      <c r="U940" s="133"/>
      <c r="V940" s="133"/>
      <c r="W940" s="133"/>
      <c r="X940" s="133"/>
      <c r="Y940" s="133"/>
      <c r="Z940" s="134">
        <f t="shared" si="110"/>
        <v>0</v>
      </c>
      <c r="AA940" s="6">
        <f t="shared" si="109"/>
        <v>0</v>
      </c>
    </row>
    <row r="941" spans="1:27" x14ac:dyDescent="0.3">
      <c r="A941" s="41"/>
      <c r="B941" s="41"/>
      <c r="C941" s="41"/>
      <c r="D941" s="41"/>
      <c r="E941" s="41"/>
      <c r="F941" s="41"/>
      <c r="G941" s="64"/>
      <c r="H941" s="64"/>
      <c r="I941" s="64"/>
      <c r="J941" s="64"/>
      <c r="K941" s="64"/>
      <c r="L941" s="64"/>
      <c r="M941" s="64"/>
      <c r="N941" s="64"/>
      <c r="O941" s="64"/>
      <c r="P941" s="64"/>
      <c r="Q941" s="57">
        <f>c_clinic_fu+c_CSG</f>
        <v>14403</v>
      </c>
      <c r="R941" s="57"/>
      <c r="S941" s="129"/>
      <c r="T941" s="105"/>
      <c r="U941" s="133"/>
      <c r="V941" s="133"/>
      <c r="W941" s="133"/>
      <c r="X941" s="133"/>
      <c r="Y941" s="133"/>
      <c r="Z941" s="134">
        <f t="shared" si="110"/>
        <v>0</v>
      </c>
      <c r="AA941" s="6">
        <f t="shared" si="109"/>
        <v>0</v>
      </c>
    </row>
    <row r="942" spans="1:27" x14ac:dyDescent="0.3">
      <c r="A942" s="41"/>
      <c r="B942" s="41"/>
      <c r="C942" s="41"/>
      <c r="D942" s="41"/>
      <c r="E942" s="41"/>
      <c r="F942" s="41"/>
      <c r="G942" s="64"/>
      <c r="H942" s="64"/>
      <c r="I942" s="64"/>
      <c r="J942" s="64"/>
      <c r="K942" s="64"/>
      <c r="L942" s="64"/>
      <c r="M942" s="64"/>
      <c r="N942" s="64"/>
      <c r="O942" s="64"/>
      <c r="P942" s="64"/>
      <c r="Q942" s="65"/>
      <c r="R942" s="65"/>
      <c r="S942" s="129"/>
      <c r="T942" s="105"/>
      <c r="U942" s="133"/>
      <c r="V942" s="133"/>
      <c r="W942" s="133"/>
      <c r="X942" s="133"/>
      <c r="Y942" s="133"/>
      <c r="Z942" s="134">
        <f t="shared" si="110"/>
        <v>0</v>
      </c>
      <c r="AA942" s="6">
        <f t="shared" si="109"/>
        <v>0</v>
      </c>
    </row>
    <row r="943" spans="1:27" x14ac:dyDescent="0.3">
      <c r="A943" s="41"/>
      <c r="B943" s="41"/>
      <c r="C943" s="41"/>
      <c r="D943" s="41"/>
      <c r="E943" s="41"/>
      <c r="F943" s="41"/>
      <c r="G943" s="64"/>
      <c r="H943" s="64"/>
      <c r="I943" s="64"/>
      <c r="J943" s="64"/>
      <c r="K943" s="64"/>
      <c r="L943" s="64"/>
      <c r="M943" s="64"/>
      <c r="N943" s="64"/>
      <c r="O943" s="64"/>
      <c r="P943" s="64"/>
      <c r="Q943" s="54" t="s">
        <v>368</v>
      </c>
      <c r="R943" s="54"/>
      <c r="S943" s="129"/>
      <c r="T943" s="105"/>
      <c r="U943" s="133">
        <f>$K$933*$I$922*$G$946*$E$984*$C$1053*$A$1008*$M$948*$O$946*Q944</f>
        <v>0</v>
      </c>
      <c r="V943" s="133">
        <v>0</v>
      </c>
      <c r="W943" s="134">
        <f>$K$934+$I$923+$G$947+$E$985+$C$1054+$A$1009+$M$949+$O$947+Q945</f>
        <v>256872.43861050811</v>
      </c>
      <c r="X943" s="133">
        <f>u_ChronicResp</f>
        <v>0.53465956747782661</v>
      </c>
      <c r="Y943" s="133"/>
      <c r="Z943" s="134">
        <f t="shared" si="110"/>
        <v>0</v>
      </c>
      <c r="AA943" s="6">
        <f t="shared" si="109"/>
        <v>0</v>
      </c>
    </row>
    <row r="944" spans="1:27" x14ac:dyDescent="0.3">
      <c r="A944" s="41"/>
      <c r="B944" s="41"/>
      <c r="C944" s="41"/>
      <c r="D944" s="41"/>
      <c r="E944" s="41"/>
      <c r="F944" s="41"/>
      <c r="G944" s="64"/>
      <c r="H944" s="64"/>
      <c r="I944" s="64"/>
      <c r="J944" s="64"/>
      <c r="K944" s="64"/>
      <c r="L944" s="64"/>
      <c r="M944" s="64"/>
      <c r="N944" s="64"/>
      <c r="O944" s="64"/>
      <c r="P944" s="64"/>
      <c r="Q944" s="56">
        <f>noRDS2CLD_3-(Hypo2CI_3*noRDS2CLD_3)</f>
        <v>0</v>
      </c>
      <c r="R944" s="56"/>
      <c r="S944" s="129"/>
      <c r="T944" s="105"/>
      <c r="U944" s="133"/>
      <c r="V944" s="133"/>
      <c r="W944" s="133"/>
      <c r="X944" s="133"/>
      <c r="Y944" s="133"/>
      <c r="Z944" s="134">
        <f t="shared" si="110"/>
        <v>0</v>
      </c>
      <c r="AA944" s="6">
        <f t="shared" si="109"/>
        <v>0</v>
      </c>
    </row>
    <row r="945" spans="1:27" x14ac:dyDescent="0.3">
      <c r="A945" s="41"/>
      <c r="B945" s="41"/>
      <c r="C945" s="41"/>
      <c r="D945" s="41"/>
      <c r="E945" s="41"/>
      <c r="F945" s="41"/>
      <c r="G945" s="54" t="s">
        <v>8</v>
      </c>
      <c r="H945" s="64"/>
      <c r="I945" s="64"/>
      <c r="J945" s="64"/>
      <c r="K945" s="64"/>
      <c r="L945" s="64"/>
      <c r="M945" s="64"/>
      <c r="N945" s="64"/>
      <c r="O945" s="54" t="s">
        <v>161</v>
      </c>
      <c r="P945" s="64"/>
      <c r="Q945" s="57">
        <f>c_lung+c_hosp_fu+c_CSG</f>
        <v>54529.510902399998</v>
      </c>
      <c r="R945" s="57"/>
      <c r="S945" s="129"/>
      <c r="T945" s="105"/>
      <c r="U945" s="133"/>
      <c r="V945" s="133"/>
      <c r="W945" s="133"/>
      <c r="X945" s="133"/>
      <c r="Y945" s="133"/>
      <c r="Z945" s="134">
        <f t="shared" si="110"/>
        <v>0</v>
      </c>
      <c r="AA945" s="6">
        <f t="shared" si="109"/>
        <v>0</v>
      </c>
    </row>
    <row r="946" spans="1:27" x14ac:dyDescent="0.3">
      <c r="A946" s="41"/>
      <c r="B946" s="41"/>
      <c r="C946" s="41"/>
      <c r="D946" s="41"/>
      <c r="E946" s="41"/>
      <c r="F946" s="41"/>
      <c r="G946" s="56">
        <f>Prem2LBW_3</f>
        <v>0.68135593220338986</v>
      </c>
      <c r="H946" s="64"/>
      <c r="I946" s="64"/>
      <c r="J946" s="64"/>
      <c r="K946" s="64"/>
      <c r="L946" s="64"/>
      <c r="M946" s="64"/>
      <c r="N946" s="64"/>
      <c r="O946" s="56">
        <f>SGA_prem_2hypoglycaemia_3</f>
        <v>0.2155</v>
      </c>
      <c r="P946" s="64"/>
      <c r="Q946" s="54" t="s">
        <v>226</v>
      </c>
      <c r="R946" s="54"/>
      <c r="S946" s="129"/>
      <c r="T946" s="105"/>
      <c r="U946" s="133">
        <f>$K$933*$I$922*$G$946*$E$984*$C$1053*$A$1008*$M$948*$O$946*Q947</f>
        <v>2.4094541362011099E-4</v>
      </c>
      <c r="V946" s="133">
        <v>2.4094541362011101E-4</v>
      </c>
      <c r="W946" s="134">
        <f>$K$934+$I$923+$G$947+$E$985+$C$1054+$A$1009+$M$949+$O$947+Q948</f>
        <v>218108.92770810809</v>
      </c>
      <c r="X946" s="133">
        <f>u_CongnitiveImpairement</f>
        <v>17.270393127285455</v>
      </c>
      <c r="Y946" s="133"/>
      <c r="Z946" s="134">
        <f t="shared" si="110"/>
        <v>52.552345800868991</v>
      </c>
      <c r="AA946" s="6">
        <f t="shared" si="109"/>
        <v>4.1612220154357161E-3</v>
      </c>
    </row>
    <row r="947" spans="1:27" x14ac:dyDescent="0.3">
      <c r="A947" s="41"/>
      <c r="B947" s="41"/>
      <c r="C947" s="41"/>
      <c r="D947" s="41"/>
      <c r="E947" s="41"/>
      <c r="F947" s="41"/>
      <c r="G947" s="57">
        <f>c_LBW</f>
        <v>198651.76559999998</v>
      </c>
      <c r="H947" s="64"/>
      <c r="I947" s="64"/>
      <c r="J947" s="64"/>
      <c r="K947" s="64"/>
      <c r="L947" s="64"/>
      <c r="M947" s="54" t="s">
        <v>203</v>
      </c>
      <c r="N947" s="64"/>
      <c r="O947" s="57">
        <f>c_hypo</f>
        <v>2936.2604000000001</v>
      </c>
      <c r="P947" s="64"/>
      <c r="Q947" s="56">
        <f>Hypo2CI_3-(Hypo2CI_3*noRDS2CLD_3)</f>
        <v>5.1333333333333335E-2</v>
      </c>
      <c r="R947" s="56"/>
      <c r="S947" s="129"/>
      <c r="T947" s="105"/>
      <c r="U947" s="133"/>
      <c r="V947" s="133"/>
      <c r="W947" s="133"/>
      <c r="X947" s="133"/>
      <c r="Y947" s="133"/>
      <c r="Z947" s="134">
        <f t="shared" si="110"/>
        <v>0</v>
      </c>
      <c r="AA947" s="6">
        <f t="shared" si="109"/>
        <v>0</v>
      </c>
    </row>
    <row r="948" spans="1:27" x14ac:dyDescent="0.3">
      <c r="A948" s="41"/>
      <c r="B948" s="41"/>
      <c r="C948" s="41"/>
      <c r="D948" s="41"/>
      <c r="E948" s="41"/>
      <c r="F948" s="41"/>
      <c r="G948" s="64"/>
      <c r="H948" s="64"/>
      <c r="I948" s="64"/>
      <c r="J948" s="64"/>
      <c r="K948" s="64"/>
      <c r="L948" s="64"/>
      <c r="M948" s="56">
        <f>S_prem_2noRDS_3</f>
        <v>0.55000000000000004</v>
      </c>
      <c r="N948" s="64"/>
      <c r="O948" s="53"/>
      <c r="P948" s="64"/>
      <c r="Q948" s="57">
        <f>c_cog+c_hosp_fu+c_CSG</f>
        <v>15766</v>
      </c>
      <c r="R948" s="57"/>
      <c r="S948" s="129"/>
      <c r="T948" s="105"/>
      <c r="U948" s="133"/>
      <c r="V948" s="133"/>
      <c r="W948" s="133"/>
      <c r="X948" s="133"/>
      <c r="Y948" s="133"/>
      <c r="Z948" s="134">
        <f t="shared" si="110"/>
        <v>0</v>
      </c>
      <c r="AA948" s="6">
        <f t="shared" si="109"/>
        <v>0</v>
      </c>
    </row>
    <row r="949" spans="1:27" x14ac:dyDescent="0.3">
      <c r="A949" s="41"/>
      <c r="B949" s="41"/>
      <c r="C949" s="41"/>
      <c r="D949" s="41"/>
      <c r="E949" s="41"/>
      <c r="F949" s="41"/>
      <c r="G949" s="64"/>
      <c r="H949" s="64"/>
      <c r="I949" s="64"/>
      <c r="J949" s="64"/>
      <c r="K949" s="64"/>
      <c r="L949" s="64"/>
      <c r="M949" s="57"/>
      <c r="N949" s="64"/>
      <c r="O949" s="65"/>
      <c r="P949" s="64"/>
      <c r="Q949" s="54" t="s">
        <v>369</v>
      </c>
      <c r="R949" s="54"/>
      <c r="S949" s="129"/>
      <c r="T949" s="105"/>
      <c r="U949" s="133">
        <f>$K$933*$I$922*$G$946*$E$984*$C$1053*$A$1008*$M$948*$O$946*Q950</f>
        <v>0</v>
      </c>
      <c r="V949" s="133">
        <v>0</v>
      </c>
      <c r="W949" s="134">
        <f>$K$934+$I$923+$G$947+$E$985+$C$1054+$A$1009+$M$949+$O$947+Q951</f>
        <v>260691.43861050811</v>
      </c>
      <c r="X949" s="133">
        <f>u_ChronicResp+u_CongnitiveImpairement</f>
        <v>17.805052694763283</v>
      </c>
      <c r="Y949" s="133"/>
      <c r="Z949" s="134">
        <f t="shared" si="110"/>
        <v>0</v>
      </c>
      <c r="AA949" s="6">
        <f t="shared" si="109"/>
        <v>0</v>
      </c>
    </row>
    <row r="950" spans="1:27" x14ac:dyDescent="0.3">
      <c r="A950" s="41"/>
      <c r="B950" s="41"/>
      <c r="C950" s="41"/>
      <c r="D950" s="41"/>
      <c r="E950" s="41"/>
      <c r="F950" s="41"/>
      <c r="G950" s="64"/>
      <c r="H950" s="64"/>
      <c r="I950" s="64"/>
      <c r="J950" s="64"/>
      <c r="K950" s="64"/>
      <c r="L950" s="64"/>
      <c r="M950" s="65"/>
      <c r="N950" s="64"/>
      <c r="O950" s="41"/>
      <c r="P950" s="64"/>
      <c r="Q950" s="56">
        <f>noRDS2CLD_3*Hypo2CI_3</f>
        <v>0</v>
      </c>
      <c r="R950" s="56"/>
      <c r="S950" s="129"/>
      <c r="T950" s="105"/>
      <c r="U950" s="133"/>
      <c r="V950" s="133"/>
      <c r="W950" s="133"/>
      <c r="X950" s="133"/>
      <c r="Y950" s="133"/>
      <c r="Z950" s="134">
        <f t="shared" si="110"/>
        <v>0</v>
      </c>
      <c r="AA950" s="6">
        <f t="shared" si="109"/>
        <v>0</v>
      </c>
    </row>
    <row r="951" spans="1:27" x14ac:dyDescent="0.3">
      <c r="A951" s="41"/>
      <c r="B951" s="41"/>
      <c r="C951" s="41"/>
      <c r="D951" s="41"/>
      <c r="E951" s="41"/>
      <c r="F951" s="41"/>
      <c r="G951" s="64"/>
      <c r="H951" s="64"/>
      <c r="I951" s="64"/>
      <c r="J951" s="64"/>
      <c r="K951" s="64"/>
      <c r="L951" s="64"/>
      <c r="M951" s="65"/>
      <c r="N951" s="64"/>
      <c r="O951" s="41"/>
      <c r="P951" s="64"/>
      <c r="Q951" s="57">
        <f>c_lung+c_cog+c_hosp_fu+c_CSG</f>
        <v>58348.510902399998</v>
      </c>
      <c r="R951" s="57"/>
      <c r="S951" s="129"/>
      <c r="T951" s="105"/>
      <c r="U951" s="133"/>
      <c r="V951" s="133"/>
      <c r="W951" s="133"/>
      <c r="X951" s="133"/>
      <c r="Y951" s="133"/>
      <c r="Z951" s="134">
        <f t="shared" si="110"/>
        <v>0</v>
      </c>
      <c r="AA951" s="6">
        <f t="shared" si="109"/>
        <v>0</v>
      </c>
    </row>
    <row r="952" spans="1:27" x14ac:dyDescent="0.3">
      <c r="A952" s="41"/>
      <c r="B952" s="41"/>
      <c r="C952" s="41"/>
      <c r="D952" s="41"/>
      <c r="E952" s="41"/>
      <c r="F952" s="41"/>
      <c r="G952" s="64"/>
      <c r="H952" s="64"/>
      <c r="I952" s="64"/>
      <c r="J952" s="64"/>
      <c r="K952" s="64"/>
      <c r="L952" s="64"/>
      <c r="M952" s="65"/>
      <c r="N952" s="64"/>
      <c r="O952" s="41"/>
      <c r="P952" s="64"/>
      <c r="Q952" s="54" t="s">
        <v>370</v>
      </c>
      <c r="R952" s="54"/>
      <c r="S952" s="129"/>
      <c r="T952" s="105"/>
      <c r="U952" s="133">
        <f>$K$933*$I$922*$G$946*$E$984*$C$1053*$A$1008*$M$948*$O$946*Q953</f>
        <v>4.4527964101482853E-3</v>
      </c>
      <c r="V952" s="133">
        <v>4.4527964101482853E-3</v>
      </c>
      <c r="W952" s="134">
        <f>$K$934+$I$923+$G$947+$E$985+$C$1054+$A$1009+$M$949+$O$947+Q954</f>
        <v>216745.92770810809</v>
      </c>
      <c r="X952" s="133">
        <f>u_Healthy</f>
        <v>0</v>
      </c>
      <c r="Y952" s="133"/>
      <c r="Z952" s="134">
        <f t="shared" si="110"/>
        <v>965.12548881292344</v>
      </c>
      <c r="AA952" s="6">
        <f t="shared" si="109"/>
        <v>0</v>
      </c>
    </row>
    <row r="953" spans="1:27" x14ac:dyDescent="0.3">
      <c r="A953" s="41"/>
      <c r="B953" s="41"/>
      <c r="C953" s="41"/>
      <c r="D953" s="41"/>
      <c r="E953" s="41"/>
      <c r="F953" s="41"/>
      <c r="G953" s="64"/>
      <c r="H953" s="64"/>
      <c r="I953" s="64"/>
      <c r="J953" s="64"/>
      <c r="K953" s="64"/>
      <c r="L953" s="64"/>
      <c r="M953" s="65"/>
      <c r="N953" s="64"/>
      <c r="O953" s="65"/>
      <c r="P953" s="64"/>
      <c r="Q953" s="56">
        <f>1-Q950-Q947-Q944</f>
        <v>0.94866666666666666</v>
      </c>
      <c r="R953" s="56"/>
      <c r="T953" s="105"/>
      <c r="U953" s="133"/>
      <c r="V953" s="133"/>
      <c r="W953" s="133"/>
      <c r="X953" s="133"/>
      <c r="Y953" s="133"/>
      <c r="Z953" s="134">
        <f t="shared" si="110"/>
        <v>0</v>
      </c>
      <c r="AA953" s="6">
        <f t="shared" si="109"/>
        <v>0</v>
      </c>
    </row>
    <row r="954" spans="1:27" x14ac:dyDescent="0.3">
      <c r="A954" s="41"/>
      <c r="B954" s="41"/>
      <c r="C954" s="41"/>
      <c r="D954" s="41"/>
      <c r="E954" s="41"/>
      <c r="F954" s="41"/>
      <c r="G954" s="64"/>
      <c r="H954" s="64"/>
      <c r="I954" s="64"/>
      <c r="J954" s="64"/>
      <c r="K954" s="64"/>
      <c r="L954" s="64"/>
      <c r="M954" s="65"/>
      <c r="N954" s="64"/>
      <c r="O954" s="64"/>
      <c r="P954" s="64"/>
      <c r="Q954" s="57">
        <f>c_clinic_fu+c_CSG</f>
        <v>14403</v>
      </c>
      <c r="R954" s="57"/>
      <c r="S954" s="129"/>
      <c r="T954" s="105"/>
      <c r="U954" s="133"/>
      <c r="V954" s="133"/>
      <c r="W954" s="133"/>
      <c r="X954" s="133"/>
      <c r="Y954" s="133"/>
      <c r="Z954" s="134">
        <f t="shared" si="110"/>
        <v>0</v>
      </c>
      <c r="AA954" s="6">
        <f t="shared" si="109"/>
        <v>0</v>
      </c>
    </row>
    <row r="955" spans="1:27" x14ac:dyDescent="0.3">
      <c r="A955" s="41"/>
      <c r="B955" s="41"/>
      <c r="C955" s="41"/>
      <c r="D955" s="41"/>
      <c r="E955" s="41"/>
      <c r="F955" s="41"/>
      <c r="G955" s="64"/>
      <c r="H955" s="64"/>
      <c r="I955" s="64"/>
      <c r="J955" s="64"/>
      <c r="K955" s="64"/>
      <c r="L955" s="64"/>
      <c r="M955" s="65"/>
      <c r="N955" s="64"/>
      <c r="O955" s="64"/>
      <c r="P955" s="64"/>
      <c r="Q955" s="65"/>
      <c r="R955" s="65"/>
      <c r="S955" s="130"/>
      <c r="T955" s="105"/>
      <c r="U955" s="133"/>
      <c r="V955" s="133"/>
      <c r="W955" s="133"/>
      <c r="X955" s="133"/>
      <c r="Y955" s="133"/>
      <c r="Z955" s="134">
        <f t="shared" si="110"/>
        <v>0</v>
      </c>
      <c r="AA955" s="6">
        <f t="shared" si="109"/>
        <v>0</v>
      </c>
    </row>
    <row r="956" spans="1:27" x14ac:dyDescent="0.3">
      <c r="A956" s="41"/>
      <c r="B956" s="41"/>
      <c r="C956" s="41"/>
      <c r="D956" s="41"/>
      <c r="E956" s="41"/>
      <c r="F956" s="41"/>
      <c r="G956" s="64"/>
      <c r="H956" s="64"/>
      <c r="I956" s="64"/>
      <c r="J956" s="64"/>
      <c r="K956" s="64"/>
      <c r="L956" s="64"/>
      <c r="M956" s="65"/>
      <c r="N956" s="64"/>
      <c r="O956" s="64"/>
      <c r="P956" s="64"/>
      <c r="Q956" s="54" t="s">
        <v>368</v>
      </c>
      <c r="R956" s="54"/>
      <c r="S956" s="129"/>
      <c r="T956" s="105"/>
      <c r="U956" s="133">
        <f>$K$933*$I$922*$G$946*$E$984*$C$1053*$A$1008*$M$948*$O$960*Q957</f>
        <v>0</v>
      </c>
      <c r="V956" s="133">
        <v>0</v>
      </c>
      <c r="W956" s="134">
        <f>$K$934+$I$923+$G$947+$E$985+$C$1054+$A$1009+$M$949+$O$961+Q958</f>
        <v>255965.43861050811</v>
      </c>
      <c r="X956" s="133">
        <f>u_ChronicResp</f>
        <v>0.53465956747782661</v>
      </c>
      <c r="Y956" s="133"/>
      <c r="Z956" s="134">
        <f t="shared" si="110"/>
        <v>0</v>
      </c>
      <c r="AA956" s="6">
        <f t="shared" si="109"/>
        <v>0</v>
      </c>
    </row>
    <row r="957" spans="1:27" x14ac:dyDescent="0.3">
      <c r="A957" s="41"/>
      <c r="B957" s="41"/>
      <c r="C957" s="41"/>
      <c r="D957" s="41"/>
      <c r="E957" s="41"/>
      <c r="F957" s="41"/>
      <c r="G957" s="64"/>
      <c r="H957" s="64"/>
      <c r="I957" s="64"/>
      <c r="J957" s="64"/>
      <c r="K957" s="64"/>
      <c r="L957" s="64"/>
      <c r="M957" s="65"/>
      <c r="N957" s="64"/>
      <c r="O957" s="64"/>
      <c r="P957" s="64"/>
      <c r="Q957" s="56">
        <f>noRDS2CLD_3-(noRDS2CLD_3*noHypo2CI_3)</f>
        <v>0</v>
      </c>
      <c r="R957" s="56"/>
      <c r="S957" s="129"/>
      <c r="T957" s="105"/>
      <c r="U957" s="133"/>
      <c r="V957" s="133"/>
      <c r="W957" s="133"/>
      <c r="X957" s="133"/>
      <c r="Y957" s="133"/>
      <c r="Z957" s="134">
        <f t="shared" si="110"/>
        <v>0</v>
      </c>
      <c r="AA957" s="6">
        <f t="shared" si="109"/>
        <v>0</v>
      </c>
    </row>
    <row r="958" spans="1:27" x14ac:dyDescent="0.3">
      <c r="A958" s="41"/>
      <c r="B958" s="41"/>
      <c r="C958" s="41"/>
      <c r="D958" s="41"/>
      <c r="E958" s="41"/>
      <c r="F958" s="41"/>
      <c r="G958" s="64"/>
      <c r="H958" s="64"/>
      <c r="I958" s="64"/>
      <c r="J958" s="64"/>
      <c r="K958" s="64"/>
      <c r="L958" s="64"/>
      <c r="M958" s="65"/>
      <c r="N958" s="64"/>
      <c r="O958" s="64"/>
      <c r="P958" s="64"/>
      <c r="Q958" s="57">
        <f>c_lung+c_hypo+c_CSG</f>
        <v>56558.771302399997</v>
      </c>
      <c r="R958" s="57"/>
      <c r="S958" s="129"/>
      <c r="T958" s="105"/>
      <c r="U958" s="133"/>
      <c r="V958" s="133"/>
      <c r="W958" s="133"/>
      <c r="X958" s="133"/>
      <c r="Y958" s="133"/>
      <c r="Z958" s="134">
        <f t="shared" si="110"/>
        <v>0</v>
      </c>
      <c r="AA958" s="6">
        <f t="shared" si="109"/>
        <v>0</v>
      </c>
    </row>
    <row r="959" spans="1:27" x14ac:dyDescent="0.3">
      <c r="A959" s="41"/>
      <c r="B959" s="41"/>
      <c r="C959" s="41"/>
      <c r="D959" s="41"/>
      <c r="E959" s="41"/>
      <c r="F959" s="41"/>
      <c r="G959" s="64"/>
      <c r="H959" s="64"/>
      <c r="I959" s="64"/>
      <c r="J959" s="64"/>
      <c r="K959" s="64"/>
      <c r="L959" s="64"/>
      <c r="M959" s="65"/>
      <c r="N959" s="64"/>
      <c r="O959" s="54" t="s">
        <v>371</v>
      </c>
      <c r="P959" s="64"/>
      <c r="Q959" s="54" t="s">
        <v>226</v>
      </c>
      <c r="R959" s="54"/>
      <c r="S959" s="129"/>
      <c r="T959" s="105"/>
      <c r="U959" s="133">
        <f>$K$933*$I$922*$G$946*$E$984*$C$1053*$A$1008*$M$948*$O$960*Q960</f>
        <v>5.6533201202219388E-4</v>
      </c>
      <c r="V959" s="133">
        <v>5.653320120221941E-4</v>
      </c>
      <c r="W959" s="134">
        <f>$K$934+$I$923+$G$947+$E$985+$C$1054+$A$1009+$M$949+$O$961+Q961</f>
        <v>215172.6673081081</v>
      </c>
      <c r="X959" s="133">
        <f>u_CongnitiveImpairement</f>
        <v>17.270393127285455</v>
      </c>
      <c r="Y959" s="133"/>
      <c r="Z959" s="134">
        <f t="shared" si="110"/>
        <v>121.6439969414749</v>
      </c>
      <c r="AA959" s="6">
        <f t="shared" si="109"/>
        <v>9.763506095062555E-3</v>
      </c>
    </row>
    <row r="960" spans="1:27" x14ac:dyDescent="0.3">
      <c r="A960" s="41"/>
      <c r="B960" s="41"/>
      <c r="C960" s="41"/>
      <c r="D960" s="41"/>
      <c r="E960" s="41"/>
      <c r="F960" s="41"/>
      <c r="G960" s="64"/>
      <c r="H960" s="64"/>
      <c r="I960" s="64"/>
      <c r="J960" s="64"/>
      <c r="K960" s="64"/>
      <c r="L960" s="64"/>
      <c r="M960" s="65"/>
      <c r="N960" s="64"/>
      <c r="O960" s="56">
        <f>SGA_prem_2normoglycaemia_3</f>
        <v>0.78449999999999998</v>
      </c>
      <c r="P960" s="64"/>
      <c r="Q960" s="56">
        <f>noHypo2CI_3</f>
        <v>3.3085576536761752E-2</v>
      </c>
      <c r="R960" s="56"/>
      <c r="S960" s="129"/>
      <c r="T960" s="105"/>
      <c r="U960" s="133"/>
      <c r="V960" s="133"/>
      <c r="W960" s="133"/>
      <c r="X960" s="133"/>
      <c r="Y960" s="133"/>
      <c r="Z960" s="134">
        <f t="shared" si="110"/>
        <v>0</v>
      </c>
      <c r="AA960" s="6">
        <f t="shared" si="109"/>
        <v>0</v>
      </c>
    </row>
    <row r="961" spans="1:27" x14ac:dyDescent="0.3">
      <c r="A961" s="41"/>
      <c r="B961" s="41"/>
      <c r="C961" s="41"/>
      <c r="D961" s="41"/>
      <c r="E961" s="41"/>
      <c r="F961" s="41"/>
      <c r="G961" s="64"/>
      <c r="H961" s="64"/>
      <c r="I961" s="64"/>
      <c r="J961" s="64"/>
      <c r="K961" s="64"/>
      <c r="L961" s="64"/>
      <c r="M961" s="65"/>
      <c r="N961" s="64"/>
      <c r="O961" s="57"/>
      <c r="P961" s="64"/>
      <c r="Q961" s="57">
        <f>c_cog+c_hosp_fu+c_CSG</f>
        <v>15766</v>
      </c>
      <c r="R961" s="57"/>
      <c r="S961" s="129"/>
      <c r="T961" s="105"/>
      <c r="U961" s="133"/>
      <c r="V961" s="133"/>
      <c r="W961" s="133"/>
      <c r="X961" s="133"/>
      <c r="Y961" s="133"/>
      <c r="Z961" s="134">
        <f t="shared" si="110"/>
        <v>0</v>
      </c>
      <c r="AA961" s="6">
        <f t="shared" si="109"/>
        <v>0</v>
      </c>
    </row>
    <row r="962" spans="1:27" x14ac:dyDescent="0.3">
      <c r="A962" s="41"/>
      <c r="B962" s="41"/>
      <c r="C962" s="41"/>
      <c r="D962" s="41"/>
      <c r="E962" s="41"/>
      <c r="F962" s="41"/>
      <c r="G962" s="64"/>
      <c r="H962" s="64"/>
      <c r="I962" s="64"/>
      <c r="J962" s="64"/>
      <c r="K962" s="64"/>
      <c r="L962" s="64"/>
      <c r="M962" s="65"/>
      <c r="N962" s="64"/>
      <c r="O962" s="64"/>
      <c r="P962" s="64"/>
      <c r="Q962" s="54" t="s">
        <v>369</v>
      </c>
      <c r="R962" s="54"/>
      <c r="S962" s="129"/>
      <c r="T962" s="105"/>
      <c r="U962" s="133">
        <f>$K$933*$I$922*$G$946*$E$984*$C$1053*$A$1008*$M$948*$O$960*Q963</f>
        <v>0</v>
      </c>
      <c r="V962" s="133">
        <v>0</v>
      </c>
      <c r="W962" s="134">
        <f>$K$934+$I$923+$G$947+$E$985+$C$1054+$A$1009+$M$949+$O$961+Q964</f>
        <v>257755.17821050808</v>
      </c>
      <c r="X962" s="133">
        <f>u_ChronicResp+u_CongnitiveImpairement</f>
        <v>17.805052694763283</v>
      </c>
      <c r="Y962" s="133"/>
      <c r="Z962" s="134">
        <f t="shared" si="110"/>
        <v>0</v>
      </c>
      <c r="AA962" s="6">
        <f t="shared" si="109"/>
        <v>0</v>
      </c>
    </row>
    <row r="963" spans="1:27" x14ac:dyDescent="0.3">
      <c r="A963" s="41"/>
      <c r="B963" s="41"/>
      <c r="C963" s="41"/>
      <c r="D963" s="41"/>
      <c r="E963" s="41"/>
      <c r="F963" s="41"/>
      <c r="G963" s="64"/>
      <c r="H963" s="64"/>
      <c r="I963" s="64"/>
      <c r="J963" s="64"/>
      <c r="K963" s="64"/>
      <c r="L963" s="64"/>
      <c r="M963" s="65"/>
      <c r="N963" s="64"/>
      <c r="O963" s="64"/>
      <c r="P963" s="64"/>
      <c r="Q963" s="56">
        <f>noRDS2CLD_3*noHypo2CI_3</f>
        <v>0</v>
      </c>
      <c r="R963" s="56"/>
      <c r="S963" s="129"/>
      <c r="T963" s="105"/>
      <c r="U963" s="133"/>
      <c r="V963" s="133"/>
      <c r="W963" s="133"/>
      <c r="X963" s="133"/>
      <c r="Y963" s="133"/>
      <c r="Z963" s="134">
        <f t="shared" si="110"/>
        <v>0</v>
      </c>
      <c r="AA963" s="6">
        <f t="shared" si="109"/>
        <v>0</v>
      </c>
    </row>
    <row r="964" spans="1:27" x14ac:dyDescent="0.3">
      <c r="A964" s="41"/>
      <c r="B964" s="41"/>
      <c r="C964" s="41"/>
      <c r="D964" s="41"/>
      <c r="E964" s="41"/>
      <c r="F964" s="41"/>
      <c r="G964" s="64"/>
      <c r="H964" s="64"/>
      <c r="I964" s="64"/>
      <c r="J964" s="64"/>
      <c r="K964" s="64"/>
      <c r="L964" s="64"/>
      <c r="M964" s="65"/>
      <c r="N964" s="64"/>
      <c r="O964" s="64"/>
      <c r="P964" s="64"/>
      <c r="Q964" s="57">
        <f>c_cog+c_lung+c_hosp_fu+c_CSG</f>
        <v>58348.510902399998</v>
      </c>
      <c r="R964" s="57"/>
      <c r="S964" s="129"/>
      <c r="T964" s="105"/>
      <c r="U964" s="133"/>
      <c r="V964" s="133"/>
      <c r="W964" s="133"/>
      <c r="X964" s="133"/>
      <c r="Y964" s="133"/>
      <c r="Z964" s="134">
        <f t="shared" si="110"/>
        <v>0</v>
      </c>
      <c r="AA964" s="6">
        <f t="shared" si="109"/>
        <v>0</v>
      </c>
    </row>
    <row r="965" spans="1:27" x14ac:dyDescent="0.3">
      <c r="A965" s="41"/>
      <c r="B965" s="41"/>
      <c r="C965" s="41"/>
      <c r="D965" s="41"/>
      <c r="E965" s="41"/>
      <c r="F965" s="41"/>
      <c r="G965" s="64"/>
      <c r="H965" s="64"/>
      <c r="I965" s="64"/>
      <c r="J965" s="64"/>
      <c r="K965" s="64"/>
      <c r="L965" s="64"/>
      <c r="M965" s="65"/>
      <c r="N965" s="64"/>
      <c r="O965" s="64"/>
      <c r="P965" s="64"/>
      <c r="Q965" s="54" t="s">
        <v>370</v>
      </c>
      <c r="R965" s="54"/>
      <c r="S965" s="129"/>
      <c r="T965" s="105"/>
      <c r="U965" s="133">
        <f>$K$933*$I$922*$G$946*$E$984*$C$1053*$A$1008*$M$948*$O$960*Q966</f>
        <v>1.652163068285626E-2</v>
      </c>
      <c r="V965" s="133">
        <v>1.6521630682856264E-2</v>
      </c>
      <c r="W965" s="134">
        <f>$K$934+$I$923+$G$947+$E$985+$C$1054+$A$1009+$M$949+$O$961+Q967</f>
        <v>213809.6673081081</v>
      </c>
      <c r="X965" s="133">
        <f>u_Healthy</f>
        <v>0</v>
      </c>
      <c r="Y965" s="133"/>
      <c r="Z965" s="134">
        <f t="shared" si="110"/>
        <v>3532.4843596889277</v>
      </c>
      <c r="AA965" s="6">
        <f t="shared" si="109"/>
        <v>0</v>
      </c>
    </row>
    <row r="966" spans="1:27" x14ac:dyDescent="0.3">
      <c r="A966" s="41"/>
      <c r="B966" s="41"/>
      <c r="C966" s="41"/>
      <c r="D966" s="41"/>
      <c r="E966" s="41"/>
      <c r="F966" s="41"/>
      <c r="G966" s="64"/>
      <c r="H966" s="64"/>
      <c r="I966" s="64"/>
      <c r="J966" s="64"/>
      <c r="K966" s="64"/>
      <c r="L966" s="64"/>
      <c r="M966" s="65"/>
      <c r="N966" s="64"/>
      <c r="O966" s="64"/>
      <c r="P966" s="64"/>
      <c r="Q966" s="56">
        <f>1-Q963-Q960-Q957</f>
        <v>0.9669144234632383</v>
      </c>
      <c r="R966" s="56"/>
      <c r="T966" s="105"/>
      <c r="U966" s="133"/>
      <c r="V966" s="133"/>
      <c r="W966" s="133"/>
      <c r="X966" s="133"/>
      <c r="Y966" s="133"/>
      <c r="Z966" s="134">
        <f t="shared" si="110"/>
        <v>0</v>
      </c>
      <c r="AA966" s="6">
        <f t="shared" si="109"/>
        <v>0</v>
      </c>
    </row>
    <row r="967" spans="1:27" x14ac:dyDescent="0.3">
      <c r="A967" s="41"/>
      <c r="B967" s="41"/>
      <c r="C967" s="41"/>
      <c r="D967" s="41"/>
      <c r="E967" s="41"/>
      <c r="F967" s="41"/>
      <c r="G967" s="64"/>
      <c r="H967" s="64"/>
      <c r="I967" s="64"/>
      <c r="J967" s="64"/>
      <c r="K967" s="64"/>
      <c r="L967" s="64"/>
      <c r="M967" s="65"/>
      <c r="N967" s="64"/>
      <c r="O967" s="64"/>
      <c r="P967" s="64"/>
      <c r="Q967" s="57">
        <f>c_clinic_fu+c_CSG</f>
        <v>14403</v>
      </c>
      <c r="R967" s="57"/>
      <c r="S967" s="129"/>
      <c r="T967" s="105"/>
      <c r="U967" s="133"/>
      <c r="V967" s="133"/>
      <c r="W967" s="133"/>
      <c r="X967" s="133"/>
      <c r="Y967" s="133"/>
      <c r="Z967" s="134">
        <f t="shared" si="110"/>
        <v>0</v>
      </c>
      <c r="AA967" s="6">
        <f t="shared" si="109"/>
        <v>0</v>
      </c>
    </row>
    <row r="968" spans="1:27" x14ac:dyDescent="0.3">
      <c r="A968" s="41"/>
      <c r="B968" s="41"/>
      <c r="C968" s="41"/>
      <c r="D968" s="41"/>
      <c r="E968" s="41"/>
      <c r="F968" s="41"/>
      <c r="G968" s="64"/>
      <c r="H968" s="64"/>
      <c r="I968" s="64"/>
      <c r="J968" s="64"/>
      <c r="K968" s="64"/>
      <c r="L968" s="64"/>
      <c r="M968" s="65"/>
      <c r="N968" s="64"/>
      <c r="O968" s="64"/>
      <c r="P968" s="64"/>
      <c r="Q968" s="65"/>
      <c r="R968" s="65"/>
      <c r="S968" s="129"/>
      <c r="T968" s="105"/>
      <c r="U968" s="133"/>
      <c r="V968" s="133"/>
      <c r="W968" s="133"/>
      <c r="X968" s="133"/>
      <c r="Y968" s="133"/>
      <c r="Z968" s="134">
        <f t="shared" si="110"/>
        <v>0</v>
      </c>
      <c r="AA968" s="6">
        <f t="shared" si="109"/>
        <v>0</v>
      </c>
    </row>
    <row r="969" spans="1:27" x14ac:dyDescent="0.3">
      <c r="A969" s="41"/>
      <c r="B969" s="41"/>
      <c r="C969" s="41"/>
      <c r="D969" s="41"/>
      <c r="E969" s="41"/>
      <c r="F969" s="41"/>
      <c r="G969" s="64"/>
      <c r="H969" s="64"/>
      <c r="I969" s="64"/>
      <c r="J969" s="64"/>
      <c r="K969" s="54" t="s">
        <v>165</v>
      </c>
      <c r="L969" s="54"/>
      <c r="M969" s="54"/>
      <c r="N969" s="54"/>
      <c r="O969" s="54"/>
      <c r="P969" s="54"/>
      <c r="Q969" s="54"/>
      <c r="R969" s="54"/>
      <c r="S969" s="129"/>
      <c r="T969" s="105"/>
      <c r="U969" s="133">
        <f>$K$970*$I$978*$G$946*$E$984*$C$1053*$A$1008</f>
        <v>1.9037211390745008E-3</v>
      </c>
      <c r="V969" s="133">
        <v>1.9037211390745008E-3</v>
      </c>
      <c r="W969" s="134">
        <f>$K$971+$I$979+$G$947+$E$985+$C$1054+$A$1009</f>
        <v>201198.6673081081</v>
      </c>
      <c r="X969" s="133">
        <f>u_Death</f>
        <v>19.181538114427529</v>
      </c>
      <c r="Y969" s="133"/>
      <c r="Z969" s="134">
        <f t="shared" si="110"/>
        <v>383.02615610806305</v>
      </c>
      <c r="AA969" s="6">
        <f t="shared" si="109"/>
        <v>3.6516299588398929E-2</v>
      </c>
    </row>
    <row r="970" spans="1:27" x14ac:dyDescent="0.3">
      <c r="A970" s="41"/>
      <c r="B970" s="41"/>
      <c r="C970" s="41"/>
      <c r="D970" s="41"/>
      <c r="E970" s="41"/>
      <c r="F970" s="41"/>
      <c r="G970" s="64"/>
      <c r="H970" s="64"/>
      <c r="I970" s="64"/>
      <c r="J970" s="64"/>
      <c r="K970" s="56">
        <f>AGA_prem_2d_3</f>
        <v>3.5174999999999998E-2</v>
      </c>
      <c r="L970" s="64"/>
      <c r="M970" s="64"/>
      <c r="N970" s="64"/>
      <c r="O970" s="64"/>
      <c r="P970" s="64"/>
      <c r="Q970" s="64"/>
      <c r="R970" s="64"/>
      <c r="S970" s="129"/>
      <c r="T970" s="105"/>
      <c r="U970" s="133"/>
      <c r="V970" s="133"/>
      <c r="W970" s="133"/>
      <c r="X970" s="133"/>
      <c r="Y970" s="133"/>
      <c r="Z970" s="134">
        <f t="shared" si="110"/>
        <v>0</v>
      </c>
      <c r="AA970" s="6">
        <f t="shared" si="109"/>
        <v>0</v>
      </c>
    </row>
    <row r="971" spans="1:27" x14ac:dyDescent="0.3">
      <c r="A971" s="41"/>
      <c r="B971" s="41"/>
      <c r="C971" s="41"/>
      <c r="D971" s="41"/>
      <c r="E971" s="41"/>
      <c r="F971" s="41"/>
      <c r="G971" s="64"/>
      <c r="H971" s="64"/>
      <c r="I971" s="64"/>
      <c r="J971" s="64"/>
      <c r="K971" s="57">
        <f>c_SB</f>
        <v>1792</v>
      </c>
      <c r="L971" s="64"/>
      <c r="M971" s="64"/>
      <c r="N971" s="64"/>
      <c r="O971" s="64"/>
      <c r="P971" s="64"/>
      <c r="Q971" s="64"/>
      <c r="R971" s="64"/>
      <c r="S971" s="129"/>
      <c r="T971" s="105"/>
      <c r="U971" s="133"/>
      <c r="V971" s="133"/>
      <c r="W971" s="133"/>
      <c r="X971" s="133"/>
      <c r="Y971" s="133"/>
      <c r="Z971" s="134">
        <f t="shared" si="110"/>
        <v>0</v>
      </c>
      <c r="AA971" s="6">
        <f t="shared" si="109"/>
        <v>0</v>
      </c>
    </row>
    <row r="972" spans="1:27" x14ac:dyDescent="0.3">
      <c r="A972" s="41"/>
      <c r="B972" s="41"/>
      <c r="C972" s="41"/>
      <c r="D972" s="41"/>
      <c r="E972" s="41"/>
      <c r="F972" s="41"/>
      <c r="G972" s="64"/>
      <c r="H972" s="64"/>
      <c r="I972" s="64"/>
      <c r="J972" s="64"/>
      <c r="K972" s="53"/>
      <c r="L972" s="53"/>
      <c r="M972" s="53"/>
      <c r="N972" s="53"/>
      <c r="O972" s="53"/>
      <c r="P972" s="53"/>
      <c r="Q972" s="53"/>
      <c r="R972" s="53"/>
      <c r="S972" s="129"/>
      <c r="T972" s="105"/>
      <c r="U972" s="133"/>
      <c r="V972" s="133"/>
      <c r="W972" s="133"/>
      <c r="X972" s="133"/>
      <c r="Y972" s="133"/>
      <c r="Z972" s="134">
        <f t="shared" si="110"/>
        <v>0</v>
      </c>
      <c r="AA972" s="6">
        <f t="shared" si="109"/>
        <v>0</v>
      </c>
    </row>
    <row r="973" spans="1:27" x14ac:dyDescent="0.3">
      <c r="A973" s="41"/>
      <c r="B973" s="41"/>
      <c r="C973" s="41"/>
      <c r="D973" s="41"/>
      <c r="E973" s="41"/>
      <c r="F973" s="41"/>
      <c r="G973" s="53"/>
      <c r="H973" s="53"/>
      <c r="I973" s="64"/>
      <c r="J973" s="64"/>
      <c r="K973" s="53"/>
      <c r="L973" s="53"/>
      <c r="M973" s="53"/>
      <c r="N973" s="53"/>
      <c r="O973" s="53"/>
      <c r="P973" s="53"/>
      <c r="Q973" s="54" t="s">
        <v>368</v>
      </c>
      <c r="R973" s="54"/>
      <c r="S973" s="129"/>
      <c r="T973" s="105"/>
      <c r="U973" s="133">
        <f>$K$989*$I$978*$G$946*$E$984*$C$1053*$A$1008*$M$984*$O$979*Q974</f>
        <v>1.2070976103514609E-3</v>
      </c>
      <c r="V973" s="133">
        <v>1.2070976103514609E-3</v>
      </c>
      <c r="W973" s="134">
        <f>$K$990+$I$979+$G$947+$E$985+$C$1054+$A$1009+$M$985+$O$980+Q975</f>
        <v>287468.0487587137</v>
      </c>
      <c r="X973" s="133">
        <f>u_ChronicResp</f>
        <v>0.53465956747782661</v>
      </c>
      <c r="Y973" s="133"/>
      <c r="Z973" s="134">
        <f t="shared" si="110"/>
        <v>347.00199470904056</v>
      </c>
      <c r="AA973" s="6">
        <f t="shared" ref="AA973:AA1036" si="111">U973*X973</f>
        <v>6.453862862540301E-4</v>
      </c>
    </row>
    <row r="974" spans="1:27" x14ac:dyDescent="0.3">
      <c r="A974" s="41"/>
      <c r="B974" s="41"/>
      <c r="C974" s="41"/>
      <c r="D974" s="41"/>
      <c r="E974" s="41"/>
      <c r="F974" s="41"/>
      <c r="G974" s="53"/>
      <c r="H974" s="53"/>
      <c r="I974" s="64"/>
      <c r="J974" s="64"/>
      <c r="K974" s="53"/>
      <c r="L974" s="53"/>
      <c r="M974" s="53"/>
      <c r="N974" s="53"/>
      <c r="O974" s="64"/>
      <c r="P974" s="64"/>
      <c r="Q974" s="56">
        <f>RDS2CLD_3-(Hypo2CI_3*RDS2CLD_3)</f>
        <v>0.34246866666666664</v>
      </c>
      <c r="R974" s="56"/>
      <c r="S974" s="129"/>
      <c r="T974" s="105"/>
      <c r="U974" s="133"/>
      <c r="V974" s="133"/>
      <c r="W974" s="133"/>
      <c r="X974" s="133"/>
      <c r="Y974" s="133"/>
      <c r="Z974" s="134">
        <f t="shared" si="110"/>
        <v>0</v>
      </c>
      <c r="AA974" s="6">
        <f t="shared" si="111"/>
        <v>0</v>
      </c>
    </row>
    <row r="975" spans="1:27" x14ac:dyDescent="0.3">
      <c r="A975" s="41"/>
      <c r="B975" s="41"/>
      <c r="C975" s="41"/>
      <c r="D975" s="41"/>
      <c r="E975" s="41"/>
      <c r="F975" s="41"/>
      <c r="G975" s="53"/>
      <c r="H975" s="53"/>
      <c r="I975" s="64"/>
      <c r="J975" s="64"/>
      <c r="K975" s="53"/>
      <c r="L975" s="53"/>
      <c r="M975" s="53"/>
      <c r="N975" s="53"/>
      <c r="O975" s="64"/>
      <c r="P975" s="64"/>
      <c r="Q975" s="57">
        <f>c_lung+c_hosp_fu+c_CSG</f>
        <v>54529.510902399998</v>
      </c>
      <c r="R975" s="57"/>
      <c r="S975" s="129"/>
      <c r="T975" s="105"/>
      <c r="U975" s="133"/>
      <c r="V975" s="133"/>
      <c r="W975" s="133"/>
      <c r="X975" s="133"/>
      <c r="Y975" s="133"/>
      <c r="Z975" s="134">
        <f t="shared" ref="Z975:Z1038" si="112">U975*W975</f>
        <v>0</v>
      </c>
      <c r="AA975" s="6">
        <f t="shared" si="111"/>
        <v>0</v>
      </c>
    </row>
    <row r="976" spans="1:27" x14ac:dyDescent="0.3">
      <c r="A976" s="41"/>
      <c r="B976" s="41"/>
      <c r="C976" s="41"/>
      <c r="D976" s="41"/>
      <c r="E976" s="41"/>
      <c r="F976" s="41"/>
      <c r="G976" s="53"/>
      <c r="H976" s="53"/>
      <c r="I976" s="64"/>
      <c r="J976" s="64"/>
      <c r="K976" s="53"/>
      <c r="L976" s="53"/>
      <c r="M976" s="53"/>
      <c r="N976" s="53"/>
      <c r="O976" s="64"/>
      <c r="P976" s="64"/>
      <c r="Q976" s="54" t="s">
        <v>226</v>
      </c>
      <c r="R976" s="54"/>
      <c r="S976" s="129"/>
      <c r="T976" s="105"/>
      <c r="U976" s="133">
        <f>$K$989*$I$978*$G$946*$E$984*$C$1053*$A$1008*$M$984*$O$979*Q977</f>
        <v>1.1561704666338901E-4</v>
      </c>
      <c r="V976" s="133">
        <v>1.1561704666338901E-4</v>
      </c>
      <c r="W976" s="134">
        <f>$K$990+$I$979+$G$947+$E$985+$C$1054+$A$1009+$M$985+$O$980+Q978</f>
        <v>248704.53785631372</v>
      </c>
      <c r="X976" s="133">
        <f>u_CongnitiveImpairement</f>
        <v>17.270393127285455</v>
      </c>
      <c r="Y976" s="133"/>
      <c r="Z976" s="134">
        <f t="shared" si="112"/>
        <v>28.754484158730023</v>
      </c>
      <c r="AA976" s="6">
        <f t="shared" si="111"/>
        <v>1.9967518480924354E-3</v>
      </c>
    </row>
    <row r="977" spans="1:27" x14ac:dyDescent="0.3">
      <c r="A977" s="41"/>
      <c r="B977" s="41"/>
      <c r="C977" s="41"/>
      <c r="D977" s="41"/>
      <c r="E977" s="41"/>
      <c r="F977" s="41"/>
      <c r="G977" s="53"/>
      <c r="H977" s="53"/>
      <c r="I977" s="54" t="s">
        <v>425</v>
      </c>
      <c r="J977" s="64"/>
      <c r="K977" s="64"/>
      <c r="L977" s="64"/>
      <c r="M977" s="64"/>
      <c r="N977" s="64"/>
      <c r="O977" s="64"/>
      <c r="P977" s="64"/>
      <c r="Q977" s="56">
        <f>Hypo2CI_3-(Hypo2CI_3*RDS2CLD_3)</f>
        <v>3.2801999999999998E-2</v>
      </c>
      <c r="R977" s="56"/>
      <c r="S977" s="129"/>
      <c r="T977" s="105"/>
      <c r="U977" s="133"/>
      <c r="V977" s="133"/>
      <c r="W977" s="133"/>
      <c r="X977" s="133"/>
      <c r="Y977" s="133"/>
      <c r="Z977" s="134">
        <f t="shared" si="112"/>
        <v>0</v>
      </c>
      <c r="AA977" s="6">
        <f t="shared" si="111"/>
        <v>0</v>
      </c>
    </row>
    <row r="978" spans="1:27" x14ac:dyDescent="0.3">
      <c r="A978" s="41"/>
      <c r="B978" s="41"/>
      <c r="C978" s="41"/>
      <c r="D978" s="41"/>
      <c r="E978" s="41"/>
      <c r="F978" s="41"/>
      <c r="G978" s="64"/>
      <c r="H978" s="64"/>
      <c r="I978" s="56">
        <f>LBW_prem_2AGA_3</f>
        <v>0.55590452261306533</v>
      </c>
      <c r="J978" s="64"/>
      <c r="K978" s="64"/>
      <c r="L978" s="64"/>
      <c r="M978" s="64"/>
      <c r="N978" s="64"/>
      <c r="O978" s="54" t="s">
        <v>161</v>
      </c>
      <c r="P978" s="64"/>
      <c r="Q978" s="57">
        <f>c_cog+c_hosp_fu+c_CSG</f>
        <v>15766</v>
      </c>
      <c r="R978" s="57"/>
      <c r="S978" s="129"/>
      <c r="T978" s="105"/>
      <c r="U978" s="133"/>
      <c r="V978" s="133"/>
      <c r="W978" s="133"/>
      <c r="X978" s="133"/>
      <c r="Y978" s="133"/>
      <c r="Z978" s="134">
        <f t="shared" si="112"/>
        <v>0</v>
      </c>
      <c r="AA978" s="6">
        <f t="shared" si="111"/>
        <v>0</v>
      </c>
    </row>
    <row r="979" spans="1:27" x14ac:dyDescent="0.3">
      <c r="A979" s="41"/>
      <c r="B979" s="41"/>
      <c r="C979" s="41"/>
      <c r="D979" s="41"/>
      <c r="E979" s="41"/>
      <c r="F979" s="41"/>
      <c r="G979" s="64"/>
      <c r="H979" s="64"/>
      <c r="I979" s="57"/>
      <c r="J979" s="64"/>
      <c r="K979" s="64"/>
      <c r="L979" s="64"/>
      <c r="M979" s="64"/>
      <c r="N979" s="64"/>
      <c r="O979" s="56">
        <f>AGA_prem_2hypoglycaemia_3</f>
        <v>0.15</v>
      </c>
      <c r="P979" s="64"/>
      <c r="Q979" s="54" t="s">
        <v>369</v>
      </c>
      <c r="R979" s="54"/>
      <c r="S979" s="129"/>
      <c r="T979" s="105"/>
      <c r="U979" s="133">
        <f>$K$989*$I$978*$G$946*$E$984*$C$1053*$A$1008*$M$984*$O$979*Q980</f>
        <v>6.531729866272839E-5</v>
      </c>
      <c r="V979" s="133">
        <v>6.531729866272839E-5</v>
      </c>
      <c r="W979" s="134">
        <f>$K$990+$I$979+$G$947+$E$985+$C$1054+$A$1009+$M$985+$O$980+Q981</f>
        <v>291287.0487587137</v>
      </c>
      <c r="X979" s="133">
        <f>u_ChronicResp+u_CongnitiveImpairement</f>
        <v>17.805052694763283</v>
      </c>
      <c r="Y979" s="133"/>
      <c r="Z979" s="134">
        <f t="shared" si="112"/>
        <v>19.026083160357629</v>
      </c>
      <c r="AA979" s="6">
        <f t="shared" si="111"/>
        <v>1.1629779445694703E-3</v>
      </c>
    </row>
    <row r="980" spans="1:27" x14ac:dyDescent="0.3">
      <c r="A980" s="41"/>
      <c r="B980" s="41"/>
      <c r="C980" s="41"/>
      <c r="D980" s="41"/>
      <c r="E980" s="41"/>
      <c r="F980" s="41"/>
      <c r="G980" s="64"/>
      <c r="H980" s="64"/>
      <c r="I980" s="64"/>
      <c r="J980" s="64"/>
      <c r="K980" s="64"/>
      <c r="L980" s="64"/>
      <c r="M980" s="64"/>
      <c r="N980" s="64"/>
      <c r="O980" s="57">
        <f>c_hypo</f>
        <v>2936.2604000000001</v>
      </c>
      <c r="P980" s="64"/>
      <c r="Q980" s="56">
        <f>Hypo2CI_3*RDS2CLD_3</f>
        <v>1.8531333333333334E-2</v>
      </c>
      <c r="R980" s="56"/>
      <c r="S980" s="129"/>
      <c r="T980" s="105"/>
      <c r="U980" s="133"/>
      <c r="V980" s="133"/>
      <c r="W980" s="133"/>
      <c r="X980" s="133"/>
      <c r="Y980" s="133"/>
      <c r="Z980" s="134">
        <f t="shared" si="112"/>
        <v>0</v>
      </c>
      <c r="AA980" s="6">
        <f t="shared" si="111"/>
        <v>0</v>
      </c>
    </row>
    <row r="981" spans="1:27" x14ac:dyDescent="0.3">
      <c r="A981" s="41"/>
      <c r="B981" s="41"/>
      <c r="C981" s="41"/>
      <c r="D981" s="41"/>
      <c r="E981" s="41"/>
      <c r="F981" s="41"/>
      <c r="G981" s="64"/>
      <c r="H981" s="64"/>
      <c r="I981" s="64"/>
      <c r="J981" s="64"/>
      <c r="K981" s="64"/>
      <c r="L981" s="64"/>
      <c r="M981" s="65"/>
      <c r="N981" s="64"/>
      <c r="O981" s="53"/>
      <c r="P981" s="64"/>
      <c r="Q981" s="57">
        <f>c_lung+c_cog+c_hosp_fu+c_CSG</f>
        <v>58348.510902399998</v>
      </c>
      <c r="R981" s="57"/>
      <c r="S981" s="129"/>
      <c r="T981" s="105"/>
      <c r="U981" s="133"/>
      <c r="V981" s="133"/>
      <c r="W981" s="133"/>
      <c r="X981" s="133"/>
      <c r="Y981" s="133"/>
      <c r="Z981" s="134">
        <f t="shared" si="112"/>
        <v>0</v>
      </c>
      <c r="AA981" s="6">
        <f t="shared" si="111"/>
        <v>0</v>
      </c>
    </row>
    <row r="982" spans="1:27" x14ac:dyDescent="0.3">
      <c r="A982" s="41"/>
      <c r="B982" s="41"/>
      <c r="C982" s="41"/>
      <c r="D982" s="41"/>
      <c r="E982" s="41"/>
      <c r="F982" s="41"/>
      <c r="G982" s="64"/>
      <c r="H982" s="64"/>
      <c r="I982" s="64"/>
      <c r="J982" s="64"/>
      <c r="K982" s="64"/>
      <c r="L982" s="64"/>
      <c r="M982" s="64"/>
      <c r="N982" s="64"/>
      <c r="O982" s="64"/>
      <c r="P982" s="64"/>
      <c r="Q982" s="54" t="s">
        <v>370</v>
      </c>
      <c r="R982" s="54"/>
      <c r="S982" s="129"/>
      <c r="T982" s="105"/>
      <c r="U982" s="133">
        <f>$K$989*$I$978*$G$946*$E$984*$C$1053*$A$1008*$M$984*$O$979*Q983</f>
        <v>2.1366630831428906E-3</v>
      </c>
      <c r="V982" s="133">
        <v>2.1366630831428906E-3</v>
      </c>
      <c r="W982" s="134">
        <f>$K$990+$I$979+$G$947+$E$985+$C$1054+$A$1009+$M$985+$O$980+Q984</f>
        <v>247341.53785631372</v>
      </c>
      <c r="X982" s="133">
        <f>u_Healthy</f>
        <v>0</v>
      </c>
      <c r="Y982" s="133"/>
      <c r="Z982" s="134">
        <f t="shared" si="112"/>
        <v>528.48553286537526</v>
      </c>
      <c r="AA982" s="6">
        <f t="shared" si="111"/>
        <v>0</v>
      </c>
    </row>
    <row r="983" spans="1:27" x14ac:dyDescent="0.3">
      <c r="A983" s="41"/>
      <c r="B983" s="41"/>
      <c r="C983" s="41"/>
      <c r="D983" s="41"/>
      <c r="E983" s="54" t="s">
        <v>10</v>
      </c>
      <c r="F983" s="41"/>
      <c r="G983" s="64"/>
      <c r="H983" s="64"/>
      <c r="I983" s="64"/>
      <c r="J983" s="64"/>
      <c r="K983" s="64"/>
      <c r="L983" s="64"/>
      <c r="M983" s="54" t="s">
        <v>9</v>
      </c>
      <c r="N983" s="64"/>
      <c r="O983" s="64"/>
      <c r="P983" s="64"/>
      <c r="Q983" s="56">
        <f>1-Q974-Q977-Q980</f>
        <v>0.60619800000000001</v>
      </c>
      <c r="R983" s="56"/>
      <c r="S983" s="129"/>
      <c r="T983" s="105"/>
      <c r="U983" s="133"/>
      <c r="V983" s="133"/>
      <c r="W983" s="133"/>
      <c r="X983" s="133"/>
      <c r="Y983" s="133"/>
      <c r="Z983" s="134">
        <f t="shared" si="112"/>
        <v>0</v>
      </c>
      <c r="AA983" s="6">
        <f t="shared" si="111"/>
        <v>0</v>
      </c>
    </row>
    <row r="984" spans="1:27" x14ac:dyDescent="0.3">
      <c r="A984" s="41"/>
      <c r="B984" s="41"/>
      <c r="C984" s="41"/>
      <c r="D984" s="41"/>
      <c r="E984" s="56">
        <f>LB2prem_3</f>
        <v>0.17481773997569866</v>
      </c>
      <c r="F984" s="41"/>
      <c r="G984" s="64"/>
      <c r="H984" s="64"/>
      <c r="I984" s="64"/>
      <c r="J984" s="64"/>
      <c r="K984" s="65"/>
      <c r="L984" s="64"/>
      <c r="M984" s="56">
        <f>S_prem_2RDS_3</f>
        <v>0.45</v>
      </c>
      <c r="N984" s="64"/>
      <c r="O984" s="64"/>
      <c r="P984" s="64"/>
      <c r="Q984" s="57">
        <f>c_clinic_fu+c_CSG</f>
        <v>14403</v>
      </c>
      <c r="R984" s="57"/>
      <c r="S984" s="129"/>
      <c r="T984" s="105"/>
      <c r="U984" s="133"/>
      <c r="V984" s="133"/>
      <c r="W984" s="133"/>
      <c r="X984" s="133"/>
      <c r="Y984" s="133"/>
      <c r="Z984" s="134">
        <f t="shared" si="112"/>
        <v>0</v>
      </c>
      <c r="AA984" s="6">
        <f t="shared" si="111"/>
        <v>0</v>
      </c>
    </row>
    <row r="985" spans="1:27" x14ac:dyDescent="0.3">
      <c r="A985" s="41"/>
      <c r="B985" s="41"/>
      <c r="C985" s="41"/>
      <c r="D985" s="41"/>
      <c r="E985" s="57">
        <f>c_prem</f>
        <v>577.9017081081081</v>
      </c>
      <c r="F985" s="41"/>
      <c r="G985" s="64"/>
      <c r="H985" s="64"/>
      <c r="I985" s="64"/>
      <c r="J985" s="64"/>
      <c r="K985" s="65"/>
      <c r="L985" s="64"/>
      <c r="M985" s="57">
        <f>c_RDS</f>
        <v>30595.610148205637</v>
      </c>
      <c r="N985" s="64"/>
      <c r="O985" s="64"/>
      <c r="P985" s="64"/>
      <c r="Q985" s="65"/>
      <c r="R985" s="65"/>
      <c r="S985" s="129"/>
      <c r="T985" s="105"/>
      <c r="U985" s="133"/>
      <c r="V985" s="133"/>
      <c r="W985" s="133"/>
      <c r="X985" s="133"/>
      <c r="Y985" s="133"/>
      <c r="Z985" s="134">
        <f t="shared" si="112"/>
        <v>0</v>
      </c>
      <c r="AA985" s="6">
        <f t="shared" si="111"/>
        <v>0</v>
      </c>
    </row>
    <row r="986" spans="1:27" x14ac:dyDescent="0.3">
      <c r="A986" s="41"/>
      <c r="B986" s="41"/>
      <c r="C986" s="41"/>
      <c r="D986" s="41"/>
      <c r="E986" s="41"/>
      <c r="F986" s="41"/>
      <c r="G986" s="64"/>
      <c r="H986" s="64"/>
      <c r="I986" s="64"/>
      <c r="J986" s="64"/>
      <c r="K986" s="64"/>
      <c r="L986" s="64"/>
      <c r="M986" s="64"/>
      <c r="N986" s="64"/>
      <c r="O986" s="64"/>
      <c r="P986" s="64"/>
      <c r="Q986" s="54" t="s">
        <v>368</v>
      </c>
      <c r="R986" s="54"/>
      <c r="S986" s="129"/>
      <c r="T986" s="105"/>
      <c r="U986" s="133">
        <f>$K$989*$I$978*$G$946*$E$984*$C$1053*$A$1008*$M$984*$O$989*Q987</f>
        <v>6.9717925262144063E-3</v>
      </c>
      <c r="V986" s="133">
        <v>6.9717925262144063E-3</v>
      </c>
      <c r="W986" s="134">
        <f>$K$990+$I$979+$G$947+$E$985+$C$1054+$A$1009+$M$985+$O$990+Q988</f>
        <v>284531.78835871373</v>
      </c>
      <c r="X986" s="133">
        <f>u_ChronicResp</f>
        <v>0.53465956747782661</v>
      </c>
      <c r="Y986" s="133"/>
      <c r="Z986" s="134">
        <f t="shared" si="112"/>
        <v>1983.6965955496996</v>
      </c>
      <c r="AA986" s="6">
        <f t="shared" si="111"/>
        <v>3.7275355766109388E-3</v>
      </c>
    </row>
    <row r="987" spans="1:27" x14ac:dyDescent="0.3">
      <c r="A987" s="41"/>
      <c r="B987" s="41"/>
      <c r="C987" s="41"/>
      <c r="D987" s="41"/>
      <c r="E987" s="41"/>
      <c r="F987" s="41"/>
      <c r="G987" s="64"/>
      <c r="H987" s="64"/>
      <c r="I987" s="64"/>
      <c r="J987" s="64"/>
      <c r="K987" s="64"/>
      <c r="L987" s="64"/>
      <c r="M987" s="64"/>
      <c r="N987" s="64"/>
      <c r="O987" s="64"/>
      <c r="P987" s="64"/>
      <c r="Q987" s="56">
        <f>RDS2CLD_3-(RDS2CLD_3*noHypo2CI_3)</f>
        <v>0.34905610687022898</v>
      </c>
      <c r="R987" s="56"/>
      <c r="S987" s="129"/>
      <c r="T987" s="105"/>
      <c r="U987" s="133"/>
      <c r="V987" s="133"/>
      <c r="W987" s="133"/>
      <c r="X987" s="133"/>
      <c r="Y987" s="133"/>
      <c r="Z987" s="134">
        <f t="shared" si="112"/>
        <v>0</v>
      </c>
      <c r="AA987" s="6">
        <f t="shared" si="111"/>
        <v>0</v>
      </c>
    </row>
    <row r="988" spans="1:27" x14ac:dyDescent="0.3">
      <c r="A988" s="41"/>
      <c r="B988" s="41"/>
      <c r="C988" s="41"/>
      <c r="D988" s="41"/>
      <c r="E988" s="41"/>
      <c r="F988" s="41"/>
      <c r="G988" s="64"/>
      <c r="H988" s="64"/>
      <c r="I988" s="64"/>
      <c r="J988" s="64"/>
      <c r="K988" s="54" t="s">
        <v>37</v>
      </c>
      <c r="L988" s="64"/>
      <c r="M988" s="65"/>
      <c r="N988" s="64"/>
      <c r="O988" s="54" t="s">
        <v>371</v>
      </c>
      <c r="P988" s="64"/>
      <c r="Q988" s="57">
        <f>c_lung+c_hosp_fu+c_CSG</f>
        <v>54529.510902399998</v>
      </c>
      <c r="R988" s="57"/>
      <c r="S988" s="129"/>
      <c r="T988" s="105"/>
      <c r="U988" s="133"/>
      <c r="V988" s="133"/>
      <c r="W988" s="133"/>
      <c r="X988" s="133"/>
      <c r="Y988" s="133"/>
      <c r="Z988" s="134">
        <f t="shared" si="112"/>
        <v>0</v>
      </c>
      <c r="AA988" s="6">
        <f t="shared" si="111"/>
        <v>0</v>
      </c>
    </row>
    <row r="989" spans="1:27" x14ac:dyDescent="0.3">
      <c r="A989" s="41"/>
      <c r="B989" s="41"/>
      <c r="C989" s="41"/>
      <c r="D989" s="41"/>
      <c r="E989" s="41"/>
      <c r="F989" s="41"/>
      <c r="G989" s="64"/>
      <c r="H989" s="64"/>
      <c r="I989" s="64"/>
      <c r="J989" s="64"/>
      <c r="K989" s="56">
        <f>AGA_prem_2s_3</f>
        <v>0.96482500000000004</v>
      </c>
      <c r="L989" s="64"/>
      <c r="M989" s="64"/>
      <c r="N989" s="64"/>
      <c r="O989" s="56">
        <f>AGA_prem_2normoglycaemia_3</f>
        <v>0.85</v>
      </c>
      <c r="P989" s="64"/>
      <c r="Q989" s="54" t="s">
        <v>226</v>
      </c>
      <c r="R989" s="54"/>
      <c r="S989" s="129"/>
      <c r="T989" s="105"/>
      <c r="U989" s="133">
        <f>$K$989*$I$978*$G$946*$E$984*$C$1053*$A$1008*$M$984*$O$989*Q990</f>
        <v>4.2226859082928909E-4</v>
      </c>
      <c r="V989" s="133">
        <v>4.2226859082928909E-4</v>
      </c>
      <c r="W989" s="134">
        <f>$K$990+$I$979+$G$947+$E$985+$C$1054+$A$1009+$M$985+$O$990+Q991</f>
        <v>245768.27745631372</v>
      </c>
      <c r="X989" s="133">
        <f>u_CongnitiveImpairement</f>
        <v>17.270393127285455</v>
      </c>
      <c r="Y989" s="133"/>
      <c r="Z989" s="134">
        <f t="shared" si="112"/>
        <v>103.78022419201933</v>
      </c>
      <c r="AA989" s="6">
        <f t="shared" si="111"/>
        <v>7.2927445689266682E-3</v>
      </c>
    </row>
    <row r="990" spans="1:27" x14ac:dyDescent="0.3">
      <c r="A990" s="41"/>
      <c r="B990" s="41"/>
      <c r="C990" s="41"/>
      <c r="D990" s="41"/>
      <c r="E990" s="41"/>
      <c r="F990" s="41"/>
      <c r="G990" s="64"/>
      <c r="H990" s="64"/>
      <c r="I990" s="64"/>
      <c r="J990" s="64"/>
      <c r="K990" s="57"/>
      <c r="L990" s="64"/>
      <c r="M990" s="64"/>
      <c r="N990" s="64"/>
      <c r="O990" s="57"/>
      <c r="P990" s="64"/>
      <c r="Q990" s="56">
        <f>noHypo2CI_3-(RDS2CLD_3*noHypo2CI_3)</f>
        <v>2.1141683406990762E-2</v>
      </c>
      <c r="R990" s="56"/>
      <c r="S990" s="129"/>
      <c r="T990" s="105"/>
      <c r="U990" s="133"/>
      <c r="V990" s="133"/>
      <c r="W990" s="133"/>
      <c r="X990" s="133"/>
      <c r="Y990" s="133"/>
      <c r="Z990" s="134">
        <f t="shared" si="112"/>
        <v>0</v>
      </c>
      <c r="AA990" s="6">
        <f t="shared" si="111"/>
        <v>0</v>
      </c>
    </row>
    <row r="991" spans="1:27" x14ac:dyDescent="0.3">
      <c r="A991" s="41"/>
      <c r="B991" s="41"/>
      <c r="C991" s="41"/>
      <c r="D991" s="41"/>
      <c r="E991" s="41"/>
      <c r="F991" s="41"/>
      <c r="G991" s="41"/>
      <c r="H991" s="64"/>
      <c r="I991" s="64"/>
      <c r="J991" s="64"/>
      <c r="K991" s="64"/>
      <c r="L991" s="64"/>
      <c r="M991" s="64"/>
      <c r="N991" s="64"/>
      <c r="O991" s="53"/>
      <c r="P991" s="64"/>
      <c r="Q991" s="57">
        <f>c_cog+c_hosp_fu+c_CSG</f>
        <v>15766</v>
      </c>
      <c r="R991" s="57"/>
      <c r="S991" s="129"/>
      <c r="T991" s="105"/>
      <c r="U991" s="133"/>
      <c r="V991" s="133"/>
      <c r="W991" s="133"/>
      <c r="X991" s="133"/>
      <c r="Y991" s="133"/>
      <c r="Z991" s="134">
        <f t="shared" si="112"/>
        <v>0</v>
      </c>
      <c r="AA991" s="6">
        <f t="shared" si="111"/>
        <v>0</v>
      </c>
    </row>
    <row r="992" spans="1:27" x14ac:dyDescent="0.3">
      <c r="A992" s="41"/>
      <c r="B992" s="41"/>
      <c r="C992" s="41"/>
      <c r="D992" s="41"/>
      <c r="E992" s="41"/>
      <c r="F992" s="41"/>
      <c r="G992" s="41"/>
      <c r="H992" s="64"/>
      <c r="I992" s="64"/>
      <c r="J992" s="64"/>
      <c r="K992" s="64"/>
      <c r="L992" s="64"/>
      <c r="M992" s="64"/>
      <c r="N992" s="64"/>
      <c r="O992" s="53"/>
      <c r="P992" s="64"/>
      <c r="Q992" s="54" t="s">
        <v>369</v>
      </c>
      <c r="R992" s="54"/>
      <c r="S992" s="129"/>
      <c r="T992" s="105"/>
      <c r="U992" s="133">
        <f>$K$989*$I$978*$G$946*$E$984*$C$1053*$A$1008*$M$984*$O$989*Q993</f>
        <v>2.3855862486599894E-4</v>
      </c>
      <c r="V992" s="133">
        <v>2.3855862486599894E-4</v>
      </c>
      <c r="W992" s="134">
        <f>$K$990+$I$979+$G$947+$E$985+$C$1054+$A$1009+$M$985+$O$990+Q994</f>
        <v>288350.78835871373</v>
      </c>
      <c r="X992" s="133">
        <f>u_ChronicResp+u_CongnitiveImpairement</f>
        <v>17.805052694763283</v>
      </c>
      <c r="Y992" s="133"/>
      <c r="Z992" s="134">
        <f t="shared" si="112"/>
        <v>68.788567549881449</v>
      </c>
      <c r="AA992" s="6">
        <f t="shared" si="111"/>
        <v>4.247548886529378E-3</v>
      </c>
    </row>
    <row r="993" spans="1:27" x14ac:dyDescent="0.3">
      <c r="A993" s="41"/>
      <c r="B993" s="41"/>
      <c r="C993" s="41"/>
      <c r="D993" s="41"/>
      <c r="E993" s="41"/>
      <c r="F993" s="41"/>
      <c r="G993" s="41"/>
      <c r="H993" s="64"/>
      <c r="I993" s="64"/>
      <c r="J993" s="64"/>
      <c r="K993" s="64"/>
      <c r="L993" s="64"/>
      <c r="M993" s="64"/>
      <c r="N993" s="64"/>
      <c r="O993" s="53"/>
      <c r="P993" s="64"/>
      <c r="Q993" s="56">
        <f>RDS2CLD_3*noHypo2CI_3</f>
        <v>1.1943893129770991E-2</v>
      </c>
      <c r="R993" s="56"/>
      <c r="S993" s="129"/>
      <c r="T993" s="105"/>
      <c r="U993" s="133"/>
      <c r="V993" s="133"/>
      <c r="W993" s="133"/>
      <c r="X993" s="133"/>
      <c r="Y993" s="133"/>
      <c r="Z993" s="134">
        <f t="shared" si="112"/>
        <v>0</v>
      </c>
      <c r="AA993" s="6">
        <f t="shared" si="111"/>
        <v>0</v>
      </c>
    </row>
    <row r="994" spans="1:27" x14ac:dyDescent="0.3">
      <c r="A994" s="41"/>
      <c r="B994" s="41"/>
      <c r="C994" s="41"/>
      <c r="D994" s="41"/>
      <c r="E994" s="41"/>
      <c r="F994" s="41"/>
      <c r="G994" s="64"/>
      <c r="H994" s="64"/>
      <c r="I994" s="64"/>
      <c r="J994" s="64"/>
      <c r="K994" s="64"/>
      <c r="L994" s="64"/>
      <c r="M994" s="64"/>
      <c r="N994" s="64"/>
      <c r="O994" s="53"/>
      <c r="P994" s="64"/>
      <c r="Q994" s="57">
        <f>c_cog+c_lung+c_hosp_fu+c_CSG</f>
        <v>58348.510902399998</v>
      </c>
      <c r="R994" s="57"/>
      <c r="S994" s="129"/>
      <c r="T994" s="105"/>
      <c r="U994" s="133"/>
      <c r="V994" s="133"/>
      <c r="W994" s="133"/>
      <c r="X994" s="133"/>
      <c r="Y994" s="133"/>
      <c r="Z994" s="134">
        <f t="shared" si="112"/>
        <v>0</v>
      </c>
      <c r="AA994" s="6">
        <f t="shared" si="111"/>
        <v>0</v>
      </c>
    </row>
    <row r="995" spans="1:27" x14ac:dyDescent="0.3">
      <c r="A995" s="41"/>
      <c r="B995" s="41"/>
      <c r="C995" s="41"/>
      <c r="D995" s="41"/>
      <c r="E995" s="41"/>
      <c r="F995" s="41"/>
      <c r="G995" s="64"/>
      <c r="H995" s="64"/>
      <c r="I995" s="64"/>
      <c r="J995" s="64"/>
      <c r="K995" s="64"/>
      <c r="L995" s="64"/>
      <c r="M995" s="64"/>
      <c r="N995" s="64"/>
      <c r="O995" s="53"/>
      <c r="P995" s="64"/>
      <c r="Q995" s="54" t="s">
        <v>370</v>
      </c>
      <c r="R995" s="54"/>
      <c r="S995" s="129"/>
      <c r="T995" s="105"/>
      <c r="U995" s="133">
        <f>$K$989*$I$978*$G$946*$E$984*$C$1053*$A$1008*$M$984*$O$989*Q996</f>
        <v>1.2340652144739632E-2</v>
      </c>
      <c r="V995" s="133">
        <v>1.2340652144739632E-2</v>
      </c>
      <c r="W995" s="134">
        <f>$K$990+$I$979+$G$947+$E$985+$C$1054+$A$1009+$M$985+$O$990+Q997</f>
        <v>244405.27745631372</v>
      </c>
      <c r="X995" s="133">
        <f>u_Healthy</f>
        <v>0</v>
      </c>
      <c r="Y995" s="133"/>
      <c r="Z995" s="134">
        <f t="shared" si="112"/>
        <v>3016.1205114269428</v>
      </c>
      <c r="AA995" s="6">
        <f t="shared" si="111"/>
        <v>0</v>
      </c>
    </row>
    <row r="996" spans="1:27" x14ac:dyDescent="0.3">
      <c r="A996" s="41"/>
      <c r="B996" s="41"/>
      <c r="C996" s="41"/>
      <c r="D996" s="41"/>
      <c r="E996" s="41"/>
      <c r="F996" s="41"/>
      <c r="G996" s="64"/>
      <c r="H996" s="64"/>
      <c r="I996" s="64"/>
      <c r="J996" s="64"/>
      <c r="K996" s="64"/>
      <c r="L996" s="64"/>
      <c r="M996" s="64"/>
      <c r="N996" s="64"/>
      <c r="O996" s="53"/>
      <c r="P996" s="64"/>
      <c r="Q996" s="56">
        <f>1-Q993-Q990-Q987</f>
        <v>0.61785831659300938</v>
      </c>
      <c r="R996" s="56"/>
      <c r="T996" s="105"/>
      <c r="U996" s="133"/>
      <c r="V996" s="133"/>
      <c r="W996" s="133"/>
      <c r="X996" s="133"/>
      <c r="Y996" s="133"/>
      <c r="Z996" s="134">
        <f t="shared" si="112"/>
        <v>0</v>
      </c>
      <c r="AA996" s="6">
        <f t="shared" si="111"/>
        <v>0</v>
      </c>
    </row>
    <row r="997" spans="1:27" x14ac:dyDescent="0.3">
      <c r="A997" s="41"/>
      <c r="B997" s="41"/>
      <c r="C997" s="41"/>
      <c r="D997" s="41"/>
      <c r="E997" s="41"/>
      <c r="F997" s="41"/>
      <c r="G997" s="64"/>
      <c r="H997" s="64"/>
      <c r="I997" s="64"/>
      <c r="J997" s="64"/>
      <c r="K997" s="64"/>
      <c r="L997" s="64"/>
      <c r="M997" s="64"/>
      <c r="N997" s="64"/>
      <c r="O997" s="64"/>
      <c r="P997" s="64"/>
      <c r="Q997" s="57">
        <f>c_clinic_fu+c_CSG</f>
        <v>14403</v>
      </c>
      <c r="R997" s="57"/>
      <c r="S997" s="129"/>
      <c r="T997" s="105"/>
      <c r="U997" s="133"/>
      <c r="V997" s="133"/>
      <c r="W997" s="133"/>
      <c r="X997" s="133"/>
      <c r="Y997" s="133"/>
      <c r="Z997" s="134">
        <f t="shared" si="112"/>
        <v>0</v>
      </c>
      <c r="AA997" s="6">
        <f t="shared" si="111"/>
        <v>0</v>
      </c>
    </row>
    <row r="998" spans="1:27" x14ac:dyDescent="0.3">
      <c r="A998" s="41"/>
      <c r="B998" s="41"/>
      <c r="C998" s="41"/>
      <c r="D998" s="41"/>
      <c r="E998" s="41"/>
      <c r="F998" s="41"/>
      <c r="G998" s="64"/>
      <c r="H998" s="64"/>
      <c r="I998" s="64"/>
      <c r="J998" s="64"/>
      <c r="K998" s="64"/>
      <c r="L998" s="64"/>
      <c r="M998" s="64"/>
      <c r="N998" s="64"/>
      <c r="O998" s="64"/>
      <c r="P998" s="64"/>
      <c r="Q998" s="65"/>
      <c r="R998" s="65"/>
      <c r="S998" s="129"/>
      <c r="T998" s="105"/>
      <c r="U998" s="133"/>
      <c r="V998" s="133"/>
      <c r="W998" s="133"/>
      <c r="X998" s="133"/>
      <c r="Y998" s="133"/>
      <c r="Z998" s="134">
        <f t="shared" si="112"/>
        <v>0</v>
      </c>
      <c r="AA998" s="6">
        <f t="shared" si="111"/>
        <v>0</v>
      </c>
    </row>
    <row r="999" spans="1:27" x14ac:dyDescent="0.3">
      <c r="A999" s="41"/>
      <c r="B999" s="41"/>
      <c r="C999" s="41"/>
      <c r="D999" s="41"/>
      <c r="E999" s="41"/>
      <c r="F999" s="41"/>
      <c r="G999" s="64"/>
      <c r="H999" s="64"/>
      <c r="I999" s="64"/>
      <c r="J999" s="64"/>
      <c r="K999" s="64"/>
      <c r="L999" s="64"/>
      <c r="M999" s="64"/>
      <c r="N999" s="64"/>
      <c r="O999" s="64"/>
      <c r="P999" s="64"/>
      <c r="Q999" s="54" t="s">
        <v>368</v>
      </c>
      <c r="R999" s="54"/>
      <c r="S999" s="129"/>
      <c r="T999" s="105"/>
      <c r="U999" s="133">
        <f>$K$989*$I$978*$G$946*$E$984*$C$1053*$A$1008*$M$1004*$O$1002*Q1000</f>
        <v>0</v>
      </c>
      <c r="V999" s="133"/>
      <c r="W999" s="134">
        <f>$K$990+$I$979+$G$947+$E$985+$C$1054+$A$1009+$M$1005+$O$1003+Q1001</f>
        <v>256872.43861050811</v>
      </c>
      <c r="X999" s="133">
        <f>u_ChronicResp</f>
        <v>0.53465956747782661</v>
      </c>
      <c r="Y999" s="133"/>
      <c r="Z999" s="134">
        <f t="shared" si="112"/>
        <v>0</v>
      </c>
      <c r="AA999" s="6">
        <f t="shared" si="111"/>
        <v>0</v>
      </c>
    </row>
    <row r="1000" spans="1:27" x14ac:dyDescent="0.3">
      <c r="A1000" s="41"/>
      <c r="B1000" s="41"/>
      <c r="C1000" s="41"/>
      <c r="D1000" s="41"/>
      <c r="E1000" s="41"/>
      <c r="F1000" s="41"/>
      <c r="G1000" s="64"/>
      <c r="H1000" s="64"/>
      <c r="I1000" s="64"/>
      <c r="J1000" s="64"/>
      <c r="K1000" s="64"/>
      <c r="L1000" s="64"/>
      <c r="M1000" s="64"/>
      <c r="N1000" s="64"/>
      <c r="O1000" s="64"/>
      <c r="P1000" s="64"/>
      <c r="Q1000" s="56">
        <f>noRDS2CLD_3-(Hypo2CI_3*noRDS2CLD_3)</f>
        <v>0</v>
      </c>
      <c r="R1000" s="56"/>
      <c r="S1000" s="129"/>
      <c r="T1000" s="105"/>
      <c r="U1000" s="133"/>
      <c r="V1000" s="133">
        <v>0</v>
      </c>
      <c r="W1000" s="133"/>
      <c r="X1000" s="133"/>
      <c r="Y1000" s="133"/>
      <c r="Z1000" s="134">
        <f t="shared" si="112"/>
        <v>0</v>
      </c>
      <c r="AA1000" s="6">
        <f t="shared" si="111"/>
        <v>0</v>
      </c>
    </row>
    <row r="1001" spans="1:27" x14ac:dyDescent="0.3">
      <c r="A1001" s="41"/>
      <c r="B1001" s="41"/>
      <c r="C1001" s="41"/>
      <c r="D1001" s="41"/>
      <c r="E1001" s="41"/>
      <c r="F1001" s="41"/>
      <c r="G1001" s="64"/>
      <c r="H1001" s="64"/>
      <c r="I1001" s="64"/>
      <c r="J1001" s="64"/>
      <c r="K1001" s="64"/>
      <c r="L1001" s="64"/>
      <c r="M1001" s="64"/>
      <c r="N1001" s="64"/>
      <c r="O1001" s="54" t="s">
        <v>161</v>
      </c>
      <c r="P1001" s="64"/>
      <c r="Q1001" s="57">
        <f>c_lung+c_hosp_fu+c_CSG</f>
        <v>54529.510902399998</v>
      </c>
      <c r="R1001" s="57"/>
      <c r="S1001" s="129"/>
      <c r="T1001" s="105"/>
      <c r="U1001" s="133"/>
      <c r="V1001" s="133"/>
      <c r="W1001" s="133"/>
      <c r="X1001" s="133"/>
      <c r="Y1001" s="133"/>
      <c r="Z1001" s="134">
        <f t="shared" si="112"/>
        <v>0</v>
      </c>
      <c r="AA1001" s="6">
        <f t="shared" si="111"/>
        <v>0</v>
      </c>
    </row>
    <row r="1002" spans="1:27" x14ac:dyDescent="0.3">
      <c r="A1002" s="41"/>
      <c r="B1002" s="41"/>
      <c r="C1002" s="41"/>
      <c r="D1002" s="41"/>
      <c r="E1002" s="41"/>
      <c r="F1002" s="41"/>
      <c r="G1002" s="64"/>
      <c r="H1002" s="64"/>
      <c r="I1002" s="64"/>
      <c r="J1002" s="64"/>
      <c r="K1002" s="64"/>
      <c r="L1002" s="64"/>
      <c r="M1002" s="64"/>
      <c r="N1002" s="64"/>
      <c r="O1002" s="56">
        <f>AGA_prem_2hypoglycaemia_3</f>
        <v>0.15</v>
      </c>
      <c r="P1002" s="64"/>
      <c r="Q1002" s="54" t="s">
        <v>226</v>
      </c>
      <c r="R1002" s="54"/>
      <c r="S1002" s="129"/>
      <c r="T1002" s="105"/>
      <c r="U1002" s="133">
        <f>$K$989*$I$978*$G$946*$E$984*$C$1053*$A$1008*$M$1004*$O$1002*Q1003</f>
        <v>2.2114197762081018E-4</v>
      </c>
      <c r="V1002" s="133">
        <v>2.2114197762081018E-4</v>
      </c>
      <c r="W1002" s="134">
        <f>$K$990+$I$979+$G$947+$E$985+$C$1054+$A$1009+$M$1005+$O$1003+Q1004</f>
        <v>218108.92770810809</v>
      </c>
      <c r="X1002" s="133">
        <f>u_CongnitiveImpairement</f>
        <v>17.270393127285455</v>
      </c>
      <c r="Y1002" s="133"/>
      <c r="Z1002" s="134">
        <f t="shared" si="112"/>
        <v>48.233039610125346</v>
      </c>
      <c r="AA1002" s="6">
        <f t="shared" si="111"/>
        <v>3.8192088904567541E-3</v>
      </c>
    </row>
    <row r="1003" spans="1:27" x14ac:dyDescent="0.3">
      <c r="A1003" s="41"/>
      <c r="B1003" s="41"/>
      <c r="C1003" s="41"/>
      <c r="D1003" s="41"/>
      <c r="E1003" s="41"/>
      <c r="F1003" s="41"/>
      <c r="G1003" s="64"/>
      <c r="H1003" s="64"/>
      <c r="I1003" s="64"/>
      <c r="J1003" s="64"/>
      <c r="K1003" s="64"/>
      <c r="L1003" s="64"/>
      <c r="M1003" s="54" t="s">
        <v>203</v>
      </c>
      <c r="N1003" s="64"/>
      <c r="O1003" s="57">
        <f>c_hypo</f>
        <v>2936.2604000000001</v>
      </c>
      <c r="P1003" s="64"/>
      <c r="Q1003" s="56">
        <f>Hypo2CI_3-(Hypo2CI_3*noRDS2CLD_3)</f>
        <v>5.1333333333333335E-2</v>
      </c>
      <c r="R1003" s="56"/>
      <c r="S1003" s="129"/>
      <c r="T1003" s="105"/>
      <c r="U1003" s="133"/>
      <c r="V1003" s="133"/>
      <c r="W1003" s="133"/>
      <c r="X1003" s="133"/>
      <c r="Y1003" s="133"/>
      <c r="Z1003" s="134">
        <f t="shared" si="112"/>
        <v>0</v>
      </c>
      <c r="AA1003" s="6">
        <f t="shared" si="111"/>
        <v>0</v>
      </c>
    </row>
    <row r="1004" spans="1:27" x14ac:dyDescent="0.3">
      <c r="A1004" s="41"/>
      <c r="B1004" s="41"/>
      <c r="C1004" s="41"/>
      <c r="D1004" s="41"/>
      <c r="E1004" s="41"/>
      <c r="F1004" s="41"/>
      <c r="G1004" s="64"/>
      <c r="H1004" s="64"/>
      <c r="I1004" s="64"/>
      <c r="J1004" s="64"/>
      <c r="K1004" s="64"/>
      <c r="L1004" s="64"/>
      <c r="M1004" s="56">
        <f>S_prem_2noRDS_3</f>
        <v>0.55000000000000004</v>
      </c>
      <c r="N1004" s="64"/>
      <c r="O1004" s="53"/>
      <c r="P1004" s="64"/>
      <c r="Q1004" s="57">
        <f>c_cog+c_hosp_fu+c_CSG</f>
        <v>15766</v>
      </c>
      <c r="R1004" s="57"/>
      <c r="S1004" s="129"/>
      <c r="T1004" s="105"/>
      <c r="U1004" s="133"/>
      <c r="V1004" s="133"/>
      <c r="W1004" s="133"/>
      <c r="X1004" s="133"/>
      <c r="Y1004" s="133"/>
      <c r="Z1004" s="134">
        <f t="shared" si="112"/>
        <v>0</v>
      </c>
      <c r="AA1004" s="6">
        <f t="shared" si="111"/>
        <v>0</v>
      </c>
    </row>
    <row r="1005" spans="1:27" x14ac:dyDescent="0.3">
      <c r="A1005" s="41"/>
      <c r="B1005" s="41"/>
      <c r="C1005" s="41"/>
      <c r="D1005" s="41"/>
      <c r="E1005" s="41"/>
      <c r="F1005" s="41"/>
      <c r="G1005" s="64"/>
      <c r="H1005" s="64"/>
      <c r="I1005" s="64"/>
      <c r="J1005" s="64"/>
      <c r="K1005" s="64"/>
      <c r="L1005" s="64"/>
      <c r="M1005" s="57"/>
      <c r="N1005" s="64"/>
      <c r="O1005" s="65"/>
      <c r="P1005" s="64"/>
      <c r="Q1005" s="54" t="s">
        <v>369</v>
      </c>
      <c r="R1005" s="54"/>
      <c r="S1005" s="129"/>
      <c r="T1005" s="105"/>
      <c r="U1005" s="133">
        <f>$K$989*$I$978*$G$946*$E$984*$C$1053*$A$1008*$M$1004*$O$1002*Q1006</f>
        <v>0</v>
      </c>
      <c r="V1005" s="133">
        <v>0</v>
      </c>
      <c r="W1005" s="134">
        <f>$K$990+$I$979+$G$947+$E$985+$C$1054+$A$1009+$M$1005+$O$1003+Q1007</f>
        <v>260691.43861050811</v>
      </c>
      <c r="X1005" s="133">
        <f>u_ChronicResp+u_CongnitiveImpairement</f>
        <v>17.805052694763283</v>
      </c>
      <c r="Y1005" s="133"/>
      <c r="Z1005" s="134">
        <f t="shared" si="112"/>
        <v>0</v>
      </c>
      <c r="AA1005" s="6">
        <f t="shared" si="111"/>
        <v>0</v>
      </c>
    </row>
    <row r="1006" spans="1:27" x14ac:dyDescent="0.3">
      <c r="A1006" s="41" t="s">
        <v>298</v>
      </c>
      <c r="B1006" s="41"/>
      <c r="C1006" s="41"/>
      <c r="D1006" s="41"/>
      <c r="E1006" s="41"/>
      <c r="F1006" s="41"/>
      <c r="G1006" s="64"/>
      <c r="H1006" s="64"/>
      <c r="I1006" s="53"/>
      <c r="J1006" s="53"/>
      <c r="K1006" s="64"/>
      <c r="L1006" s="64"/>
      <c r="M1006" s="65"/>
      <c r="N1006" s="64"/>
      <c r="O1006" s="41"/>
      <c r="P1006" s="64"/>
      <c r="Q1006" s="56">
        <f>noRDS2CLD_3*Hypo2CI_3</f>
        <v>0</v>
      </c>
      <c r="R1006" s="56"/>
      <c r="S1006" s="129"/>
      <c r="T1006" s="105"/>
      <c r="U1006" s="133"/>
      <c r="V1006" s="133"/>
      <c r="W1006" s="133"/>
      <c r="X1006" s="133"/>
      <c r="Y1006" s="133"/>
      <c r="Z1006" s="134">
        <f t="shared" si="112"/>
        <v>0</v>
      </c>
      <c r="AA1006" s="6">
        <f t="shared" si="111"/>
        <v>0</v>
      </c>
    </row>
    <row r="1007" spans="1:27" x14ac:dyDescent="0.3">
      <c r="A1007" s="54" t="s">
        <v>202</v>
      </c>
      <c r="B1007" s="41"/>
      <c r="C1007" s="41"/>
      <c r="D1007" s="41"/>
      <c r="E1007" s="41"/>
      <c r="F1007" s="41"/>
      <c r="G1007" s="64"/>
      <c r="H1007" s="64"/>
      <c r="I1007" s="53"/>
      <c r="J1007" s="53"/>
      <c r="K1007" s="64"/>
      <c r="L1007" s="64"/>
      <c r="M1007" s="65"/>
      <c r="N1007" s="64"/>
      <c r="O1007" s="41"/>
      <c r="P1007" s="64"/>
      <c r="Q1007" s="57">
        <f>c_lung+c_cog+c_hosp_fu+c_CSG</f>
        <v>58348.510902399998</v>
      </c>
      <c r="R1007" s="57"/>
      <c r="S1007" s="129"/>
      <c r="T1007" s="105"/>
      <c r="U1007" s="133"/>
      <c r="V1007" s="133"/>
      <c r="W1007" s="133"/>
      <c r="X1007" s="133"/>
      <c r="Y1007" s="133"/>
      <c r="Z1007" s="134">
        <f t="shared" si="112"/>
        <v>0</v>
      </c>
      <c r="AA1007" s="6">
        <f t="shared" si="111"/>
        <v>0</v>
      </c>
    </row>
    <row r="1008" spans="1:27" x14ac:dyDescent="0.3">
      <c r="A1008" s="56">
        <f>NoG2ANC</f>
        <v>0.83099999999999996</v>
      </c>
      <c r="B1008" s="41"/>
      <c r="C1008" s="41"/>
      <c r="D1008" s="41"/>
      <c r="E1008" s="41"/>
      <c r="F1008" s="41"/>
      <c r="G1008" s="64"/>
      <c r="H1008" s="64"/>
      <c r="I1008" s="53"/>
      <c r="J1008" s="53"/>
      <c r="K1008" s="64"/>
      <c r="L1008" s="64"/>
      <c r="M1008" s="65"/>
      <c r="N1008" s="64"/>
      <c r="O1008" s="41"/>
      <c r="P1008" s="64"/>
      <c r="Q1008" s="54" t="s">
        <v>370</v>
      </c>
      <c r="R1008" s="54"/>
      <c r="T1008" s="105"/>
      <c r="U1008" s="133">
        <f>$K$989*$I$978*$G$946*$E$984*$C$1053*$A$1008*$M$1004*$O$1002*Q1009</f>
        <v>4.0868186253819857E-3</v>
      </c>
      <c r="V1008" s="133">
        <v>4.0868186253819857E-3</v>
      </c>
      <c r="W1008" s="134">
        <f>$K$990+$I$979+$G$947+$E$985+$C$1054+$A$1009+$M$1005+$O$1003+Q1010</f>
        <v>216745.92770810809</v>
      </c>
      <c r="X1008" s="133">
        <f>u_Healthy</f>
        <v>0</v>
      </c>
      <c r="Y1008" s="133"/>
      <c r="Z1008" s="134">
        <f t="shared" si="112"/>
        <v>885.8012943331936</v>
      </c>
      <c r="AA1008" s="6">
        <f t="shared" si="111"/>
        <v>0</v>
      </c>
    </row>
    <row r="1009" spans="1:27" x14ac:dyDescent="0.3">
      <c r="A1009" s="57">
        <f>c_ANC</f>
        <v>177</v>
      </c>
      <c r="B1009" s="41"/>
      <c r="C1009" s="41"/>
      <c r="D1009" s="41"/>
      <c r="E1009" s="41"/>
      <c r="F1009" s="41"/>
      <c r="G1009" s="64"/>
      <c r="H1009" s="64"/>
      <c r="I1009" s="53"/>
      <c r="J1009" s="53"/>
      <c r="K1009" s="64"/>
      <c r="L1009" s="64"/>
      <c r="M1009" s="65"/>
      <c r="N1009" s="64"/>
      <c r="O1009" s="65"/>
      <c r="P1009" s="64"/>
      <c r="Q1009" s="56">
        <f>1-Q1006-Q1003-Q1000</f>
        <v>0.94866666666666666</v>
      </c>
      <c r="R1009" s="56"/>
      <c r="S1009" s="129"/>
      <c r="T1009" s="105"/>
      <c r="U1009" s="133"/>
      <c r="V1009" s="133"/>
      <c r="W1009" s="133"/>
      <c r="X1009" s="133"/>
      <c r="Y1009" s="133"/>
      <c r="Z1009" s="134">
        <f t="shared" si="112"/>
        <v>0</v>
      </c>
      <c r="AA1009" s="6">
        <f t="shared" si="111"/>
        <v>0</v>
      </c>
    </row>
    <row r="1010" spans="1:27" x14ac:dyDescent="0.3">
      <c r="A1010" s="41"/>
      <c r="B1010" s="41"/>
      <c r="C1010" s="41"/>
      <c r="D1010" s="41"/>
      <c r="E1010" s="41"/>
      <c r="F1010" s="41"/>
      <c r="G1010" s="64"/>
      <c r="H1010" s="64"/>
      <c r="I1010" s="53"/>
      <c r="J1010" s="53"/>
      <c r="K1010" s="64"/>
      <c r="L1010" s="64"/>
      <c r="M1010" s="65"/>
      <c r="N1010" s="64"/>
      <c r="O1010" s="64"/>
      <c r="P1010" s="64"/>
      <c r="Q1010" s="57">
        <f>c_clinic_fu+c_CSG</f>
        <v>14403</v>
      </c>
      <c r="R1010" s="57"/>
      <c r="S1010" s="130"/>
      <c r="T1010" s="105"/>
      <c r="U1010" s="133"/>
      <c r="V1010" s="133"/>
      <c r="W1010" s="133"/>
      <c r="X1010" s="133"/>
      <c r="Y1010" s="133"/>
      <c r="Z1010" s="134">
        <f t="shared" si="112"/>
        <v>0</v>
      </c>
      <c r="AA1010" s="6">
        <f t="shared" si="111"/>
        <v>0</v>
      </c>
    </row>
    <row r="1011" spans="1:27" x14ac:dyDescent="0.3">
      <c r="A1011" s="41"/>
      <c r="B1011" s="41"/>
      <c r="C1011" s="41"/>
      <c r="D1011" s="41"/>
      <c r="E1011" s="41"/>
      <c r="F1011" s="41"/>
      <c r="G1011" s="64"/>
      <c r="H1011" s="64"/>
      <c r="I1011" s="41"/>
      <c r="J1011" s="64"/>
      <c r="K1011" s="64"/>
      <c r="L1011" s="64"/>
      <c r="M1011" s="65"/>
      <c r="N1011" s="64"/>
      <c r="O1011" s="64"/>
      <c r="P1011" s="64"/>
      <c r="Q1011" s="65"/>
      <c r="R1011" s="65"/>
      <c r="S1011" s="129"/>
      <c r="T1011" s="105"/>
      <c r="U1011" s="133"/>
      <c r="V1011" s="133"/>
      <c r="W1011" s="133"/>
      <c r="X1011" s="133"/>
      <c r="Y1011" s="133"/>
      <c r="Z1011" s="134">
        <f t="shared" si="112"/>
        <v>0</v>
      </c>
      <c r="AA1011" s="6">
        <f t="shared" si="111"/>
        <v>0</v>
      </c>
    </row>
    <row r="1012" spans="1:27" x14ac:dyDescent="0.3">
      <c r="A1012" s="41"/>
      <c r="B1012" s="41"/>
      <c r="C1012" s="41"/>
      <c r="D1012" s="41"/>
      <c r="E1012" s="41"/>
      <c r="F1012" s="41"/>
      <c r="G1012" s="64"/>
      <c r="H1012" s="64"/>
      <c r="I1012" s="41"/>
      <c r="J1012" s="64"/>
      <c r="K1012" s="64"/>
      <c r="L1012" s="64"/>
      <c r="M1012" s="65"/>
      <c r="N1012" s="64"/>
      <c r="O1012" s="64"/>
      <c r="P1012" s="64"/>
      <c r="Q1012" s="54" t="s">
        <v>368</v>
      </c>
      <c r="R1012" s="54"/>
      <c r="S1012" s="129"/>
      <c r="T1012" s="105"/>
      <c r="U1012" s="133">
        <f>$K$989*$I$978*$G$946*$E$984*$C$1053*$A$1008*$M$1004*$O$1016*Q1013</f>
        <v>0</v>
      </c>
      <c r="V1012" s="133">
        <v>0</v>
      </c>
      <c r="W1012" s="134">
        <f>$K$990+$I$979+$G$947+$E$985+$C$1054+$A$1009+$M$1005+$O$1017+Q1014</f>
        <v>255965.43861050811</v>
      </c>
      <c r="X1012" s="133">
        <f>u_ChronicResp</f>
        <v>0.53465956747782661</v>
      </c>
      <c r="Y1012" s="133"/>
      <c r="Z1012" s="134">
        <f t="shared" si="112"/>
        <v>0</v>
      </c>
      <c r="AA1012" s="6">
        <f t="shared" si="111"/>
        <v>0</v>
      </c>
    </row>
    <row r="1013" spans="1:27" x14ac:dyDescent="0.3">
      <c r="A1013" s="41"/>
      <c r="B1013" s="41"/>
      <c r="C1013" s="41"/>
      <c r="D1013" s="41"/>
      <c r="E1013" s="41"/>
      <c r="F1013" s="41"/>
      <c r="G1013" s="64"/>
      <c r="H1013" s="64"/>
      <c r="I1013" s="41"/>
      <c r="J1013" s="64"/>
      <c r="K1013" s="64"/>
      <c r="L1013" s="64"/>
      <c r="M1013" s="65"/>
      <c r="N1013" s="64"/>
      <c r="O1013" s="64"/>
      <c r="P1013" s="64"/>
      <c r="Q1013" s="56">
        <f>noRDS2CLD_3-(noRDS2CLD_3*noHypo2CI_3)</f>
        <v>0</v>
      </c>
      <c r="R1013" s="56"/>
      <c r="S1013" s="129"/>
      <c r="T1013" s="105"/>
      <c r="U1013" s="133"/>
      <c r="V1013" s="133"/>
      <c r="W1013" s="133"/>
      <c r="X1013" s="133"/>
      <c r="Y1013" s="133"/>
      <c r="Z1013" s="134">
        <f t="shared" si="112"/>
        <v>0</v>
      </c>
      <c r="AA1013" s="6">
        <f t="shared" si="111"/>
        <v>0</v>
      </c>
    </row>
    <row r="1014" spans="1:27" x14ac:dyDescent="0.3">
      <c r="A1014" s="41"/>
      <c r="B1014" s="41"/>
      <c r="C1014" s="41"/>
      <c r="D1014" s="41"/>
      <c r="E1014" s="41"/>
      <c r="F1014" s="41"/>
      <c r="G1014" s="64"/>
      <c r="H1014" s="64"/>
      <c r="I1014" s="64"/>
      <c r="J1014" s="64"/>
      <c r="K1014" s="64"/>
      <c r="L1014" s="64"/>
      <c r="M1014" s="65"/>
      <c r="N1014" s="64"/>
      <c r="O1014" s="64"/>
      <c r="P1014" s="64"/>
      <c r="Q1014" s="57">
        <f>c_lung+c_hypo+c_CSG</f>
        <v>56558.771302399997</v>
      </c>
      <c r="R1014" s="57"/>
      <c r="S1014" s="129"/>
      <c r="T1014" s="105"/>
      <c r="U1014" s="133"/>
      <c r="V1014" s="133"/>
      <c r="W1014" s="133"/>
      <c r="X1014" s="133"/>
      <c r="Y1014" s="133"/>
      <c r="Z1014" s="134">
        <f t="shared" si="112"/>
        <v>0</v>
      </c>
      <c r="AA1014" s="6">
        <f t="shared" si="111"/>
        <v>0</v>
      </c>
    </row>
    <row r="1015" spans="1:27" x14ac:dyDescent="0.3">
      <c r="A1015" s="41"/>
      <c r="B1015" s="41"/>
      <c r="C1015" s="41"/>
      <c r="D1015" s="41"/>
      <c r="E1015" s="41"/>
      <c r="F1015" s="41"/>
      <c r="G1015" s="64"/>
      <c r="H1015" s="64"/>
      <c r="I1015" s="64"/>
      <c r="J1015" s="64"/>
      <c r="K1015" s="64"/>
      <c r="L1015" s="64"/>
      <c r="M1015" s="65"/>
      <c r="N1015" s="64"/>
      <c r="O1015" s="54" t="s">
        <v>371</v>
      </c>
      <c r="P1015" s="64"/>
      <c r="Q1015" s="54" t="s">
        <v>226</v>
      </c>
      <c r="R1015" s="54"/>
      <c r="S1015" s="129"/>
      <c r="T1015" s="105"/>
      <c r="U1015" s="133">
        <f>$K$989*$I$978*$G$946*$E$984*$C$1053*$A$1008*$M$1004*$O$1016*Q1016</f>
        <v>8.0767770807201869E-4</v>
      </c>
      <c r="V1015" s="133">
        <v>8.0767770807201869E-4</v>
      </c>
      <c r="W1015" s="134">
        <f>$K$990+$I$979+$G$947+$E$985+$C$1054+$A$1009+$M$1005+$O$1017+Q1017</f>
        <v>215172.6673081081</v>
      </c>
      <c r="X1015" s="133">
        <f>u_CongnitiveImpairement</f>
        <v>17.270393127285455</v>
      </c>
      <c r="Y1015" s="133"/>
      <c r="Z1015" s="134">
        <f t="shared" si="112"/>
        <v>173.79016677115573</v>
      </c>
      <c r="AA1015" s="6">
        <f t="shared" si="111"/>
        <v>1.394891153854866E-2</v>
      </c>
    </row>
    <row r="1016" spans="1:27" x14ac:dyDescent="0.3">
      <c r="A1016" s="41"/>
      <c r="B1016" s="41"/>
      <c r="C1016" s="41"/>
      <c r="D1016" s="41"/>
      <c r="E1016" s="41"/>
      <c r="F1016" s="41"/>
      <c r="G1016" s="64"/>
      <c r="H1016" s="64"/>
      <c r="I1016" s="64"/>
      <c r="J1016" s="64"/>
      <c r="K1016" s="64"/>
      <c r="L1016" s="64"/>
      <c r="M1016" s="65"/>
      <c r="N1016" s="64"/>
      <c r="O1016" s="56">
        <f>AGA_prem_2normoglycaemia_3</f>
        <v>0.85</v>
      </c>
      <c r="P1016" s="64"/>
      <c r="Q1016" s="56">
        <f>noHypo2CI_3</f>
        <v>3.3085576536761752E-2</v>
      </c>
      <c r="R1016" s="56"/>
      <c r="S1016" s="129"/>
      <c r="T1016" s="105"/>
      <c r="U1016" s="133"/>
      <c r="V1016" s="133"/>
      <c r="W1016" s="133"/>
      <c r="X1016" s="133"/>
      <c r="Y1016" s="133"/>
      <c r="Z1016" s="134">
        <f t="shared" si="112"/>
        <v>0</v>
      </c>
      <c r="AA1016" s="6">
        <f t="shared" si="111"/>
        <v>0</v>
      </c>
    </row>
    <row r="1017" spans="1:27" x14ac:dyDescent="0.3">
      <c r="A1017" s="41"/>
      <c r="B1017" s="41"/>
      <c r="C1017" s="41"/>
      <c r="D1017" s="41"/>
      <c r="E1017" s="41"/>
      <c r="F1017" s="41"/>
      <c r="G1017" s="64"/>
      <c r="H1017" s="64"/>
      <c r="I1017" s="64"/>
      <c r="J1017" s="64"/>
      <c r="K1017" s="64"/>
      <c r="L1017" s="64"/>
      <c r="M1017" s="65"/>
      <c r="N1017" s="64"/>
      <c r="O1017" s="57"/>
      <c r="P1017" s="64"/>
      <c r="Q1017" s="57">
        <f>c_cog+c_hosp_fu+c_CSG</f>
        <v>15766</v>
      </c>
      <c r="R1017" s="57"/>
      <c r="S1017" s="129"/>
      <c r="T1017" s="105"/>
      <c r="U1017" s="133"/>
      <c r="V1017" s="133"/>
      <c r="W1017" s="133"/>
      <c r="X1017" s="133"/>
      <c r="Y1017" s="133"/>
      <c r="Z1017" s="134">
        <f t="shared" si="112"/>
        <v>0</v>
      </c>
      <c r="AA1017" s="6">
        <f t="shared" si="111"/>
        <v>0</v>
      </c>
    </row>
    <row r="1018" spans="1:27" x14ac:dyDescent="0.3">
      <c r="A1018" s="41"/>
      <c r="B1018" s="41"/>
      <c r="C1018" s="41"/>
      <c r="D1018" s="41"/>
      <c r="E1018" s="41"/>
      <c r="F1018" s="41"/>
      <c r="G1018" s="64"/>
      <c r="H1018" s="64"/>
      <c r="I1018" s="64"/>
      <c r="J1018" s="64"/>
      <c r="K1018" s="64"/>
      <c r="L1018" s="64"/>
      <c r="M1018" s="65"/>
      <c r="N1018" s="64"/>
      <c r="O1018" s="64"/>
      <c r="P1018" s="64"/>
      <c r="Q1018" s="54" t="s">
        <v>369</v>
      </c>
      <c r="R1018" s="54"/>
      <c r="S1018" s="129"/>
      <c r="T1018" s="105"/>
      <c r="U1018" s="133">
        <f>$K$989*$I$978*$G$946*$E$984*$C$1053*$A$1008*$M$1004*$O$1016*Q1019</f>
        <v>0</v>
      </c>
      <c r="V1018" s="133">
        <v>0</v>
      </c>
      <c r="W1018" s="134">
        <f>$K$990+$I$979+$G$947+$E$985+$C$1054+$A$1009+$M$1005+$O$1017+Q1020</f>
        <v>257755.17821050808</v>
      </c>
      <c r="X1018" s="133">
        <f>u_ChronicResp+u_CongnitiveImpairement</f>
        <v>17.805052694763283</v>
      </c>
      <c r="Y1018" s="133"/>
      <c r="Z1018" s="134">
        <f t="shared" si="112"/>
        <v>0</v>
      </c>
      <c r="AA1018" s="6">
        <f t="shared" si="111"/>
        <v>0</v>
      </c>
    </row>
    <row r="1019" spans="1:27" x14ac:dyDescent="0.3">
      <c r="A1019" s="41"/>
      <c r="B1019" s="41"/>
      <c r="C1019" s="41"/>
      <c r="D1019" s="41"/>
      <c r="E1019" s="41"/>
      <c r="F1019" s="41"/>
      <c r="G1019" s="64"/>
      <c r="H1019" s="64"/>
      <c r="I1019" s="64"/>
      <c r="J1019" s="64"/>
      <c r="K1019" s="64"/>
      <c r="L1019" s="64"/>
      <c r="M1019" s="53"/>
      <c r="N1019" s="64"/>
      <c r="O1019" s="64"/>
      <c r="P1019" s="64"/>
      <c r="Q1019" s="56">
        <f>noRDS2CLD_3*noHypo2CI_3</f>
        <v>0</v>
      </c>
      <c r="R1019" s="56"/>
      <c r="S1019" s="129"/>
      <c r="T1019" s="105"/>
      <c r="U1019" s="133"/>
      <c r="V1019" s="133"/>
      <c r="W1019" s="133"/>
      <c r="X1019" s="133"/>
      <c r="Y1019" s="133"/>
      <c r="Z1019" s="134">
        <f t="shared" si="112"/>
        <v>0</v>
      </c>
      <c r="AA1019" s="6">
        <f t="shared" si="111"/>
        <v>0</v>
      </c>
    </row>
    <row r="1020" spans="1:27" x14ac:dyDescent="0.3">
      <c r="A1020" s="41"/>
      <c r="B1020" s="41"/>
      <c r="C1020" s="41"/>
      <c r="D1020" s="41"/>
      <c r="E1020" s="41"/>
      <c r="F1020" s="41"/>
      <c r="G1020" s="64"/>
      <c r="H1020" s="64"/>
      <c r="I1020" s="64"/>
      <c r="J1020" s="64"/>
      <c r="K1020" s="64"/>
      <c r="L1020" s="64"/>
      <c r="M1020" s="44"/>
      <c r="N1020" s="64"/>
      <c r="O1020" s="64"/>
      <c r="P1020" s="64"/>
      <c r="Q1020" s="57">
        <f>c_cog+c_lung+c_hosp_fu+c_CSG</f>
        <v>58348.510902399998</v>
      </c>
      <c r="R1020" s="57"/>
      <c r="S1020" s="129"/>
      <c r="T1020" s="105"/>
      <c r="U1020" s="133"/>
      <c r="V1020" s="133"/>
      <c r="W1020" s="133"/>
      <c r="X1020" s="133"/>
      <c r="Y1020" s="133"/>
      <c r="Z1020" s="134">
        <f t="shared" si="112"/>
        <v>0</v>
      </c>
      <c r="AA1020" s="6">
        <f t="shared" si="111"/>
        <v>0</v>
      </c>
    </row>
    <row r="1021" spans="1:27" x14ac:dyDescent="0.3">
      <c r="A1021" s="41"/>
      <c r="B1021" s="41"/>
      <c r="C1021" s="41"/>
      <c r="D1021" s="41"/>
      <c r="E1021" s="41"/>
      <c r="F1021" s="41"/>
      <c r="G1021" s="64"/>
      <c r="H1021" s="64"/>
      <c r="I1021" s="64"/>
      <c r="J1021" s="64"/>
      <c r="K1021" s="64"/>
      <c r="L1021" s="64"/>
      <c r="M1021" s="65"/>
      <c r="N1021" s="64"/>
      <c r="O1021" s="64"/>
      <c r="P1021" s="64"/>
      <c r="Q1021" s="54" t="s">
        <v>370</v>
      </c>
      <c r="R1021" s="54"/>
      <c r="T1021" s="105"/>
      <c r="U1021" s="133">
        <f>$K$989*$I$978*$G$946*$E$984*$C$1053*$A$1008*$M$1004*$O$1016*Q1022</f>
        <v>2.3604099042277157E-2</v>
      </c>
      <c r="V1021" s="133">
        <v>2.3604099042277157E-2</v>
      </c>
      <c r="W1021" s="134">
        <f>$K$990+$I$979+$G$947+$E$985+$C$1054+$A$1009+$M$1005+$O$1017+Q1023</f>
        <v>213809.6673081081</v>
      </c>
      <c r="X1021" s="133">
        <f>u_Healthy</f>
        <v>0</v>
      </c>
      <c r="Y1021" s="133"/>
      <c r="Z1021" s="134">
        <f t="shared" si="112"/>
        <v>5046.7845633369116</v>
      </c>
      <c r="AA1021" s="6">
        <f t="shared" si="111"/>
        <v>0</v>
      </c>
    </row>
    <row r="1022" spans="1:27" x14ac:dyDescent="0.3">
      <c r="A1022" s="41"/>
      <c r="B1022" s="41"/>
      <c r="C1022" s="41"/>
      <c r="D1022" s="41"/>
      <c r="E1022" s="41"/>
      <c r="F1022" s="41"/>
      <c r="G1022" s="64"/>
      <c r="H1022" s="64"/>
      <c r="I1022" s="64"/>
      <c r="J1022" s="64"/>
      <c r="K1022" s="64"/>
      <c r="L1022" s="64"/>
      <c r="M1022" s="65"/>
      <c r="N1022" s="44"/>
      <c r="O1022" s="64"/>
      <c r="P1022" s="64"/>
      <c r="Q1022" s="56">
        <f>1-Q1019-Q1016-Q1013</f>
        <v>0.9669144234632383</v>
      </c>
      <c r="R1022" s="56"/>
      <c r="S1022" s="129"/>
      <c r="T1022" s="105"/>
      <c r="U1022" s="133"/>
      <c r="V1022" s="133"/>
      <c r="W1022" s="133"/>
      <c r="X1022" s="133"/>
      <c r="Y1022" s="133"/>
      <c r="Z1022" s="134">
        <f t="shared" si="112"/>
        <v>0</v>
      </c>
      <c r="AA1022" s="6">
        <f t="shared" si="111"/>
        <v>0</v>
      </c>
    </row>
    <row r="1023" spans="1:27" x14ac:dyDescent="0.3">
      <c r="A1023" s="41"/>
      <c r="B1023" s="41"/>
      <c r="C1023" s="41"/>
      <c r="D1023" s="41"/>
      <c r="E1023" s="41"/>
      <c r="F1023" s="41"/>
      <c r="G1023" s="64"/>
      <c r="H1023" s="64"/>
      <c r="I1023" s="64"/>
      <c r="J1023" s="64"/>
      <c r="K1023" s="64"/>
      <c r="L1023" s="64"/>
      <c r="M1023" s="65"/>
      <c r="N1023" s="64"/>
      <c r="O1023" s="64"/>
      <c r="P1023" s="64"/>
      <c r="Q1023" s="57">
        <f>c_clinic_fu+c_CSG</f>
        <v>14403</v>
      </c>
      <c r="R1023" s="57"/>
      <c r="T1023" s="105"/>
      <c r="U1023" s="133"/>
      <c r="V1023" s="133"/>
      <c r="W1023" s="133"/>
      <c r="X1023" s="133"/>
      <c r="Y1023" s="133"/>
      <c r="Z1023" s="134">
        <f t="shared" si="112"/>
        <v>0</v>
      </c>
      <c r="AA1023" s="6">
        <f t="shared" si="111"/>
        <v>0</v>
      </c>
    </row>
    <row r="1024" spans="1:27" x14ac:dyDescent="0.3">
      <c r="A1024" s="41"/>
      <c r="B1024" s="41"/>
      <c r="C1024" s="41"/>
      <c r="D1024" s="41"/>
      <c r="E1024" s="41"/>
      <c r="F1024" s="41"/>
      <c r="G1024" s="64"/>
      <c r="H1024" s="64"/>
      <c r="I1024" s="64"/>
      <c r="J1024" s="64"/>
      <c r="K1024" s="64"/>
      <c r="L1024" s="64"/>
      <c r="M1024" s="65"/>
      <c r="N1024" s="64"/>
      <c r="O1024" s="64"/>
      <c r="P1024" s="64"/>
      <c r="Q1024" s="65"/>
      <c r="R1024" s="65"/>
      <c r="S1024" s="129"/>
      <c r="T1024" s="105"/>
      <c r="U1024" s="133"/>
      <c r="V1024" s="133"/>
      <c r="W1024" s="133"/>
      <c r="X1024" s="133"/>
      <c r="Y1024" s="133"/>
      <c r="Z1024" s="134">
        <f t="shared" si="112"/>
        <v>0</v>
      </c>
      <c r="AA1024" s="6">
        <f t="shared" si="111"/>
        <v>0</v>
      </c>
    </row>
    <row r="1025" spans="1:27" x14ac:dyDescent="0.3">
      <c r="A1025" s="41"/>
      <c r="B1025" s="41"/>
      <c r="C1025" s="41"/>
      <c r="D1025" s="41"/>
      <c r="E1025" s="41"/>
      <c r="F1025" s="41"/>
      <c r="G1025" s="64"/>
      <c r="H1025" s="64"/>
      <c r="I1025" s="64"/>
      <c r="J1025" s="64"/>
      <c r="K1025" s="54" t="s">
        <v>165</v>
      </c>
      <c r="L1025" s="54"/>
      <c r="M1025" s="54"/>
      <c r="N1025" s="54"/>
      <c r="O1025" s="54"/>
      <c r="P1025" s="54"/>
      <c r="Q1025" s="54"/>
      <c r="R1025" s="54"/>
      <c r="S1025" s="129"/>
      <c r="T1025" s="105"/>
      <c r="U1025" s="133">
        <f>$K$1026*$I$1034*$G$1055*$E$984*$C$1053*$A$1008</f>
        <v>0</v>
      </c>
      <c r="V1025" s="133">
        <v>0</v>
      </c>
      <c r="W1025" s="134">
        <f>$K$1027+$I$1035+$G$1056+$E$985+$C$1054+$A$1009</f>
        <v>5645.7817081081084</v>
      </c>
      <c r="X1025" s="133">
        <f>u_Death</f>
        <v>19.181538114427529</v>
      </c>
      <c r="Y1025" s="133"/>
      <c r="Z1025" s="134">
        <f t="shared" si="112"/>
        <v>0</v>
      </c>
      <c r="AA1025" s="6">
        <f t="shared" si="111"/>
        <v>0</v>
      </c>
    </row>
    <row r="1026" spans="1:27" x14ac:dyDescent="0.3">
      <c r="A1026" s="41"/>
      <c r="B1026" s="41"/>
      <c r="C1026" s="41"/>
      <c r="D1026" s="41"/>
      <c r="E1026" s="41"/>
      <c r="F1026" s="41"/>
      <c r="G1026" s="64"/>
      <c r="H1026" s="64"/>
      <c r="I1026" s="64"/>
      <c r="J1026" s="64"/>
      <c r="K1026" s="56">
        <f>SGA_prem_2d_3</f>
        <v>8.4066666666666665E-2</v>
      </c>
      <c r="L1026" s="64"/>
      <c r="M1026" s="64"/>
      <c r="N1026" s="64"/>
      <c r="O1026" s="64"/>
      <c r="P1026" s="64"/>
      <c r="Q1026" s="64"/>
      <c r="R1026" s="64"/>
      <c r="S1026" s="129"/>
      <c r="T1026" s="105"/>
      <c r="U1026" s="133"/>
      <c r="V1026" s="133"/>
      <c r="W1026" s="133"/>
      <c r="X1026" s="133"/>
      <c r="Y1026" s="133"/>
      <c r="Z1026" s="134">
        <f t="shared" si="112"/>
        <v>0</v>
      </c>
      <c r="AA1026" s="6">
        <f t="shared" si="111"/>
        <v>0</v>
      </c>
    </row>
    <row r="1027" spans="1:27" x14ac:dyDescent="0.3">
      <c r="A1027" s="41"/>
      <c r="B1027" s="41"/>
      <c r="C1027" s="41"/>
      <c r="D1027" s="41"/>
      <c r="E1027" s="41"/>
      <c r="F1027" s="41"/>
      <c r="G1027" s="64"/>
      <c r="H1027" s="64"/>
      <c r="I1027" s="64"/>
      <c r="J1027" s="64"/>
      <c r="K1027" s="57">
        <f>c_SB</f>
        <v>1792</v>
      </c>
      <c r="L1027" s="64"/>
      <c r="M1027" s="64"/>
      <c r="N1027" s="64"/>
      <c r="O1027" s="64"/>
      <c r="P1027" s="64"/>
      <c r="Q1027" s="64"/>
      <c r="R1027" s="64"/>
      <c r="S1027" s="129"/>
      <c r="T1027" s="105"/>
      <c r="U1027" s="133"/>
      <c r="V1027" s="133"/>
      <c r="W1027" s="133"/>
      <c r="X1027" s="133"/>
      <c r="Y1027" s="133"/>
      <c r="Z1027" s="134">
        <f t="shared" si="112"/>
        <v>0</v>
      </c>
      <c r="AA1027" s="6">
        <f t="shared" si="111"/>
        <v>0</v>
      </c>
    </row>
    <row r="1028" spans="1:27" x14ac:dyDescent="0.3">
      <c r="A1028" s="41"/>
      <c r="B1028" s="41"/>
      <c r="C1028" s="41"/>
      <c r="D1028" s="41"/>
      <c r="E1028" s="41"/>
      <c r="F1028" s="41"/>
      <c r="G1028" s="64"/>
      <c r="H1028" s="64"/>
      <c r="I1028" s="53"/>
      <c r="J1028" s="53"/>
      <c r="K1028" s="53"/>
      <c r="L1028" s="53"/>
      <c r="M1028" s="53"/>
      <c r="N1028" s="53"/>
      <c r="O1028" s="53"/>
      <c r="P1028" s="53"/>
      <c r="Q1028" s="53"/>
      <c r="R1028" s="53"/>
      <c r="S1028" s="129"/>
      <c r="T1028" s="105"/>
      <c r="U1028" s="133"/>
      <c r="V1028" s="133"/>
      <c r="W1028" s="133"/>
      <c r="X1028" s="133"/>
      <c r="Y1028" s="133"/>
      <c r="Z1028" s="134">
        <f t="shared" si="112"/>
        <v>0</v>
      </c>
      <c r="AA1028" s="6">
        <f t="shared" si="111"/>
        <v>0</v>
      </c>
    </row>
    <row r="1029" spans="1:27" x14ac:dyDescent="0.3">
      <c r="A1029" s="41"/>
      <c r="B1029" s="41"/>
      <c r="C1029" s="41"/>
      <c r="D1029" s="41"/>
      <c r="E1029" s="41"/>
      <c r="F1029" s="41"/>
      <c r="G1029" s="64"/>
      <c r="H1029" s="64"/>
      <c r="I1029" s="53"/>
      <c r="J1029" s="53"/>
      <c r="K1029" s="53"/>
      <c r="L1029" s="53"/>
      <c r="M1029" s="53"/>
      <c r="N1029" s="53"/>
      <c r="O1029" s="53"/>
      <c r="P1029" s="53"/>
      <c r="Q1029" s="54" t="s">
        <v>368</v>
      </c>
      <c r="R1029" s="54"/>
      <c r="S1029" s="129"/>
      <c r="T1029" s="105"/>
      <c r="U1029" s="133">
        <f>$K$1045*$I$1034*$G$1055*$E$984*$C$1053*$A$1008*$M$1040*$O$1035*Q1030</f>
        <v>0</v>
      </c>
      <c r="V1029" s="133">
        <v>0</v>
      </c>
      <c r="W1029" s="134">
        <f>$K$1046+$I$1035+$G$1056+$E$985+$C$1054+$A$1009+$M$1041+$O$1036+Q1031</f>
        <v>91915.163158713738</v>
      </c>
      <c r="X1029" s="133">
        <f>u_ChronicResp</f>
        <v>0.53465956747782661</v>
      </c>
      <c r="Y1029" s="133"/>
      <c r="Z1029" s="134">
        <f t="shared" si="112"/>
        <v>0</v>
      </c>
      <c r="AA1029" s="6">
        <f t="shared" si="111"/>
        <v>0</v>
      </c>
    </row>
    <row r="1030" spans="1:27" x14ac:dyDescent="0.3">
      <c r="A1030" s="41"/>
      <c r="B1030" s="41"/>
      <c r="C1030" s="41"/>
      <c r="D1030" s="41"/>
      <c r="E1030" s="41"/>
      <c r="F1030" s="41"/>
      <c r="G1030" s="64"/>
      <c r="H1030" s="64"/>
      <c r="I1030" s="53"/>
      <c r="J1030" s="53"/>
      <c r="K1030" s="53"/>
      <c r="L1030" s="53"/>
      <c r="M1030" s="53"/>
      <c r="N1030" s="53"/>
      <c r="O1030" s="64"/>
      <c r="P1030" s="64"/>
      <c r="Q1030" s="56">
        <f>RDS2CLD_3-(Hypo2CI_3*RDS2CLD_3)</f>
        <v>0.34246866666666664</v>
      </c>
      <c r="R1030" s="56"/>
      <c r="S1030" s="129"/>
      <c r="T1030" s="105"/>
      <c r="U1030" s="133"/>
      <c r="V1030" s="133"/>
      <c r="W1030" s="133"/>
      <c r="X1030" s="133"/>
      <c r="Y1030" s="133"/>
      <c r="Z1030" s="134">
        <f t="shared" si="112"/>
        <v>0</v>
      </c>
      <c r="AA1030" s="6">
        <f t="shared" si="111"/>
        <v>0</v>
      </c>
    </row>
    <row r="1031" spans="1:27" x14ac:dyDescent="0.3">
      <c r="A1031" s="41"/>
      <c r="B1031" s="41"/>
      <c r="C1031" s="41"/>
      <c r="D1031" s="41"/>
      <c r="E1031" s="41"/>
      <c r="F1031" s="41"/>
      <c r="G1031" s="64"/>
      <c r="H1031" s="64"/>
      <c r="I1031" s="53"/>
      <c r="J1031" s="53"/>
      <c r="K1031" s="53"/>
      <c r="L1031" s="53"/>
      <c r="M1031" s="53"/>
      <c r="N1031" s="53"/>
      <c r="O1031" s="64"/>
      <c r="P1031" s="64"/>
      <c r="Q1031" s="57">
        <f>c_lung+c_hosp_fu+c_CSG</f>
        <v>54529.510902399998</v>
      </c>
      <c r="R1031" s="57"/>
      <c r="S1031" s="129"/>
      <c r="T1031" s="105"/>
      <c r="U1031" s="133"/>
      <c r="V1031" s="133"/>
      <c r="W1031" s="133"/>
      <c r="X1031" s="133"/>
      <c r="Y1031" s="133"/>
      <c r="Z1031" s="134">
        <f t="shared" si="112"/>
        <v>0</v>
      </c>
      <c r="AA1031" s="6">
        <f t="shared" si="111"/>
        <v>0</v>
      </c>
    </row>
    <row r="1032" spans="1:27" x14ac:dyDescent="0.3">
      <c r="A1032" s="41"/>
      <c r="B1032" s="41"/>
      <c r="C1032" s="41"/>
      <c r="D1032" s="41"/>
      <c r="E1032" s="41"/>
      <c r="F1032" s="41"/>
      <c r="G1032" s="64"/>
      <c r="H1032" s="64"/>
      <c r="I1032" s="53"/>
      <c r="J1032" s="53"/>
      <c r="K1032" s="53"/>
      <c r="L1032" s="53"/>
      <c r="M1032" s="53"/>
      <c r="N1032" s="53"/>
      <c r="O1032" s="64"/>
      <c r="P1032" s="64"/>
      <c r="Q1032" s="54" t="s">
        <v>226</v>
      </c>
      <c r="R1032" s="54"/>
      <c r="S1032" s="129"/>
      <c r="T1032" s="105"/>
      <c r="U1032" s="133">
        <f>$K$1045*$I$1034*$G$1055*$E$984*$C$1053*$A$1008*$M$1040*$O$1035*Q1033</f>
        <v>0</v>
      </c>
      <c r="V1032" s="133">
        <v>0</v>
      </c>
      <c r="W1032" s="134">
        <f>$K$1046+$I$1035+$G$1056+$E$985+$C$1054+$A$1009+$M$1041+$O$1036+Q1034</f>
        <v>53151.652256313741</v>
      </c>
      <c r="X1032" s="133">
        <f>u_CongnitiveImpairement</f>
        <v>17.270393127285455</v>
      </c>
      <c r="Y1032" s="133"/>
      <c r="Z1032" s="134">
        <f t="shared" si="112"/>
        <v>0</v>
      </c>
      <c r="AA1032" s="6">
        <f t="shared" si="111"/>
        <v>0</v>
      </c>
    </row>
    <row r="1033" spans="1:27" x14ac:dyDescent="0.3">
      <c r="A1033" s="41"/>
      <c r="B1033" s="41"/>
      <c r="C1033" s="41"/>
      <c r="D1033" s="41"/>
      <c r="E1033" s="41"/>
      <c r="F1033" s="41"/>
      <c r="G1033" s="64"/>
      <c r="H1033" s="64"/>
      <c r="I1033" s="54" t="s">
        <v>164</v>
      </c>
      <c r="J1033" s="64"/>
      <c r="K1033" s="64"/>
      <c r="L1033" s="64"/>
      <c r="M1033" s="64"/>
      <c r="N1033" s="64"/>
      <c r="O1033" s="64"/>
      <c r="P1033" s="64"/>
      <c r="Q1033" s="56">
        <f>Hypo2CI_3-(Hypo2CI_3*RDS2CLD_3)</f>
        <v>3.2801999999999998E-2</v>
      </c>
      <c r="R1033" s="56"/>
      <c r="S1033" s="129"/>
      <c r="T1033" s="105"/>
      <c r="U1033" s="133"/>
      <c r="V1033" s="133"/>
      <c r="W1033" s="133"/>
      <c r="X1033" s="133"/>
      <c r="Y1033" s="133"/>
      <c r="Z1033" s="134">
        <f t="shared" si="112"/>
        <v>0</v>
      </c>
      <c r="AA1033" s="6">
        <f t="shared" si="111"/>
        <v>0</v>
      </c>
    </row>
    <row r="1034" spans="1:27" x14ac:dyDescent="0.3">
      <c r="A1034" s="41"/>
      <c r="B1034" s="41"/>
      <c r="C1034" s="41"/>
      <c r="D1034" s="41"/>
      <c r="E1034" s="41"/>
      <c r="F1034" s="41"/>
      <c r="G1034" s="64"/>
      <c r="H1034" s="64"/>
      <c r="I1034" s="56">
        <f>NBW_prem_2SGA_3</f>
        <v>0</v>
      </c>
      <c r="J1034" s="64"/>
      <c r="K1034" s="64"/>
      <c r="L1034" s="64"/>
      <c r="M1034" s="64"/>
      <c r="N1034" s="64"/>
      <c r="O1034" s="54" t="s">
        <v>161</v>
      </c>
      <c r="P1034" s="64"/>
      <c r="Q1034" s="57">
        <f>c_cog+c_hosp_fu+c_CSG</f>
        <v>15766</v>
      </c>
      <c r="R1034" s="57"/>
      <c r="S1034" s="129"/>
      <c r="T1034" s="105"/>
      <c r="U1034" s="133"/>
      <c r="V1034" s="133"/>
      <c r="W1034" s="133"/>
      <c r="X1034" s="133"/>
      <c r="Y1034" s="133"/>
      <c r="Z1034" s="134">
        <f t="shared" si="112"/>
        <v>0</v>
      </c>
      <c r="AA1034" s="6">
        <f t="shared" si="111"/>
        <v>0</v>
      </c>
    </row>
    <row r="1035" spans="1:27" x14ac:dyDescent="0.3">
      <c r="A1035" s="41"/>
      <c r="B1035" s="41"/>
      <c r="C1035" s="41"/>
      <c r="D1035" s="41"/>
      <c r="E1035" s="41"/>
      <c r="F1035" s="41"/>
      <c r="G1035" s="64"/>
      <c r="H1035" s="64"/>
      <c r="I1035" s="57"/>
      <c r="J1035" s="64"/>
      <c r="K1035" s="64"/>
      <c r="L1035" s="64"/>
      <c r="M1035" s="64"/>
      <c r="N1035" s="64"/>
      <c r="O1035" s="56">
        <f>SGA_prem_2hypoglycaemia_3</f>
        <v>0.2155</v>
      </c>
      <c r="P1035" s="64"/>
      <c r="Q1035" s="54" t="s">
        <v>369</v>
      </c>
      <c r="R1035" s="54"/>
      <c r="S1035" s="129"/>
      <c r="T1035" s="105"/>
      <c r="U1035" s="133">
        <f>$K$1045*$I$1034*$G$1055*$E$984*$C$1053*$A$1008*$M$1040*$O$1035*Q1036</f>
        <v>0</v>
      </c>
      <c r="V1035" s="133">
        <v>0</v>
      </c>
      <c r="W1035" s="134">
        <f>$K$1046+$I$1035+$G$1056+$E$985+$C$1054+$A$1009+$M$1041+$O$1036+Q1037</f>
        <v>95734.163158713738</v>
      </c>
      <c r="X1035" s="133">
        <f>u_ChronicResp+u_CongnitiveImpairement</f>
        <v>17.805052694763283</v>
      </c>
      <c r="Y1035" s="133"/>
      <c r="Z1035" s="134">
        <f t="shared" si="112"/>
        <v>0</v>
      </c>
      <c r="AA1035" s="6">
        <f t="shared" si="111"/>
        <v>0</v>
      </c>
    </row>
    <row r="1036" spans="1:27" x14ac:dyDescent="0.3">
      <c r="A1036" s="41"/>
      <c r="B1036" s="41"/>
      <c r="C1036" s="41"/>
      <c r="D1036" s="41"/>
      <c r="E1036" s="41"/>
      <c r="F1036" s="41"/>
      <c r="G1036" s="64"/>
      <c r="H1036" s="64"/>
      <c r="I1036" s="64"/>
      <c r="J1036" s="64"/>
      <c r="K1036" s="64"/>
      <c r="L1036" s="64"/>
      <c r="M1036" s="64"/>
      <c r="N1036" s="64"/>
      <c r="O1036" s="57">
        <f>c_hypo</f>
        <v>2936.2604000000001</v>
      </c>
      <c r="P1036" s="64"/>
      <c r="Q1036" s="56">
        <f>Hypo2CI_3*RDS2CLD_3</f>
        <v>1.8531333333333334E-2</v>
      </c>
      <c r="R1036" s="56"/>
      <c r="S1036" s="129"/>
      <c r="T1036" s="105"/>
      <c r="U1036" s="133"/>
      <c r="V1036" s="133"/>
      <c r="W1036" s="133"/>
      <c r="X1036" s="133"/>
      <c r="Y1036" s="133"/>
      <c r="Z1036" s="134">
        <f t="shared" si="112"/>
        <v>0</v>
      </c>
      <c r="AA1036" s="6">
        <f t="shared" si="111"/>
        <v>0</v>
      </c>
    </row>
    <row r="1037" spans="1:27" x14ac:dyDescent="0.3">
      <c r="A1037" s="41"/>
      <c r="B1037" s="41"/>
      <c r="C1037" s="41"/>
      <c r="D1037" s="41"/>
      <c r="E1037" s="41"/>
      <c r="F1037" s="41"/>
      <c r="G1037" s="64"/>
      <c r="H1037" s="64"/>
      <c r="I1037" s="64"/>
      <c r="J1037" s="64"/>
      <c r="K1037" s="64"/>
      <c r="L1037" s="64"/>
      <c r="M1037" s="65"/>
      <c r="N1037" s="64"/>
      <c r="O1037" s="53"/>
      <c r="P1037" s="64"/>
      <c r="Q1037" s="57">
        <f>c_lung+c_cog+c_hosp_fu+c_CSG</f>
        <v>58348.510902399998</v>
      </c>
      <c r="R1037" s="57"/>
      <c r="S1037" s="129"/>
      <c r="T1037" s="105"/>
      <c r="U1037" s="133"/>
      <c r="V1037" s="133"/>
      <c r="W1037" s="133"/>
      <c r="X1037" s="133"/>
      <c r="Y1037" s="133"/>
      <c r="Z1037" s="134">
        <f t="shared" si="112"/>
        <v>0</v>
      </c>
      <c r="AA1037" s="6">
        <f t="shared" ref="AA1037:AA1100" si="113">U1037*X1037</f>
        <v>0</v>
      </c>
    </row>
    <row r="1038" spans="1:27" x14ac:dyDescent="0.3">
      <c r="A1038" s="41"/>
      <c r="B1038" s="41"/>
      <c r="C1038" s="41"/>
      <c r="D1038" s="41"/>
      <c r="E1038" s="41"/>
      <c r="F1038" s="41"/>
      <c r="G1038" s="41"/>
      <c r="H1038" s="44"/>
      <c r="I1038" s="64"/>
      <c r="J1038" s="64"/>
      <c r="K1038" s="64"/>
      <c r="L1038" s="64"/>
      <c r="M1038" s="64"/>
      <c r="N1038" s="64"/>
      <c r="O1038" s="64"/>
      <c r="P1038" s="64"/>
      <c r="Q1038" s="54" t="s">
        <v>370</v>
      </c>
      <c r="R1038" s="54"/>
      <c r="S1038" s="129"/>
      <c r="T1038" s="105"/>
      <c r="U1038" s="133">
        <f>$K$1045*$I$1034*$G$1055*$E$984*$C$1053*$A$1008*$M$1040*$O$1035*Q1039</f>
        <v>0</v>
      </c>
      <c r="V1038" s="133">
        <v>0</v>
      </c>
      <c r="W1038" s="134">
        <f>$K$1046+$I$1035+$G$1056+$E$985+$C$1054+$A$1009+$M$1041+$O$1036+Q1040</f>
        <v>51788.652256313741</v>
      </c>
      <c r="X1038" s="133">
        <f>u_Healthy</f>
        <v>0</v>
      </c>
      <c r="Y1038" s="133"/>
      <c r="Z1038" s="134">
        <f t="shared" si="112"/>
        <v>0</v>
      </c>
      <c r="AA1038" s="6">
        <f t="shared" si="113"/>
        <v>0</v>
      </c>
    </row>
    <row r="1039" spans="1:27" x14ac:dyDescent="0.3">
      <c r="A1039" s="41"/>
      <c r="B1039" s="41"/>
      <c r="C1039" s="41"/>
      <c r="D1039" s="41"/>
      <c r="E1039" s="41"/>
      <c r="F1039" s="41"/>
      <c r="G1039" s="64"/>
      <c r="H1039" s="64"/>
      <c r="I1039" s="64"/>
      <c r="J1039" s="64"/>
      <c r="K1039" s="64"/>
      <c r="L1039" s="64"/>
      <c r="M1039" s="54" t="s">
        <v>9</v>
      </c>
      <c r="N1039" s="64"/>
      <c r="O1039" s="64"/>
      <c r="P1039" s="64"/>
      <c r="Q1039" s="56">
        <f>1-Q1030-Q1033-Q1036</f>
        <v>0.60619800000000001</v>
      </c>
      <c r="R1039" s="56"/>
      <c r="S1039" s="129"/>
      <c r="T1039" s="105"/>
      <c r="U1039" s="133"/>
      <c r="V1039" s="133"/>
      <c r="W1039" s="133"/>
      <c r="X1039" s="133"/>
      <c r="Y1039" s="133"/>
      <c r="Z1039" s="134">
        <f t="shared" ref="Z1039:Z1102" si="114">U1039*W1039</f>
        <v>0</v>
      </c>
      <c r="AA1039" s="6">
        <f t="shared" si="113"/>
        <v>0</v>
      </c>
    </row>
    <row r="1040" spans="1:27" x14ac:dyDescent="0.3">
      <c r="A1040" s="41"/>
      <c r="B1040" s="41"/>
      <c r="C1040" s="41"/>
      <c r="D1040" s="41"/>
      <c r="E1040" s="41"/>
      <c r="F1040" s="41"/>
      <c r="G1040" s="64"/>
      <c r="H1040" s="64"/>
      <c r="I1040" s="64"/>
      <c r="J1040" s="64"/>
      <c r="K1040" s="65"/>
      <c r="L1040" s="64"/>
      <c r="M1040" s="56">
        <f>S_prem_2RDS_3</f>
        <v>0.45</v>
      </c>
      <c r="N1040" s="64"/>
      <c r="O1040" s="64"/>
      <c r="P1040" s="64"/>
      <c r="Q1040" s="57">
        <f>c_clinic_fu+c_CSG</f>
        <v>14403</v>
      </c>
      <c r="R1040" s="57"/>
      <c r="S1040" s="129"/>
      <c r="T1040" s="105"/>
      <c r="U1040" s="133"/>
      <c r="V1040" s="133"/>
      <c r="W1040" s="133"/>
      <c r="X1040" s="133"/>
      <c r="Y1040" s="133"/>
      <c r="Z1040" s="134">
        <f t="shared" si="114"/>
        <v>0</v>
      </c>
      <c r="AA1040" s="6">
        <f t="shared" si="113"/>
        <v>0</v>
      </c>
    </row>
    <row r="1041" spans="1:27" x14ac:dyDescent="0.3">
      <c r="A1041" s="41"/>
      <c r="B1041" s="41"/>
      <c r="C1041" s="41"/>
      <c r="D1041" s="41"/>
      <c r="E1041" s="41"/>
      <c r="F1041" s="41"/>
      <c r="G1041" s="64"/>
      <c r="H1041" s="64"/>
      <c r="I1041" s="64"/>
      <c r="J1041" s="64"/>
      <c r="K1041" s="65"/>
      <c r="L1041" s="64"/>
      <c r="M1041" s="57">
        <f>c_RDS</f>
        <v>30595.610148205637</v>
      </c>
      <c r="N1041" s="64"/>
      <c r="O1041" s="64"/>
      <c r="P1041" s="64"/>
      <c r="Q1041" s="65"/>
      <c r="R1041" s="65"/>
      <c r="S1041" s="129"/>
      <c r="T1041" s="105"/>
      <c r="U1041" s="133"/>
      <c r="V1041" s="133"/>
      <c r="W1041" s="133"/>
      <c r="X1041" s="133"/>
      <c r="Y1041" s="133"/>
      <c r="Z1041" s="134">
        <f t="shared" si="114"/>
        <v>0</v>
      </c>
      <c r="AA1041" s="6">
        <f t="shared" si="113"/>
        <v>0</v>
      </c>
    </row>
    <row r="1042" spans="1:27" x14ac:dyDescent="0.3">
      <c r="A1042" s="41"/>
      <c r="B1042" s="41"/>
      <c r="C1042" s="41"/>
      <c r="D1042" s="41"/>
      <c r="E1042" s="41"/>
      <c r="F1042" s="41"/>
      <c r="G1042" s="53"/>
      <c r="H1042" s="64"/>
      <c r="I1042" s="64"/>
      <c r="J1042" s="64"/>
      <c r="K1042" s="64"/>
      <c r="L1042" s="64"/>
      <c r="M1042" s="64"/>
      <c r="N1042" s="64"/>
      <c r="O1042" s="64"/>
      <c r="P1042" s="64"/>
      <c r="Q1042" s="54" t="s">
        <v>368</v>
      </c>
      <c r="R1042" s="54"/>
      <c r="S1042" s="129"/>
      <c r="T1042" s="105"/>
      <c r="U1042" s="133">
        <f>$K$1045*$I$1034*$G$1055*$E$984*$C$1053*$A$1008*$M$1040*$O$1045*Q1043</f>
        <v>0</v>
      </c>
      <c r="V1042" s="133">
        <v>0</v>
      </c>
      <c r="W1042" s="134">
        <f>$K$1046+$I$1035+$G$1056+$E$985+$C$1054+$A$1009+$M$1041+$O$1046+Q1044</f>
        <v>88978.902758713739</v>
      </c>
      <c r="X1042" s="133">
        <f>u_ChronicResp</f>
        <v>0.53465956747782661</v>
      </c>
      <c r="Y1042" s="133"/>
      <c r="Z1042" s="134">
        <f t="shared" si="114"/>
        <v>0</v>
      </c>
      <c r="AA1042" s="6">
        <f t="shared" si="113"/>
        <v>0</v>
      </c>
    </row>
    <row r="1043" spans="1:27" x14ac:dyDescent="0.3">
      <c r="A1043" s="41"/>
      <c r="B1043" s="41"/>
      <c r="C1043" s="41"/>
      <c r="D1043" s="41"/>
      <c r="E1043" s="41"/>
      <c r="F1043" s="41"/>
      <c r="G1043" s="53"/>
      <c r="H1043" s="64"/>
      <c r="I1043" s="64"/>
      <c r="J1043" s="64"/>
      <c r="K1043" s="64"/>
      <c r="L1043" s="64"/>
      <c r="M1043" s="64"/>
      <c r="N1043" s="64"/>
      <c r="O1043" s="64"/>
      <c r="P1043" s="64"/>
      <c r="Q1043" s="56">
        <f>RDS2CLD_3-(RDS2CLD_3*noHypo2CI_3)</f>
        <v>0.34905610687022898</v>
      </c>
      <c r="R1043" s="56"/>
      <c r="S1043" s="129"/>
      <c r="T1043" s="105"/>
      <c r="U1043" s="133"/>
      <c r="V1043" s="133"/>
      <c r="W1043" s="133"/>
      <c r="X1043" s="133"/>
      <c r="Y1043" s="133"/>
      <c r="Z1043" s="134">
        <f t="shared" si="114"/>
        <v>0</v>
      </c>
      <c r="AA1043" s="6">
        <f t="shared" si="113"/>
        <v>0</v>
      </c>
    </row>
    <row r="1044" spans="1:27" x14ac:dyDescent="0.3">
      <c r="A1044" s="41"/>
      <c r="B1044" s="41"/>
      <c r="C1044" s="41"/>
      <c r="D1044" s="41"/>
      <c r="E1044" s="41"/>
      <c r="F1044" s="41"/>
      <c r="G1044" s="53"/>
      <c r="H1044" s="64"/>
      <c r="I1044" s="64"/>
      <c r="J1044" s="64"/>
      <c r="K1044" s="54" t="s">
        <v>37</v>
      </c>
      <c r="L1044" s="64"/>
      <c r="M1044" s="65"/>
      <c r="N1044" s="64"/>
      <c r="O1044" s="54" t="s">
        <v>371</v>
      </c>
      <c r="P1044" s="64"/>
      <c r="Q1044" s="57">
        <f>c_lung+c_hosp_fu+c_CSG</f>
        <v>54529.510902399998</v>
      </c>
      <c r="R1044" s="57"/>
      <c r="S1044" s="129"/>
      <c r="T1044" s="105"/>
      <c r="U1044" s="133"/>
      <c r="V1044" s="133"/>
      <c r="W1044" s="133"/>
      <c r="X1044" s="133"/>
      <c r="Y1044" s="133"/>
      <c r="Z1044" s="134">
        <f t="shared" si="114"/>
        <v>0</v>
      </c>
      <c r="AA1044" s="6">
        <f t="shared" si="113"/>
        <v>0</v>
      </c>
    </row>
    <row r="1045" spans="1:27" x14ac:dyDescent="0.3">
      <c r="A1045" s="41"/>
      <c r="B1045" s="41"/>
      <c r="C1045" s="41"/>
      <c r="D1045" s="41"/>
      <c r="E1045" s="41"/>
      <c r="F1045" s="41"/>
      <c r="G1045" s="53"/>
      <c r="H1045" s="64"/>
      <c r="I1045" s="64"/>
      <c r="J1045" s="64"/>
      <c r="K1045" s="56">
        <f>SGA_prem_2s_3</f>
        <v>0.91593333333333338</v>
      </c>
      <c r="L1045" s="64"/>
      <c r="M1045" s="64"/>
      <c r="N1045" s="64"/>
      <c r="O1045" s="56">
        <f>SGA_prem_2normoglycaemia_3</f>
        <v>0.78449999999999998</v>
      </c>
      <c r="P1045" s="64"/>
      <c r="Q1045" s="54" t="s">
        <v>226</v>
      </c>
      <c r="R1045" s="54"/>
      <c r="S1045" s="129"/>
      <c r="T1045" s="105"/>
      <c r="U1045" s="133">
        <f>$K$1045*$I$1034*$G$1055*$E$984*$C$1053*$A$1008*$M$1040*$O$1045*Q1046</f>
        <v>0</v>
      </c>
      <c r="V1045" s="133">
        <v>0</v>
      </c>
      <c r="W1045" s="134">
        <f>$K$1046+$I$1035+$G$1056+$E$985+$C$1054+$A$1009+$M$1041+$O$1046+Q1047</f>
        <v>50215.391856313741</v>
      </c>
      <c r="X1045" s="133">
        <f>u_CongnitiveImpairement</f>
        <v>17.270393127285455</v>
      </c>
      <c r="Y1045" s="133"/>
      <c r="Z1045" s="134">
        <f t="shared" si="114"/>
        <v>0</v>
      </c>
      <c r="AA1045" s="6">
        <f t="shared" si="113"/>
        <v>0</v>
      </c>
    </row>
    <row r="1046" spans="1:27" x14ac:dyDescent="0.3">
      <c r="A1046" s="41"/>
      <c r="B1046" s="41"/>
      <c r="C1046" s="41"/>
      <c r="D1046" s="41"/>
      <c r="E1046" s="41"/>
      <c r="F1046" s="41"/>
      <c r="G1046" s="53"/>
      <c r="H1046" s="64"/>
      <c r="I1046" s="64"/>
      <c r="J1046" s="64"/>
      <c r="K1046" s="57"/>
      <c r="L1046" s="64"/>
      <c r="M1046" s="64"/>
      <c r="N1046" s="64"/>
      <c r="O1046" s="57"/>
      <c r="P1046" s="64"/>
      <c r="Q1046" s="56">
        <f>noHypo2CI_3-(RDS2CLD_3*noHypo2CI_3)</f>
        <v>2.1141683406990762E-2</v>
      </c>
      <c r="R1046" s="56"/>
      <c r="S1046" s="129"/>
      <c r="T1046" s="105"/>
      <c r="U1046" s="133"/>
      <c r="V1046" s="133"/>
      <c r="W1046" s="133"/>
      <c r="X1046" s="133"/>
      <c r="Y1046" s="133"/>
      <c r="Z1046" s="134">
        <f t="shared" si="114"/>
        <v>0</v>
      </c>
      <c r="AA1046" s="6">
        <f t="shared" si="113"/>
        <v>0</v>
      </c>
    </row>
    <row r="1047" spans="1:27" x14ac:dyDescent="0.3">
      <c r="A1047" s="41"/>
      <c r="B1047" s="41"/>
      <c r="C1047" s="41"/>
      <c r="D1047" s="41"/>
      <c r="E1047" s="41"/>
      <c r="F1047" s="41"/>
      <c r="G1047" s="64"/>
      <c r="H1047" s="64"/>
      <c r="I1047" s="64"/>
      <c r="J1047" s="64"/>
      <c r="K1047" s="64"/>
      <c r="L1047" s="64"/>
      <c r="M1047" s="64"/>
      <c r="N1047" s="64"/>
      <c r="O1047" s="53"/>
      <c r="P1047" s="64"/>
      <c r="Q1047" s="57">
        <f>c_cog+c_hosp_fu+c_CSG</f>
        <v>15766</v>
      </c>
      <c r="R1047" s="57"/>
      <c r="S1047" s="129"/>
      <c r="T1047" s="105"/>
      <c r="U1047" s="133"/>
      <c r="V1047" s="133"/>
      <c r="W1047" s="133"/>
      <c r="X1047" s="133"/>
      <c r="Y1047" s="133"/>
      <c r="Z1047" s="134">
        <f t="shared" si="114"/>
        <v>0</v>
      </c>
      <c r="AA1047" s="6">
        <f t="shared" si="113"/>
        <v>0</v>
      </c>
    </row>
    <row r="1048" spans="1:27" x14ac:dyDescent="0.3">
      <c r="A1048" s="41"/>
      <c r="B1048" s="41"/>
      <c r="C1048" s="41"/>
      <c r="D1048" s="41"/>
      <c r="E1048" s="41"/>
      <c r="F1048" s="41"/>
      <c r="G1048" s="64"/>
      <c r="H1048" s="64"/>
      <c r="I1048" s="64"/>
      <c r="J1048" s="64"/>
      <c r="K1048" s="64"/>
      <c r="L1048" s="64"/>
      <c r="M1048" s="64"/>
      <c r="N1048" s="64"/>
      <c r="O1048" s="53"/>
      <c r="P1048" s="64"/>
      <c r="Q1048" s="54" t="s">
        <v>369</v>
      </c>
      <c r="R1048" s="54"/>
      <c r="S1048" s="129"/>
      <c r="T1048" s="105"/>
      <c r="U1048" s="133">
        <f>$K$1045*$I$1034*$G$1055*$E$984*$C$1053*$A$1008*$M$1040*$O$1045*Q1049</f>
        <v>0</v>
      </c>
      <c r="V1048" s="133">
        <v>0</v>
      </c>
      <c r="W1048" s="134">
        <f>$K$1046+$I$1035+$G$1056+$E$985+$C$1054+$A$1009+$M$1041+$O$1046+Q1050</f>
        <v>92797.902758713739</v>
      </c>
      <c r="X1048" s="133">
        <f>u_ChronicResp+u_CongnitiveImpairement</f>
        <v>17.805052694763283</v>
      </c>
      <c r="Y1048" s="133"/>
      <c r="Z1048" s="134">
        <f t="shared" si="114"/>
        <v>0</v>
      </c>
      <c r="AA1048" s="6">
        <f t="shared" si="113"/>
        <v>0</v>
      </c>
    </row>
    <row r="1049" spans="1:27" x14ac:dyDescent="0.3">
      <c r="A1049" s="41"/>
      <c r="B1049" s="41"/>
      <c r="C1049" s="41"/>
      <c r="D1049" s="41"/>
      <c r="E1049" s="41"/>
      <c r="F1049" s="41"/>
      <c r="G1049" s="64"/>
      <c r="H1049" s="64"/>
      <c r="I1049" s="64"/>
      <c r="J1049" s="64"/>
      <c r="K1049" s="64"/>
      <c r="L1049" s="64"/>
      <c r="M1049" s="64"/>
      <c r="N1049" s="64"/>
      <c r="O1049" s="53"/>
      <c r="P1049" s="64"/>
      <c r="Q1049" s="56">
        <f>RDS2CLD_3*noHypo2CI_3</f>
        <v>1.1943893129770991E-2</v>
      </c>
      <c r="R1049" s="56"/>
      <c r="S1049" s="129"/>
      <c r="T1049" s="105"/>
      <c r="U1049" s="133"/>
      <c r="V1049" s="133"/>
      <c r="W1049" s="133"/>
      <c r="X1049" s="133"/>
      <c r="Y1049" s="133"/>
      <c r="Z1049" s="134">
        <f t="shared" si="114"/>
        <v>0</v>
      </c>
      <c r="AA1049" s="6">
        <f t="shared" si="113"/>
        <v>0</v>
      </c>
    </row>
    <row r="1050" spans="1:27" x14ac:dyDescent="0.3">
      <c r="A1050" s="41"/>
      <c r="B1050" s="41"/>
      <c r="C1050" s="41"/>
      <c r="D1050" s="41"/>
      <c r="E1050" s="41"/>
      <c r="F1050" s="41"/>
      <c r="G1050" s="64"/>
      <c r="H1050" s="64"/>
      <c r="I1050" s="64"/>
      <c r="J1050" s="64"/>
      <c r="K1050" s="64"/>
      <c r="L1050" s="64"/>
      <c r="M1050" s="64"/>
      <c r="N1050" s="64"/>
      <c r="O1050" s="53"/>
      <c r="P1050" s="64"/>
      <c r="Q1050" s="57">
        <f>c_cog+c_lung+c_hosp_fu+c_CSG</f>
        <v>58348.510902399998</v>
      </c>
      <c r="R1050" s="57"/>
      <c r="S1050" s="129"/>
      <c r="T1050" s="105"/>
      <c r="U1050" s="133"/>
      <c r="V1050" s="133"/>
      <c r="W1050" s="133"/>
      <c r="X1050" s="133"/>
      <c r="Y1050" s="133"/>
      <c r="Z1050" s="134">
        <f t="shared" si="114"/>
        <v>0</v>
      </c>
      <c r="AA1050" s="6">
        <f t="shared" si="113"/>
        <v>0</v>
      </c>
    </row>
    <row r="1051" spans="1:27" x14ac:dyDescent="0.3">
      <c r="A1051" s="41"/>
      <c r="B1051" s="41"/>
      <c r="C1051" s="41"/>
      <c r="D1051" s="41"/>
      <c r="E1051" s="41"/>
      <c r="F1051" s="41"/>
      <c r="G1051" s="64"/>
      <c r="H1051" s="64"/>
      <c r="I1051" s="64"/>
      <c r="J1051" s="64"/>
      <c r="K1051" s="64"/>
      <c r="L1051" s="64"/>
      <c r="M1051" s="64"/>
      <c r="N1051" s="64"/>
      <c r="O1051" s="53"/>
      <c r="P1051" s="64"/>
      <c r="Q1051" s="54" t="s">
        <v>370</v>
      </c>
      <c r="R1051" s="54"/>
      <c r="T1051" s="105"/>
      <c r="U1051" s="133">
        <f>$K$1045*$I$1034*$G$1055*$E$984*$C$1053*$A$1008*$M$1040*$O$1045*Q1052</f>
        <v>0</v>
      </c>
      <c r="V1051" s="133">
        <v>0</v>
      </c>
      <c r="W1051" s="134">
        <f>$K$1046+$I$1035+$G$1056+$E$985+$C$1054+$A$1009+$M$1041+$O$1046+Q1053</f>
        <v>48852.391856313741</v>
      </c>
      <c r="X1051" s="133">
        <f>u_Healthy</f>
        <v>0</v>
      </c>
      <c r="Y1051" s="133"/>
      <c r="Z1051" s="134">
        <f t="shared" si="114"/>
        <v>0</v>
      </c>
      <c r="AA1051" s="6">
        <f t="shared" si="113"/>
        <v>0</v>
      </c>
    </row>
    <row r="1052" spans="1:27" x14ac:dyDescent="0.3">
      <c r="A1052" s="41"/>
      <c r="B1052" s="41"/>
      <c r="C1052" s="54" t="s">
        <v>373</v>
      </c>
      <c r="D1052" s="41"/>
      <c r="E1052" s="41"/>
      <c r="F1052" s="41"/>
      <c r="G1052" s="64"/>
      <c r="H1052" s="64"/>
      <c r="I1052" s="64"/>
      <c r="J1052" s="64"/>
      <c r="K1052" s="64"/>
      <c r="L1052" s="64"/>
      <c r="M1052" s="64"/>
      <c r="N1052" s="64"/>
      <c r="O1052" s="53"/>
      <c r="P1052" s="64"/>
      <c r="Q1052" s="56">
        <f>1-Q1049-Q1046-Q1043</f>
        <v>0.61785831659300938</v>
      </c>
      <c r="R1052" s="56"/>
      <c r="S1052" s="129"/>
      <c r="T1052" s="105"/>
      <c r="U1052" s="133"/>
      <c r="V1052" s="133"/>
      <c r="W1052" s="133"/>
      <c r="X1052" s="133"/>
      <c r="Y1052" s="133"/>
      <c r="Z1052" s="134">
        <f t="shared" si="114"/>
        <v>0</v>
      </c>
      <c r="AA1052" s="6">
        <f t="shared" si="113"/>
        <v>0</v>
      </c>
    </row>
    <row r="1053" spans="1:27" x14ac:dyDescent="0.3">
      <c r="A1053" s="41"/>
      <c r="B1053" s="41"/>
      <c r="C1053" s="56">
        <f>ANC2LB_3</f>
        <v>0.9835771985977747</v>
      </c>
      <c r="D1053" s="41"/>
      <c r="E1053" s="41"/>
      <c r="F1053" s="41"/>
      <c r="G1053" s="64"/>
      <c r="H1053" s="64"/>
      <c r="I1053" s="64"/>
      <c r="J1053" s="64"/>
      <c r="K1053" s="64"/>
      <c r="L1053" s="64"/>
      <c r="M1053" s="64"/>
      <c r="N1053" s="64"/>
      <c r="O1053" s="64"/>
      <c r="P1053" s="64"/>
      <c r="Q1053" s="57">
        <f>c_clinic_fu+c_CSG</f>
        <v>14403</v>
      </c>
      <c r="R1053" s="57"/>
      <c r="S1053" s="129"/>
      <c r="T1053" s="105"/>
      <c r="U1053" s="133"/>
      <c r="V1053" s="133"/>
      <c r="W1053" s="133"/>
      <c r="X1053" s="133"/>
      <c r="Y1053" s="133"/>
      <c r="Z1053" s="134">
        <f t="shared" si="114"/>
        <v>0</v>
      </c>
      <c r="AA1053" s="6">
        <f t="shared" si="113"/>
        <v>0</v>
      </c>
    </row>
    <row r="1054" spans="1:27" x14ac:dyDescent="0.3">
      <c r="A1054" s="41"/>
      <c r="B1054" s="41"/>
      <c r="C1054" s="57"/>
      <c r="D1054" s="41"/>
      <c r="E1054" s="41"/>
      <c r="F1054" s="41"/>
      <c r="G1054" s="54" t="s">
        <v>372</v>
      </c>
      <c r="H1054" s="64"/>
      <c r="I1054" s="64"/>
      <c r="J1054" s="64"/>
      <c r="K1054" s="64"/>
      <c r="L1054" s="64"/>
      <c r="M1054" s="64"/>
      <c r="N1054" s="64"/>
      <c r="O1054" s="64"/>
      <c r="P1054" s="64"/>
      <c r="Q1054" s="65"/>
      <c r="R1054" s="65"/>
      <c r="S1054" s="129"/>
      <c r="T1054" s="105"/>
      <c r="U1054" s="133"/>
      <c r="V1054" s="133"/>
      <c r="W1054" s="133"/>
      <c r="X1054" s="133"/>
      <c r="Y1054" s="133"/>
      <c r="Z1054" s="134">
        <f t="shared" si="114"/>
        <v>0</v>
      </c>
      <c r="AA1054" s="6">
        <f t="shared" si="113"/>
        <v>0</v>
      </c>
    </row>
    <row r="1055" spans="1:27" x14ac:dyDescent="0.3">
      <c r="A1055" s="41"/>
      <c r="B1055" s="41"/>
      <c r="C1055" s="41"/>
      <c r="D1055" s="41"/>
      <c r="E1055" s="41"/>
      <c r="F1055" s="41"/>
      <c r="G1055" s="56">
        <f>Prem2NBW_3</f>
        <v>0.31864406779661014</v>
      </c>
      <c r="H1055" s="64"/>
      <c r="I1055" s="64"/>
      <c r="J1055" s="64"/>
      <c r="K1055" s="64"/>
      <c r="L1055" s="64"/>
      <c r="M1055" s="64"/>
      <c r="N1055" s="64"/>
      <c r="O1055" s="64"/>
      <c r="P1055" s="64"/>
      <c r="Q1055" s="54" t="s">
        <v>368</v>
      </c>
      <c r="R1055" s="54"/>
      <c r="S1055" s="129"/>
      <c r="T1055" s="105"/>
      <c r="U1055" s="133">
        <f>$K$1045*$I$1034*$G$1055*$E$984*$C$1053*$A$1008*$M$1060*$O$1058*Q1056</f>
        <v>0</v>
      </c>
      <c r="V1055" s="133">
        <v>0</v>
      </c>
      <c r="W1055" s="134">
        <f>$K$1046+$I$1035+$G$1056+$E$985+$C$1054+$A$1009+$M$1061+$O$1059+Q1057</f>
        <v>61319.553010508105</v>
      </c>
      <c r="X1055" s="133">
        <f>u_ChronicResp</f>
        <v>0.53465956747782661</v>
      </c>
      <c r="Y1055" s="133"/>
      <c r="Z1055" s="134">
        <f t="shared" si="114"/>
        <v>0</v>
      </c>
      <c r="AA1055" s="6">
        <f t="shared" si="113"/>
        <v>0</v>
      </c>
    </row>
    <row r="1056" spans="1:27" x14ac:dyDescent="0.3">
      <c r="A1056" s="41"/>
      <c r="B1056" s="41"/>
      <c r="C1056" s="41"/>
      <c r="D1056" s="41"/>
      <c r="E1056" s="41"/>
      <c r="F1056" s="41"/>
      <c r="G1056" s="57">
        <f>c_NICU_NBW</f>
        <v>3098.88</v>
      </c>
      <c r="H1056" s="64"/>
      <c r="I1056" s="64"/>
      <c r="J1056" s="64"/>
      <c r="K1056" s="64"/>
      <c r="L1056" s="64"/>
      <c r="M1056" s="64"/>
      <c r="N1056" s="64"/>
      <c r="O1056" s="64"/>
      <c r="P1056" s="64"/>
      <c r="Q1056" s="56">
        <f>noRDS2CLD_3-(Hypo2CI_3*noRDS2CLD_3)</f>
        <v>0</v>
      </c>
      <c r="R1056" s="56"/>
      <c r="S1056" s="129"/>
      <c r="T1056" s="105"/>
      <c r="U1056" s="133"/>
      <c r="V1056" s="133"/>
      <c r="W1056" s="133"/>
      <c r="X1056" s="133"/>
      <c r="Y1056" s="133"/>
      <c r="Z1056" s="134">
        <f t="shared" si="114"/>
        <v>0</v>
      </c>
      <c r="AA1056" s="6">
        <f t="shared" si="113"/>
        <v>0</v>
      </c>
    </row>
    <row r="1057" spans="1:27" x14ac:dyDescent="0.3">
      <c r="A1057" s="41"/>
      <c r="B1057" s="41"/>
      <c r="C1057" s="41"/>
      <c r="D1057" s="41"/>
      <c r="E1057" s="41"/>
      <c r="F1057" s="41"/>
      <c r="G1057" s="64"/>
      <c r="H1057" s="64"/>
      <c r="I1057" s="64"/>
      <c r="J1057" s="64"/>
      <c r="K1057" s="64"/>
      <c r="L1057" s="64"/>
      <c r="M1057" s="64"/>
      <c r="N1057" s="64"/>
      <c r="O1057" s="54" t="s">
        <v>161</v>
      </c>
      <c r="P1057" s="64"/>
      <c r="Q1057" s="57">
        <f>c_lung+c_hosp_fu+c_CSG</f>
        <v>54529.510902399998</v>
      </c>
      <c r="R1057" s="57"/>
      <c r="S1057" s="129"/>
      <c r="T1057" s="105"/>
      <c r="U1057" s="133"/>
      <c r="V1057" s="133"/>
      <c r="W1057" s="133"/>
      <c r="X1057" s="133"/>
      <c r="Y1057" s="133"/>
      <c r="Z1057" s="134">
        <f t="shared" si="114"/>
        <v>0</v>
      </c>
      <c r="AA1057" s="6">
        <f t="shared" si="113"/>
        <v>0</v>
      </c>
    </row>
    <row r="1058" spans="1:27" x14ac:dyDescent="0.3">
      <c r="A1058" s="41"/>
      <c r="B1058" s="41"/>
      <c r="C1058" s="41"/>
      <c r="D1058" s="41"/>
      <c r="E1058" s="41"/>
      <c r="F1058" s="41"/>
      <c r="G1058" s="64"/>
      <c r="H1058" s="64"/>
      <c r="I1058" s="64"/>
      <c r="J1058" s="64"/>
      <c r="K1058" s="64"/>
      <c r="L1058" s="64"/>
      <c r="M1058" s="64"/>
      <c r="N1058" s="64"/>
      <c r="O1058" s="56">
        <f>SGA_prem_2hypoglycaemia_3</f>
        <v>0.2155</v>
      </c>
      <c r="P1058" s="64"/>
      <c r="Q1058" s="54" t="s">
        <v>226</v>
      </c>
      <c r="R1058" s="54"/>
      <c r="S1058" s="129"/>
      <c r="T1058" s="105"/>
      <c r="U1058" s="133">
        <f>$K$1045*$I$1034*$G$1055*$E$984*$C$1053*$A$1008*$M$1060*$O$1058*Q1059</f>
        <v>0</v>
      </c>
      <c r="V1058" s="133">
        <v>0</v>
      </c>
      <c r="W1058" s="134">
        <f>$K$1046+$I$1035+$G$1056+$E$985+$C$1054+$A$1009+$M$1061+$O$1059+Q1060</f>
        <v>22556.042108108108</v>
      </c>
      <c r="X1058" s="133">
        <f>u_CongnitiveImpairement</f>
        <v>17.270393127285455</v>
      </c>
      <c r="Y1058" s="133"/>
      <c r="Z1058" s="134">
        <f t="shared" si="114"/>
        <v>0</v>
      </c>
      <c r="AA1058" s="6">
        <f t="shared" si="113"/>
        <v>0</v>
      </c>
    </row>
    <row r="1059" spans="1:27" x14ac:dyDescent="0.3">
      <c r="A1059" s="41"/>
      <c r="B1059" s="41"/>
      <c r="C1059" s="41"/>
      <c r="D1059" s="41"/>
      <c r="E1059" s="41"/>
      <c r="F1059" s="41"/>
      <c r="G1059" s="64"/>
      <c r="H1059" s="64"/>
      <c r="I1059" s="64"/>
      <c r="J1059" s="64"/>
      <c r="K1059" s="64"/>
      <c r="L1059" s="64"/>
      <c r="M1059" s="54" t="s">
        <v>203</v>
      </c>
      <c r="N1059" s="64"/>
      <c r="O1059" s="57">
        <f>c_hypo</f>
        <v>2936.2604000000001</v>
      </c>
      <c r="P1059" s="64"/>
      <c r="Q1059" s="56">
        <f>Hypo2CI_3-(Hypo2CI_3*noRDS2CLD_3)</f>
        <v>5.1333333333333335E-2</v>
      </c>
      <c r="R1059" s="56"/>
      <c r="S1059" s="129"/>
      <c r="T1059" s="105"/>
      <c r="U1059" s="133"/>
      <c r="V1059" s="133"/>
      <c r="W1059" s="133"/>
      <c r="X1059" s="133"/>
      <c r="Y1059" s="133"/>
      <c r="Z1059" s="134">
        <f t="shared" si="114"/>
        <v>0</v>
      </c>
      <c r="AA1059" s="6">
        <f t="shared" si="113"/>
        <v>0</v>
      </c>
    </row>
    <row r="1060" spans="1:27" x14ac:dyDescent="0.3">
      <c r="A1060" s="41"/>
      <c r="B1060" s="41"/>
      <c r="C1060" s="41"/>
      <c r="D1060" s="41"/>
      <c r="E1060" s="41"/>
      <c r="F1060" s="41"/>
      <c r="G1060" s="64"/>
      <c r="H1060" s="64"/>
      <c r="I1060" s="64"/>
      <c r="J1060" s="64"/>
      <c r="K1060" s="64"/>
      <c r="L1060" s="64"/>
      <c r="M1060" s="56">
        <f>S_prem_2noRDS_3</f>
        <v>0.55000000000000004</v>
      </c>
      <c r="N1060" s="64"/>
      <c r="O1060" s="53"/>
      <c r="P1060" s="64"/>
      <c r="Q1060" s="57">
        <f>c_cog+c_hosp_fu+c_CSG</f>
        <v>15766</v>
      </c>
      <c r="R1060" s="57"/>
      <c r="S1060" s="129"/>
      <c r="T1060" s="105"/>
      <c r="U1060" s="133"/>
      <c r="V1060" s="133"/>
      <c r="W1060" s="133"/>
      <c r="X1060" s="133"/>
      <c r="Y1060" s="133"/>
      <c r="Z1060" s="134">
        <f t="shared" si="114"/>
        <v>0</v>
      </c>
      <c r="AA1060" s="6">
        <f t="shared" si="113"/>
        <v>0</v>
      </c>
    </row>
    <row r="1061" spans="1:27" x14ac:dyDescent="0.3">
      <c r="A1061" s="41"/>
      <c r="B1061" s="41"/>
      <c r="C1061" s="41"/>
      <c r="D1061" s="41"/>
      <c r="E1061" s="41"/>
      <c r="F1061" s="41"/>
      <c r="G1061" s="65"/>
      <c r="H1061" s="64"/>
      <c r="I1061" s="64"/>
      <c r="J1061" s="64"/>
      <c r="K1061" s="64"/>
      <c r="L1061" s="64"/>
      <c r="M1061" s="57"/>
      <c r="N1061" s="64"/>
      <c r="O1061" s="65"/>
      <c r="P1061" s="64"/>
      <c r="Q1061" s="54" t="s">
        <v>369</v>
      </c>
      <c r="R1061" s="54"/>
      <c r="S1061" s="129"/>
      <c r="T1061" s="105"/>
      <c r="U1061" s="133">
        <f>$K$1045*$I$1034*$G$1055*$E$984*$C$1053*$A$1008*$M$1060*$O$1058*Q1062</f>
        <v>0</v>
      </c>
      <c r="V1061" s="133">
        <v>0</v>
      </c>
      <c r="W1061" s="134">
        <f>$K$1046+$I$1035+$G$1056+$E$985+$C$1054+$A$1009+$M$1061+$O$1059+Q1063</f>
        <v>65138.553010508105</v>
      </c>
      <c r="X1061" s="133">
        <f>u_ChronicResp+u_CongnitiveImpairement</f>
        <v>17.805052694763283</v>
      </c>
      <c r="Y1061" s="133"/>
      <c r="Z1061" s="134">
        <f t="shared" si="114"/>
        <v>0</v>
      </c>
      <c r="AA1061" s="6">
        <f t="shared" si="113"/>
        <v>0</v>
      </c>
    </row>
    <row r="1062" spans="1:27" x14ac:dyDescent="0.3">
      <c r="A1062" s="41"/>
      <c r="B1062" s="41"/>
      <c r="C1062" s="41"/>
      <c r="D1062" s="41"/>
      <c r="E1062" s="41"/>
      <c r="F1062" s="41"/>
      <c r="G1062" s="64"/>
      <c r="H1062" s="64"/>
      <c r="I1062" s="64"/>
      <c r="J1062" s="64"/>
      <c r="K1062" s="64"/>
      <c r="L1062" s="64"/>
      <c r="M1062" s="65"/>
      <c r="N1062" s="64"/>
      <c r="O1062" s="41"/>
      <c r="P1062" s="64"/>
      <c r="Q1062" s="56">
        <f>noRDS2CLD_3*Hypo2CI_3</f>
        <v>0</v>
      </c>
      <c r="R1062" s="56"/>
      <c r="S1062" s="129"/>
      <c r="T1062" s="105"/>
      <c r="U1062" s="133"/>
      <c r="V1062" s="133"/>
      <c r="W1062" s="133"/>
      <c r="X1062" s="133"/>
      <c r="Y1062" s="133"/>
      <c r="Z1062" s="134">
        <f t="shared" si="114"/>
        <v>0</v>
      </c>
      <c r="AA1062" s="6">
        <f t="shared" si="113"/>
        <v>0</v>
      </c>
    </row>
    <row r="1063" spans="1:27" x14ac:dyDescent="0.3">
      <c r="A1063" s="41"/>
      <c r="B1063" s="41"/>
      <c r="C1063" s="41"/>
      <c r="D1063" s="41"/>
      <c r="E1063" s="41"/>
      <c r="F1063" s="41"/>
      <c r="G1063" s="64"/>
      <c r="H1063" s="64"/>
      <c r="I1063" s="64"/>
      <c r="J1063" s="64"/>
      <c r="K1063" s="64"/>
      <c r="L1063" s="64"/>
      <c r="M1063" s="65"/>
      <c r="N1063" s="64"/>
      <c r="O1063" s="41"/>
      <c r="P1063" s="64"/>
      <c r="Q1063" s="57">
        <f>c_lung+c_cog+c_hosp_fu+c_CSG</f>
        <v>58348.510902399998</v>
      </c>
      <c r="R1063" s="57"/>
      <c r="S1063" s="129"/>
      <c r="T1063" s="105"/>
      <c r="U1063" s="133"/>
      <c r="V1063" s="133"/>
      <c r="W1063" s="133"/>
      <c r="X1063" s="133"/>
      <c r="Y1063" s="133"/>
      <c r="Z1063" s="134">
        <f t="shared" si="114"/>
        <v>0</v>
      </c>
      <c r="AA1063" s="6">
        <f t="shared" si="113"/>
        <v>0</v>
      </c>
    </row>
    <row r="1064" spans="1:27" x14ac:dyDescent="0.3">
      <c r="A1064" s="41"/>
      <c r="B1064" s="41"/>
      <c r="C1064" s="41"/>
      <c r="D1064" s="41"/>
      <c r="E1064" s="41"/>
      <c r="F1064" s="41"/>
      <c r="G1064" s="64"/>
      <c r="H1064" s="64"/>
      <c r="I1064" s="64"/>
      <c r="J1064" s="64"/>
      <c r="K1064" s="64"/>
      <c r="L1064" s="64"/>
      <c r="M1064" s="65"/>
      <c r="N1064" s="64"/>
      <c r="O1064" s="41"/>
      <c r="P1064" s="64"/>
      <c r="Q1064" s="54" t="s">
        <v>370</v>
      </c>
      <c r="R1064" s="54"/>
      <c r="T1064" s="105"/>
      <c r="U1064" s="133">
        <f>$K$1045*$I$1034*$G$1055*$E$984*$C$1053*$A$1008*$M$1060*$O$1058*Q1065</f>
        <v>0</v>
      </c>
      <c r="V1064" s="133">
        <v>0</v>
      </c>
      <c r="W1064" s="134">
        <f>$K$1046+$I$1035+$G$1056+$E$985+$C$1054+$A$1009+$M$1061+$O$1059+Q1066</f>
        <v>21193.042108108108</v>
      </c>
      <c r="X1064" s="133">
        <f>u_Healthy</f>
        <v>0</v>
      </c>
      <c r="Y1064" s="133"/>
      <c r="Z1064" s="134">
        <f t="shared" si="114"/>
        <v>0</v>
      </c>
      <c r="AA1064" s="6">
        <f t="shared" si="113"/>
        <v>0</v>
      </c>
    </row>
    <row r="1065" spans="1:27" x14ac:dyDescent="0.3">
      <c r="A1065" s="41"/>
      <c r="B1065" s="41"/>
      <c r="C1065" s="41"/>
      <c r="D1065" s="41"/>
      <c r="E1065" s="41"/>
      <c r="F1065" s="41"/>
      <c r="G1065" s="64"/>
      <c r="H1065" s="64"/>
      <c r="I1065" s="64"/>
      <c r="J1065" s="64"/>
      <c r="K1065" s="64"/>
      <c r="L1065" s="64"/>
      <c r="M1065" s="65"/>
      <c r="N1065" s="64"/>
      <c r="O1065" s="65"/>
      <c r="P1065" s="64"/>
      <c r="Q1065" s="56">
        <f>1-Q1062-Q1059-Q1056</f>
        <v>0.94866666666666666</v>
      </c>
      <c r="R1065" s="56"/>
      <c r="S1065" s="129"/>
      <c r="T1065" s="105"/>
      <c r="U1065" s="133"/>
      <c r="V1065" s="133"/>
      <c r="W1065" s="133"/>
      <c r="X1065" s="133"/>
      <c r="Y1065" s="133"/>
      <c r="Z1065" s="134">
        <f t="shared" si="114"/>
        <v>0</v>
      </c>
      <c r="AA1065" s="6">
        <f t="shared" si="113"/>
        <v>0</v>
      </c>
    </row>
    <row r="1066" spans="1:27" x14ac:dyDescent="0.3">
      <c r="A1066" s="41"/>
      <c r="B1066" s="41"/>
      <c r="C1066" s="41"/>
      <c r="D1066" s="41"/>
      <c r="E1066" s="41"/>
      <c r="F1066" s="41"/>
      <c r="G1066" s="64"/>
      <c r="H1066" s="64"/>
      <c r="I1066" s="64"/>
      <c r="J1066" s="64"/>
      <c r="K1066" s="64"/>
      <c r="L1066" s="64"/>
      <c r="M1066" s="65"/>
      <c r="N1066" s="64"/>
      <c r="O1066" s="64"/>
      <c r="P1066" s="64"/>
      <c r="Q1066" s="57">
        <f>c_clinic_fu+c_CSG</f>
        <v>14403</v>
      </c>
      <c r="R1066" s="57"/>
      <c r="S1066" s="130"/>
      <c r="T1066" s="105"/>
      <c r="U1066" s="133"/>
      <c r="V1066" s="133"/>
      <c r="W1066" s="133"/>
      <c r="X1066" s="133"/>
      <c r="Y1066" s="133"/>
      <c r="Z1066" s="134">
        <f t="shared" si="114"/>
        <v>0</v>
      </c>
      <c r="AA1066" s="6">
        <f t="shared" si="113"/>
        <v>0</v>
      </c>
    </row>
    <row r="1067" spans="1:27" x14ac:dyDescent="0.3">
      <c r="A1067" s="41"/>
      <c r="B1067" s="41"/>
      <c r="C1067" s="41"/>
      <c r="D1067" s="41"/>
      <c r="E1067" s="41"/>
      <c r="F1067" s="41"/>
      <c r="G1067" s="64"/>
      <c r="H1067" s="64"/>
      <c r="I1067" s="64"/>
      <c r="J1067" s="64"/>
      <c r="K1067" s="64"/>
      <c r="L1067" s="64"/>
      <c r="M1067" s="65"/>
      <c r="N1067" s="64"/>
      <c r="O1067" s="64"/>
      <c r="P1067" s="64"/>
      <c r="Q1067" s="65"/>
      <c r="R1067" s="65"/>
      <c r="S1067" s="129"/>
      <c r="T1067" s="105"/>
      <c r="U1067" s="133"/>
      <c r="V1067" s="133"/>
      <c r="W1067" s="133"/>
      <c r="X1067" s="133"/>
      <c r="Y1067" s="133"/>
      <c r="Z1067" s="134">
        <f t="shared" si="114"/>
        <v>0</v>
      </c>
      <c r="AA1067" s="6">
        <f t="shared" si="113"/>
        <v>0</v>
      </c>
    </row>
    <row r="1068" spans="1:27" x14ac:dyDescent="0.3">
      <c r="A1068" s="41"/>
      <c r="B1068" s="41"/>
      <c r="C1068" s="41"/>
      <c r="D1068" s="41"/>
      <c r="E1068" s="41"/>
      <c r="F1068" s="41"/>
      <c r="G1068" s="64"/>
      <c r="H1068" s="64"/>
      <c r="I1068" s="64"/>
      <c r="J1068" s="64"/>
      <c r="K1068" s="64"/>
      <c r="L1068" s="64"/>
      <c r="M1068" s="65"/>
      <c r="N1068" s="64"/>
      <c r="O1068" s="64"/>
      <c r="P1068" s="64"/>
      <c r="Q1068" s="54" t="s">
        <v>368</v>
      </c>
      <c r="R1068" s="54"/>
      <c r="S1068" s="129"/>
      <c r="T1068" s="105"/>
      <c r="U1068" s="133">
        <f>$K$1045*$I$1034*$G$1055*$E$984*$C$1053*$A$1008*$M$1060*$O$1072*Q1069</f>
        <v>0</v>
      </c>
      <c r="V1068" s="133">
        <v>0</v>
      </c>
      <c r="W1068" s="134">
        <f>$K$1046+$I$1035+$G$1056+$E$985+$C$1054+$A$1009+$M$1061+$O$1073+Q1070</f>
        <v>60412.553010508105</v>
      </c>
      <c r="X1068" s="133">
        <f>u_ChronicResp</f>
        <v>0.53465956747782661</v>
      </c>
      <c r="Y1068" s="133"/>
      <c r="Z1068" s="134">
        <f t="shared" si="114"/>
        <v>0</v>
      </c>
      <c r="AA1068" s="6">
        <f t="shared" si="113"/>
        <v>0</v>
      </c>
    </row>
    <row r="1069" spans="1:27" x14ac:dyDescent="0.3">
      <c r="A1069" s="41"/>
      <c r="B1069" s="41"/>
      <c r="C1069" s="41"/>
      <c r="D1069" s="41"/>
      <c r="E1069" s="41"/>
      <c r="F1069" s="41"/>
      <c r="G1069" s="64"/>
      <c r="H1069" s="64"/>
      <c r="I1069" s="64"/>
      <c r="J1069" s="64"/>
      <c r="K1069" s="64"/>
      <c r="L1069" s="64"/>
      <c r="M1069" s="65"/>
      <c r="N1069" s="64"/>
      <c r="O1069" s="64"/>
      <c r="P1069" s="64"/>
      <c r="Q1069" s="56">
        <f>noRDS2CLD_3-(noRDS2CLD_3*noHypo2CI_3)</f>
        <v>0</v>
      </c>
      <c r="R1069" s="56"/>
      <c r="S1069" s="129"/>
      <c r="T1069" s="105"/>
      <c r="U1069" s="133"/>
      <c r="V1069" s="133"/>
      <c r="W1069" s="133"/>
      <c r="X1069" s="133"/>
      <c r="Y1069" s="133"/>
      <c r="Z1069" s="134">
        <f t="shared" si="114"/>
        <v>0</v>
      </c>
      <c r="AA1069" s="6">
        <f t="shared" si="113"/>
        <v>0</v>
      </c>
    </row>
    <row r="1070" spans="1:27" x14ac:dyDescent="0.3">
      <c r="A1070" s="41"/>
      <c r="B1070" s="41"/>
      <c r="C1070" s="41"/>
      <c r="D1070" s="41"/>
      <c r="E1070" s="41"/>
      <c r="F1070" s="41"/>
      <c r="G1070" s="64"/>
      <c r="H1070" s="64"/>
      <c r="I1070" s="64"/>
      <c r="J1070" s="64"/>
      <c r="K1070" s="64"/>
      <c r="L1070" s="64"/>
      <c r="M1070" s="65"/>
      <c r="N1070" s="64"/>
      <c r="O1070" s="64"/>
      <c r="P1070" s="64"/>
      <c r="Q1070" s="57">
        <f>c_lung+c_hypo+c_CSG</f>
        <v>56558.771302399997</v>
      </c>
      <c r="R1070" s="57"/>
      <c r="S1070" s="129"/>
      <c r="T1070" s="105"/>
      <c r="U1070" s="133"/>
      <c r="V1070" s="133"/>
      <c r="W1070" s="133"/>
      <c r="X1070" s="133"/>
      <c r="Y1070" s="133"/>
      <c r="Z1070" s="134">
        <f t="shared" si="114"/>
        <v>0</v>
      </c>
      <c r="AA1070" s="6">
        <f t="shared" si="113"/>
        <v>0</v>
      </c>
    </row>
    <row r="1071" spans="1:27" x14ac:dyDescent="0.3">
      <c r="A1071" s="41"/>
      <c r="B1071" s="41"/>
      <c r="C1071" s="41"/>
      <c r="D1071" s="41"/>
      <c r="E1071" s="41"/>
      <c r="F1071" s="41"/>
      <c r="G1071" s="64"/>
      <c r="H1071" s="64"/>
      <c r="I1071" s="64"/>
      <c r="J1071" s="64"/>
      <c r="K1071" s="64"/>
      <c r="L1071" s="64"/>
      <c r="M1071" s="65"/>
      <c r="N1071" s="64"/>
      <c r="O1071" s="54" t="s">
        <v>371</v>
      </c>
      <c r="P1071" s="64"/>
      <c r="Q1071" s="54" t="s">
        <v>226</v>
      </c>
      <c r="R1071" s="54"/>
      <c r="S1071" s="129"/>
      <c r="T1071" s="105"/>
      <c r="U1071" s="133">
        <f>$K$1045*$I$1034*$G$1055*$E$984*$C$1053*$A$1008*$M$1060*$O$1072*Q1072</f>
        <v>0</v>
      </c>
      <c r="V1071" s="133">
        <v>0</v>
      </c>
      <c r="W1071" s="134">
        <f>$K$1046+$I$1035+$G$1056+$E$985+$C$1054+$A$1009+$M$1061+$O$1073+Q1073</f>
        <v>19619.781708108108</v>
      </c>
      <c r="X1071" s="133">
        <f>u_CongnitiveImpairement</f>
        <v>17.270393127285455</v>
      </c>
      <c r="Y1071" s="133"/>
      <c r="Z1071" s="134">
        <f t="shared" si="114"/>
        <v>0</v>
      </c>
      <c r="AA1071" s="6">
        <f t="shared" si="113"/>
        <v>0</v>
      </c>
    </row>
    <row r="1072" spans="1:27" x14ac:dyDescent="0.3">
      <c r="A1072" s="41"/>
      <c r="B1072" s="41"/>
      <c r="C1072" s="41"/>
      <c r="D1072" s="41"/>
      <c r="E1072" s="41"/>
      <c r="F1072" s="41"/>
      <c r="G1072" s="64"/>
      <c r="H1072" s="64"/>
      <c r="I1072" s="64"/>
      <c r="J1072" s="64"/>
      <c r="K1072" s="64"/>
      <c r="L1072" s="64"/>
      <c r="M1072" s="65"/>
      <c r="N1072" s="64"/>
      <c r="O1072" s="56">
        <f>SGA_prem_2normoglycaemia_3</f>
        <v>0.78449999999999998</v>
      </c>
      <c r="P1072" s="64"/>
      <c r="Q1072" s="56">
        <f>noHypo2CI_3</f>
        <v>3.3085576536761752E-2</v>
      </c>
      <c r="R1072" s="56"/>
      <c r="S1072" s="129"/>
      <c r="T1072" s="105"/>
      <c r="U1072" s="133"/>
      <c r="V1072" s="133"/>
      <c r="W1072" s="133"/>
      <c r="X1072" s="133"/>
      <c r="Y1072" s="133"/>
      <c r="Z1072" s="134">
        <f t="shared" si="114"/>
        <v>0</v>
      </c>
      <c r="AA1072" s="6">
        <f t="shared" si="113"/>
        <v>0</v>
      </c>
    </row>
    <row r="1073" spans="1:27" x14ac:dyDescent="0.3">
      <c r="A1073" s="41"/>
      <c r="B1073" s="41"/>
      <c r="C1073" s="41"/>
      <c r="D1073" s="41"/>
      <c r="E1073" s="41"/>
      <c r="F1073" s="41"/>
      <c r="G1073" s="64"/>
      <c r="H1073" s="64"/>
      <c r="I1073" s="64"/>
      <c r="J1073" s="64"/>
      <c r="K1073" s="64"/>
      <c r="L1073" s="64"/>
      <c r="M1073" s="65"/>
      <c r="N1073" s="64"/>
      <c r="O1073" s="57"/>
      <c r="P1073" s="64"/>
      <c r="Q1073" s="57">
        <f>c_cog+c_hosp_fu+c_CSG</f>
        <v>15766</v>
      </c>
      <c r="R1073" s="57"/>
      <c r="S1073" s="129"/>
      <c r="T1073" s="105"/>
      <c r="U1073" s="133"/>
      <c r="V1073" s="133"/>
      <c r="W1073" s="133"/>
      <c r="X1073" s="133"/>
      <c r="Y1073" s="133"/>
      <c r="Z1073" s="134">
        <f t="shared" si="114"/>
        <v>0</v>
      </c>
      <c r="AA1073" s="6">
        <f t="shared" si="113"/>
        <v>0</v>
      </c>
    </row>
    <row r="1074" spans="1:27" x14ac:dyDescent="0.3">
      <c r="A1074" s="41"/>
      <c r="B1074" s="41"/>
      <c r="C1074" s="41"/>
      <c r="D1074" s="41"/>
      <c r="E1074" s="41"/>
      <c r="F1074" s="41"/>
      <c r="G1074" s="64"/>
      <c r="H1074" s="64"/>
      <c r="I1074" s="64"/>
      <c r="J1074" s="64"/>
      <c r="K1074" s="64"/>
      <c r="L1074" s="64"/>
      <c r="M1074" s="65"/>
      <c r="N1074" s="64"/>
      <c r="O1074" s="64"/>
      <c r="P1074" s="64"/>
      <c r="Q1074" s="54" t="s">
        <v>369</v>
      </c>
      <c r="R1074" s="54"/>
      <c r="S1074" s="129"/>
      <c r="T1074" s="105"/>
      <c r="U1074" s="133">
        <f>$K$1045*$I$1034*$G$1055*$E$984*$C$1053*$A$1008*$M$1060*$O$1072*Q1075</f>
        <v>0</v>
      </c>
      <c r="V1074" s="133">
        <v>0</v>
      </c>
      <c r="W1074" s="134">
        <f>$K$1046+$I$1035+$G$1056+$E$985+$C$1054+$A$1009+$M$1061+$O$1073+Q1076</f>
        <v>62202.292610508106</v>
      </c>
      <c r="X1074" s="133">
        <f>u_ChronicResp+u_CongnitiveImpairement</f>
        <v>17.805052694763283</v>
      </c>
      <c r="Y1074" s="133"/>
      <c r="Z1074" s="134">
        <f t="shared" si="114"/>
        <v>0</v>
      </c>
      <c r="AA1074" s="6">
        <f t="shared" si="113"/>
        <v>0</v>
      </c>
    </row>
    <row r="1075" spans="1:27" x14ac:dyDescent="0.3">
      <c r="A1075" s="41"/>
      <c r="B1075" s="41"/>
      <c r="C1075" s="41"/>
      <c r="D1075" s="41"/>
      <c r="E1075" s="41"/>
      <c r="F1075" s="41"/>
      <c r="G1075" s="64"/>
      <c r="H1075" s="64"/>
      <c r="I1075" s="64"/>
      <c r="J1075" s="64"/>
      <c r="K1075" s="64"/>
      <c r="L1075" s="64"/>
      <c r="M1075" s="65"/>
      <c r="N1075" s="64"/>
      <c r="O1075" s="64"/>
      <c r="P1075" s="64"/>
      <c r="Q1075" s="56">
        <f>noRDS2CLD_3*noHypo2CI_3</f>
        <v>0</v>
      </c>
      <c r="R1075" s="56"/>
      <c r="S1075" s="129"/>
      <c r="T1075" s="105"/>
      <c r="U1075" s="133"/>
      <c r="V1075" s="133"/>
      <c r="W1075" s="133"/>
      <c r="X1075" s="133"/>
      <c r="Y1075" s="133"/>
      <c r="Z1075" s="134">
        <f t="shared" si="114"/>
        <v>0</v>
      </c>
      <c r="AA1075" s="6">
        <f t="shared" si="113"/>
        <v>0</v>
      </c>
    </row>
    <row r="1076" spans="1:27" x14ac:dyDescent="0.3">
      <c r="A1076" s="41"/>
      <c r="B1076" s="41"/>
      <c r="C1076" s="41"/>
      <c r="D1076" s="41"/>
      <c r="E1076" s="41"/>
      <c r="F1076" s="41"/>
      <c r="G1076" s="64"/>
      <c r="H1076" s="64"/>
      <c r="I1076" s="64"/>
      <c r="J1076" s="64"/>
      <c r="K1076" s="64"/>
      <c r="L1076" s="64"/>
      <c r="M1076" s="65"/>
      <c r="N1076" s="64"/>
      <c r="O1076" s="64"/>
      <c r="P1076" s="64"/>
      <c r="Q1076" s="57">
        <f>c_cog+c_lung+c_hosp_fu+c_CSG</f>
        <v>58348.510902399998</v>
      </c>
      <c r="R1076" s="57"/>
      <c r="S1076" s="129"/>
      <c r="T1076" s="105"/>
      <c r="U1076" s="133"/>
      <c r="V1076" s="133"/>
      <c r="W1076" s="133"/>
      <c r="X1076" s="133"/>
      <c r="Y1076" s="133"/>
      <c r="Z1076" s="134">
        <f t="shared" si="114"/>
        <v>0</v>
      </c>
      <c r="AA1076" s="6">
        <f t="shared" si="113"/>
        <v>0</v>
      </c>
    </row>
    <row r="1077" spans="1:27" x14ac:dyDescent="0.3">
      <c r="A1077" s="41"/>
      <c r="B1077" s="41"/>
      <c r="C1077" s="41"/>
      <c r="D1077" s="41"/>
      <c r="E1077" s="41"/>
      <c r="F1077" s="41"/>
      <c r="G1077" s="64"/>
      <c r="H1077" s="64"/>
      <c r="I1077" s="64"/>
      <c r="J1077" s="64"/>
      <c r="K1077" s="64"/>
      <c r="L1077" s="64"/>
      <c r="M1077" s="65"/>
      <c r="N1077" s="64"/>
      <c r="O1077" s="64"/>
      <c r="P1077" s="64"/>
      <c r="Q1077" s="54" t="s">
        <v>370</v>
      </c>
      <c r="R1077" s="54"/>
      <c r="T1077" s="105"/>
      <c r="U1077" s="133">
        <f>$K$1045*$I$1034*$G$1055*$E$984*$C$1053*$A$1008*$M$1060*$O$1072*Q1078</f>
        <v>0</v>
      </c>
      <c r="V1077" s="133">
        <v>0</v>
      </c>
      <c r="W1077" s="134">
        <f>$K$1046+$I$1035+$G$1056+$E$985+$C$1054+$A$1009+$M$1061+$O$1073+Q1079</f>
        <v>18256.781708108108</v>
      </c>
      <c r="X1077" s="133">
        <f>u_Healthy</f>
        <v>0</v>
      </c>
      <c r="Y1077" s="133"/>
      <c r="Z1077" s="134">
        <f t="shared" si="114"/>
        <v>0</v>
      </c>
      <c r="AA1077" s="6">
        <f t="shared" si="113"/>
        <v>0</v>
      </c>
    </row>
    <row r="1078" spans="1:27" x14ac:dyDescent="0.3">
      <c r="A1078" s="41"/>
      <c r="B1078" s="41"/>
      <c r="C1078" s="41"/>
      <c r="D1078" s="41"/>
      <c r="E1078" s="41"/>
      <c r="F1078" s="41"/>
      <c r="G1078" s="64"/>
      <c r="H1078" s="64"/>
      <c r="I1078" s="64"/>
      <c r="J1078" s="64"/>
      <c r="K1078" s="64"/>
      <c r="L1078" s="64"/>
      <c r="M1078" s="65"/>
      <c r="N1078" s="64"/>
      <c r="O1078" s="64"/>
      <c r="P1078" s="64"/>
      <c r="Q1078" s="56">
        <f>1-Q1075-Q1072-Q1069</f>
        <v>0.9669144234632383</v>
      </c>
      <c r="R1078" s="56"/>
      <c r="S1078" s="129"/>
      <c r="T1078" s="105"/>
      <c r="U1078" s="133"/>
      <c r="V1078" s="133"/>
      <c r="W1078" s="133"/>
      <c r="X1078" s="133"/>
      <c r="Y1078" s="133"/>
      <c r="Z1078" s="134">
        <f t="shared" si="114"/>
        <v>0</v>
      </c>
      <c r="AA1078" s="6">
        <f t="shared" si="113"/>
        <v>0</v>
      </c>
    </row>
    <row r="1079" spans="1:27" x14ac:dyDescent="0.3">
      <c r="A1079" s="41"/>
      <c r="B1079" s="41"/>
      <c r="C1079" s="41"/>
      <c r="D1079" s="41"/>
      <c r="E1079" s="41"/>
      <c r="F1079" s="41"/>
      <c r="G1079" s="64"/>
      <c r="H1079" s="64"/>
      <c r="I1079" s="64"/>
      <c r="J1079" s="64"/>
      <c r="K1079" s="64"/>
      <c r="L1079" s="64"/>
      <c r="M1079" s="65"/>
      <c r="N1079" s="64"/>
      <c r="O1079" s="64"/>
      <c r="P1079" s="64"/>
      <c r="Q1079" s="57">
        <f>c_clinic_fu+c_CSG</f>
        <v>14403</v>
      </c>
      <c r="R1079" s="57"/>
      <c r="S1079" s="129"/>
      <c r="T1079" s="105"/>
      <c r="U1079" s="133"/>
      <c r="V1079" s="133"/>
      <c r="W1079" s="133"/>
      <c r="X1079" s="133"/>
      <c r="Y1079" s="133"/>
      <c r="Z1079" s="134">
        <f t="shared" si="114"/>
        <v>0</v>
      </c>
      <c r="AA1079" s="6">
        <f t="shared" si="113"/>
        <v>0</v>
      </c>
    </row>
    <row r="1080" spans="1:27" x14ac:dyDescent="0.3">
      <c r="A1080" s="41"/>
      <c r="B1080" s="41"/>
      <c r="C1080" s="41"/>
      <c r="D1080" s="41"/>
      <c r="E1080" s="41"/>
      <c r="F1080" s="41"/>
      <c r="G1080" s="64"/>
      <c r="H1080" s="64"/>
      <c r="I1080" s="64"/>
      <c r="J1080" s="64"/>
      <c r="K1080" s="64"/>
      <c r="L1080" s="64"/>
      <c r="M1080" s="65"/>
      <c r="N1080" s="64"/>
      <c r="O1080" s="64"/>
      <c r="P1080" s="64"/>
      <c r="Q1080" s="65"/>
      <c r="R1080" s="65"/>
      <c r="T1080" s="105"/>
      <c r="U1080" s="133"/>
      <c r="V1080" s="133"/>
      <c r="W1080" s="133"/>
      <c r="X1080" s="133"/>
      <c r="Y1080" s="133"/>
      <c r="Z1080" s="134">
        <f t="shared" si="114"/>
        <v>0</v>
      </c>
      <c r="AA1080" s="6">
        <f t="shared" si="113"/>
        <v>0</v>
      </c>
    </row>
    <row r="1081" spans="1:27" x14ac:dyDescent="0.3">
      <c r="A1081" s="41"/>
      <c r="B1081" s="41"/>
      <c r="C1081" s="41"/>
      <c r="D1081" s="41"/>
      <c r="E1081" s="41"/>
      <c r="F1081" s="41"/>
      <c r="G1081" s="64"/>
      <c r="H1081" s="64"/>
      <c r="I1081" s="64"/>
      <c r="J1081" s="64"/>
      <c r="K1081" s="54" t="s">
        <v>165</v>
      </c>
      <c r="L1081" s="54"/>
      <c r="M1081" s="54"/>
      <c r="N1081" s="54"/>
      <c r="O1081" s="54"/>
      <c r="P1081" s="54"/>
      <c r="Q1081" s="54"/>
      <c r="R1081" s="54"/>
      <c r="S1081" s="129"/>
      <c r="T1081" s="105"/>
      <c r="U1081" s="133">
        <f>$K$1082*$I$1090*$G$1055*$E$984*$C$1053*$A$1008</f>
        <v>1.601529420806818E-3</v>
      </c>
      <c r="V1081" s="133">
        <v>1.601529420806818E-3</v>
      </c>
      <c r="W1081" s="134">
        <f>$K$1083+$I$1091+$G$1056+$E$985+$C$1054+$A$1009</f>
        <v>5645.7817081081084</v>
      </c>
      <c r="X1081" s="133">
        <f>u_Death</f>
        <v>19.181538114427529</v>
      </c>
      <c r="Y1081" s="133"/>
      <c r="Z1081" s="134">
        <f t="shared" si="114"/>
        <v>9.0418855089881056</v>
      </c>
      <c r="AA1081" s="6">
        <f t="shared" si="113"/>
        <v>3.0719797626583022E-2</v>
      </c>
    </row>
    <row r="1082" spans="1:27" x14ac:dyDescent="0.3">
      <c r="A1082" s="41"/>
      <c r="B1082" s="41"/>
      <c r="C1082" s="41"/>
      <c r="D1082" s="41"/>
      <c r="E1082" s="41"/>
      <c r="F1082" s="41"/>
      <c r="G1082" s="64"/>
      <c r="H1082" s="64"/>
      <c r="I1082" s="64"/>
      <c r="J1082" s="64"/>
      <c r="K1082" s="56">
        <f>AGA_prem_2d_3</f>
        <v>3.5174999999999998E-2</v>
      </c>
      <c r="L1082" s="64"/>
      <c r="M1082" s="64"/>
      <c r="N1082" s="64"/>
      <c r="O1082" s="64"/>
      <c r="P1082" s="64"/>
      <c r="Q1082" s="64"/>
      <c r="R1082" s="64"/>
      <c r="S1082" s="129"/>
      <c r="T1082" s="105"/>
      <c r="U1082" s="133"/>
      <c r="V1082" s="133"/>
      <c r="W1082" s="133"/>
      <c r="X1082" s="133"/>
      <c r="Y1082" s="133"/>
      <c r="Z1082" s="134">
        <f t="shared" si="114"/>
        <v>0</v>
      </c>
      <c r="AA1082" s="6">
        <f t="shared" si="113"/>
        <v>0</v>
      </c>
    </row>
    <row r="1083" spans="1:27" x14ac:dyDescent="0.3">
      <c r="A1083" s="41"/>
      <c r="B1083" s="41"/>
      <c r="C1083" s="41"/>
      <c r="D1083" s="41"/>
      <c r="E1083" s="41"/>
      <c r="F1083" s="41"/>
      <c r="G1083" s="64"/>
      <c r="H1083" s="64"/>
      <c r="I1083" s="64"/>
      <c r="J1083" s="64"/>
      <c r="K1083" s="57">
        <f>c_SB</f>
        <v>1792</v>
      </c>
      <c r="L1083" s="64"/>
      <c r="M1083" s="64"/>
      <c r="N1083" s="64"/>
      <c r="O1083" s="64"/>
      <c r="P1083" s="64"/>
      <c r="Q1083" s="64"/>
      <c r="R1083" s="64"/>
      <c r="S1083" s="129"/>
      <c r="T1083" s="105"/>
      <c r="U1083" s="133"/>
      <c r="V1083" s="133"/>
      <c r="W1083" s="133"/>
      <c r="X1083" s="133"/>
      <c r="Y1083" s="133"/>
      <c r="Z1083" s="134">
        <f t="shared" si="114"/>
        <v>0</v>
      </c>
      <c r="AA1083" s="6">
        <f t="shared" si="113"/>
        <v>0</v>
      </c>
    </row>
    <row r="1084" spans="1:27" x14ac:dyDescent="0.3">
      <c r="A1084" s="41"/>
      <c r="B1084" s="41"/>
      <c r="C1084" s="41"/>
      <c r="D1084" s="41"/>
      <c r="E1084" s="41"/>
      <c r="F1084" s="41"/>
      <c r="G1084" s="64"/>
      <c r="H1084" s="64"/>
      <c r="I1084" s="64"/>
      <c r="J1084" s="64"/>
      <c r="K1084" s="53"/>
      <c r="L1084" s="53"/>
      <c r="M1084" s="53"/>
      <c r="N1084" s="53"/>
      <c r="O1084" s="53"/>
      <c r="P1084" s="53"/>
      <c r="Q1084" s="53"/>
      <c r="R1084" s="53"/>
      <c r="S1084" s="129"/>
      <c r="T1084" s="105"/>
      <c r="U1084" s="133"/>
      <c r="V1084" s="133"/>
      <c r="W1084" s="133"/>
      <c r="X1084" s="133"/>
      <c r="Y1084" s="133"/>
      <c r="Z1084" s="134">
        <f t="shared" si="114"/>
        <v>0</v>
      </c>
      <c r="AA1084" s="6">
        <f t="shared" si="113"/>
        <v>0</v>
      </c>
    </row>
    <row r="1085" spans="1:27" x14ac:dyDescent="0.3">
      <c r="A1085" s="41"/>
      <c r="B1085" s="41"/>
      <c r="C1085" s="41"/>
      <c r="D1085" s="41"/>
      <c r="E1085" s="41"/>
      <c r="F1085" s="41"/>
      <c r="G1085" s="64"/>
      <c r="H1085" s="64"/>
      <c r="I1085" s="64"/>
      <c r="J1085" s="64"/>
      <c r="K1085" s="53"/>
      <c r="L1085" s="53"/>
      <c r="M1085" s="53"/>
      <c r="N1085" s="53"/>
      <c r="O1085" s="53"/>
      <c r="P1085" s="53"/>
      <c r="Q1085" s="54" t="s">
        <v>368</v>
      </c>
      <c r="R1085" s="54"/>
      <c r="S1085" s="129"/>
      <c r="T1085" s="105"/>
      <c r="U1085" s="133">
        <f>$K$1101*$I$1090*$G$1055*$E$984*$C$1053*$A$1008*$M$1096*$O$1091*Q1086</f>
        <v>1.015486090417266E-3</v>
      </c>
      <c r="V1085" s="133">
        <v>1.015486090417266E-3</v>
      </c>
      <c r="W1085" s="134">
        <f>$K$1102+$I$1091+$G$1056+$E$985+$C$1054+$A$1009+$M$1097+$O$1092+Q1087</f>
        <v>91915.163158713738</v>
      </c>
      <c r="X1085" s="133">
        <f>u_ChronicResp</f>
        <v>0.53465956747782661</v>
      </c>
      <c r="Y1085" s="133"/>
      <c r="Z1085" s="134">
        <f t="shared" si="114"/>
        <v>93.338569686107334</v>
      </c>
      <c r="AA1085" s="6">
        <f t="shared" si="113"/>
        <v>5.4293935388224457E-4</v>
      </c>
    </row>
    <row r="1086" spans="1:27" x14ac:dyDescent="0.3">
      <c r="A1086" s="41"/>
      <c r="B1086" s="41"/>
      <c r="C1086" s="41"/>
      <c r="D1086" s="41"/>
      <c r="E1086" s="41"/>
      <c r="F1086" s="41"/>
      <c r="G1086" s="64"/>
      <c r="H1086" s="64"/>
      <c r="I1086" s="64"/>
      <c r="J1086" s="64"/>
      <c r="K1086" s="53"/>
      <c r="L1086" s="53"/>
      <c r="M1086" s="53"/>
      <c r="N1086" s="53"/>
      <c r="O1086" s="64"/>
      <c r="P1086" s="64"/>
      <c r="Q1086" s="56">
        <f>RDS2CLD_3-(Hypo2CI_3*RDS2CLD_3)</f>
        <v>0.34246866666666664</v>
      </c>
      <c r="R1086" s="56"/>
      <c r="S1086" s="129"/>
      <c r="T1086" s="105"/>
      <c r="U1086" s="133"/>
      <c r="V1086" s="133"/>
      <c r="W1086" s="133"/>
      <c r="X1086" s="133"/>
      <c r="Y1086" s="133"/>
      <c r="Z1086" s="134">
        <f t="shared" si="114"/>
        <v>0</v>
      </c>
      <c r="AA1086" s="6">
        <f t="shared" si="113"/>
        <v>0</v>
      </c>
    </row>
    <row r="1087" spans="1:27" x14ac:dyDescent="0.3">
      <c r="A1087" s="41"/>
      <c r="B1087" s="41"/>
      <c r="C1087" s="41"/>
      <c r="D1087" s="41"/>
      <c r="E1087" s="41"/>
      <c r="F1087" s="41"/>
      <c r="G1087" s="64"/>
      <c r="H1087" s="64"/>
      <c r="I1087" s="64"/>
      <c r="J1087" s="64"/>
      <c r="K1087" s="53"/>
      <c r="L1087" s="53"/>
      <c r="M1087" s="53"/>
      <c r="N1087" s="53"/>
      <c r="O1087" s="64"/>
      <c r="P1087" s="64"/>
      <c r="Q1087" s="57">
        <f>c_lung+c_hosp_fu+c_CSG</f>
        <v>54529.510902399998</v>
      </c>
      <c r="R1087" s="57"/>
      <c r="S1087" s="129"/>
      <c r="T1087" s="105"/>
      <c r="U1087" s="133"/>
      <c r="V1087" s="133"/>
      <c r="W1087" s="133"/>
      <c r="X1087" s="133"/>
      <c r="Y1087" s="133"/>
      <c r="Z1087" s="134">
        <f t="shared" si="114"/>
        <v>0</v>
      </c>
      <c r="AA1087" s="6">
        <f t="shared" si="113"/>
        <v>0</v>
      </c>
    </row>
    <row r="1088" spans="1:27" x14ac:dyDescent="0.3">
      <c r="A1088" s="41"/>
      <c r="B1088" s="41"/>
      <c r="C1088" s="41"/>
      <c r="D1088" s="41"/>
      <c r="E1088" s="41"/>
      <c r="F1088" s="41"/>
      <c r="G1088" s="64"/>
      <c r="H1088" s="64"/>
      <c r="I1088" s="64"/>
      <c r="J1088" s="64"/>
      <c r="K1088" s="53"/>
      <c r="L1088" s="53"/>
      <c r="M1088" s="53"/>
      <c r="N1088" s="53"/>
      <c r="O1088" s="64"/>
      <c r="P1088" s="64"/>
      <c r="Q1088" s="54" t="s">
        <v>226</v>
      </c>
      <c r="R1088" s="54"/>
      <c r="S1088" s="129"/>
      <c r="T1088" s="105"/>
      <c r="U1088" s="133">
        <f>$K$1101*$I$1090*$G$1055*$E$984*$C$1053*$A$1008*$M$1096*$O$1091*Q1089</f>
        <v>9.7264298839603314E-5</v>
      </c>
      <c r="V1088" s="133">
        <v>9.7264298839603314E-5</v>
      </c>
      <c r="W1088" s="134">
        <f>$K$1102+$I$1091+$G$1056+$E$985+$C$1054+$A$1009+$M$1097+$O$1092+Q1090</f>
        <v>53151.652256313741</v>
      </c>
      <c r="X1088" s="133">
        <f>u_CongnitiveImpairement</f>
        <v>17.270393127285455</v>
      </c>
      <c r="Y1088" s="133"/>
      <c r="Z1088" s="134">
        <f t="shared" si="114"/>
        <v>5.1697581888767754</v>
      </c>
      <c r="AA1088" s="6">
        <f t="shared" si="113"/>
        <v>1.6797926782097237E-3</v>
      </c>
    </row>
    <row r="1089" spans="1:27" x14ac:dyDescent="0.3">
      <c r="A1089" s="41"/>
      <c r="B1089" s="41"/>
      <c r="C1089" s="41"/>
      <c r="D1089" s="41"/>
      <c r="E1089" s="41"/>
      <c r="F1089" s="41"/>
      <c r="G1089" s="64"/>
      <c r="H1089" s="64"/>
      <c r="I1089" s="54" t="s">
        <v>425</v>
      </c>
      <c r="J1089" s="64"/>
      <c r="K1089" s="64"/>
      <c r="L1089" s="64"/>
      <c r="M1089" s="64"/>
      <c r="N1089" s="64"/>
      <c r="O1089" s="64"/>
      <c r="P1089" s="64"/>
      <c r="Q1089" s="56">
        <f>Hypo2CI_3-(Hypo2CI_3*RDS2CLD_3)</f>
        <v>3.2801999999999998E-2</v>
      </c>
      <c r="R1089" s="56"/>
      <c r="S1089" s="129"/>
      <c r="T1089" s="105"/>
      <c r="U1089" s="133"/>
      <c r="V1089" s="133"/>
      <c r="W1089" s="133"/>
      <c r="X1089" s="133"/>
      <c r="Y1089" s="133"/>
      <c r="Z1089" s="134">
        <f t="shared" si="114"/>
        <v>0</v>
      </c>
      <c r="AA1089" s="6">
        <f t="shared" si="113"/>
        <v>0</v>
      </c>
    </row>
    <row r="1090" spans="1:27" x14ac:dyDescent="0.3">
      <c r="A1090" s="41"/>
      <c r="B1090" s="41"/>
      <c r="C1090" s="41"/>
      <c r="D1090" s="41"/>
      <c r="E1090" s="41"/>
      <c r="F1090" s="41"/>
      <c r="G1090" s="64"/>
      <c r="H1090" s="64"/>
      <c r="I1090" s="56">
        <f>NBW_prem_2AGA_3</f>
        <v>1</v>
      </c>
      <c r="J1090" s="64"/>
      <c r="K1090" s="64"/>
      <c r="L1090" s="64"/>
      <c r="M1090" s="64"/>
      <c r="N1090" s="64"/>
      <c r="O1090" s="54" t="s">
        <v>161</v>
      </c>
      <c r="P1090" s="64"/>
      <c r="Q1090" s="57">
        <f>c_cog+c_hosp_fu+c_CSG</f>
        <v>15766</v>
      </c>
      <c r="R1090" s="57"/>
      <c r="S1090" s="129"/>
      <c r="T1090" s="105"/>
      <c r="U1090" s="133"/>
      <c r="V1090" s="133"/>
      <c r="W1090" s="133"/>
      <c r="X1090" s="133"/>
      <c r="Y1090" s="133"/>
      <c r="Z1090" s="134">
        <f t="shared" si="114"/>
        <v>0</v>
      </c>
      <c r="AA1090" s="6">
        <f t="shared" si="113"/>
        <v>0</v>
      </c>
    </row>
    <row r="1091" spans="1:27" x14ac:dyDescent="0.3">
      <c r="A1091" s="41"/>
      <c r="B1091" s="41"/>
      <c r="C1091" s="41"/>
      <c r="D1091" s="41"/>
      <c r="E1091" s="41"/>
      <c r="F1091" s="41"/>
      <c r="G1091" s="64"/>
      <c r="H1091" s="64"/>
      <c r="I1091" s="57"/>
      <c r="J1091" s="64"/>
      <c r="K1091" s="64"/>
      <c r="L1091" s="64"/>
      <c r="M1091" s="64"/>
      <c r="N1091" s="64"/>
      <c r="O1091" s="56">
        <f>AGA_prem_2hypoglycaemia_3</f>
        <v>0.15</v>
      </c>
      <c r="P1091" s="64"/>
      <c r="Q1091" s="54" t="s">
        <v>369</v>
      </c>
      <c r="R1091" s="54"/>
      <c r="S1091" s="129"/>
      <c r="T1091" s="105"/>
      <c r="U1091" s="133">
        <f>$K$1101*$I$1090*$G$1055*$E$984*$C$1053*$A$1008*$M$1096*$O$1091*Q1092</f>
        <v>5.494900137886823E-5</v>
      </c>
      <c r="V1091" s="133">
        <v>5.494900137886823E-5</v>
      </c>
      <c r="W1091" s="134">
        <f>$K$1102+$I$1091+$G$1056+$E$985+$C$1054+$A$1009+$M$1097+$O$1092+Q1093</f>
        <v>95734.163158713738</v>
      </c>
      <c r="X1091" s="133">
        <f>u_ChronicResp+u_CongnitiveImpairement</f>
        <v>17.805052694763283</v>
      </c>
      <c r="Y1091" s="133"/>
      <c r="Z1091" s="134">
        <f t="shared" si="114"/>
        <v>5.2604966634129573</v>
      </c>
      <c r="AA1091" s="6">
        <f t="shared" si="113"/>
        <v>9.7836986507536918E-4</v>
      </c>
    </row>
    <row r="1092" spans="1:27" x14ac:dyDescent="0.3">
      <c r="A1092" s="41"/>
      <c r="B1092" s="41"/>
      <c r="C1092" s="41"/>
      <c r="D1092" s="41"/>
      <c r="E1092" s="41"/>
      <c r="F1092" s="41"/>
      <c r="G1092" s="64"/>
      <c r="H1092" s="64"/>
      <c r="I1092" s="64"/>
      <c r="J1092" s="64"/>
      <c r="K1092" s="64"/>
      <c r="L1092" s="64"/>
      <c r="M1092" s="64"/>
      <c r="N1092" s="64"/>
      <c r="O1092" s="57">
        <f>c_hypo</f>
        <v>2936.2604000000001</v>
      </c>
      <c r="P1092" s="64"/>
      <c r="Q1092" s="56">
        <f>Hypo2CI_3*RDS2CLD_3</f>
        <v>1.8531333333333334E-2</v>
      </c>
      <c r="R1092" s="56"/>
      <c r="S1092" s="129"/>
      <c r="T1092" s="105"/>
      <c r="U1092" s="133"/>
      <c r="V1092" s="133"/>
      <c r="W1092" s="133"/>
      <c r="X1092" s="133"/>
      <c r="Y1092" s="133"/>
      <c r="Z1092" s="134">
        <f t="shared" si="114"/>
        <v>0</v>
      </c>
      <c r="AA1092" s="6">
        <f t="shared" si="113"/>
        <v>0</v>
      </c>
    </row>
    <row r="1093" spans="1:27" x14ac:dyDescent="0.3">
      <c r="A1093" s="41"/>
      <c r="B1093" s="41"/>
      <c r="C1093" s="41"/>
      <c r="D1093" s="41"/>
      <c r="E1093" s="41"/>
      <c r="F1093" s="41"/>
      <c r="G1093" s="64"/>
      <c r="H1093" s="64"/>
      <c r="I1093" s="64"/>
      <c r="J1093" s="64"/>
      <c r="K1093" s="64"/>
      <c r="L1093" s="64"/>
      <c r="M1093" s="65"/>
      <c r="N1093" s="64"/>
      <c r="O1093" s="53"/>
      <c r="P1093" s="64"/>
      <c r="Q1093" s="57">
        <f>c_lung+c_cog+c_hosp_fu+c_CSG</f>
        <v>58348.510902399998</v>
      </c>
      <c r="R1093" s="57"/>
      <c r="S1093" s="129"/>
      <c r="T1093" s="105"/>
      <c r="U1093" s="133"/>
      <c r="V1093" s="133"/>
      <c r="W1093" s="133"/>
      <c r="X1093" s="133"/>
      <c r="Y1093" s="133"/>
      <c r="Z1093" s="134">
        <f t="shared" si="114"/>
        <v>0</v>
      </c>
      <c r="AA1093" s="6">
        <f t="shared" si="113"/>
        <v>0</v>
      </c>
    </row>
    <row r="1094" spans="1:27" x14ac:dyDescent="0.3">
      <c r="A1094" s="41"/>
      <c r="B1094" s="41"/>
      <c r="C1094" s="41"/>
      <c r="D1094" s="41"/>
      <c r="E1094" s="41"/>
      <c r="F1094" s="41"/>
      <c r="G1094" s="64"/>
      <c r="H1094" s="64"/>
      <c r="I1094" s="64"/>
      <c r="J1094" s="64"/>
      <c r="K1094" s="64"/>
      <c r="L1094" s="64"/>
      <c r="M1094" s="64"/>
      <c r="N1094" s="64"/>
      <c r="O1094" s="64"/>
      <c r="P1094" s="64"/>
      <c r="Q1094" s="54" t="s">
        <v>370</v>
      </c>
      <c r="R1094" s="54"/>
      <c r="S1094" s="129"/>
      <c r="T1094" s="105"/>
      <c r="U1094" s="133">
        <f>$K$1101*$I$1090*$G$1055*$E$984*$C$1053*$A$1008*$M$1096*$O$1091*Q1095</f>
        <v>1.7974947694643574E-3</v>
      </c>
      <c r="V1094" s="133">
        <v>1.7974947694643574E-3</v>
      </c>
      <c r="W1094" s="134">
        <f>$K$1102+$I$1091+$G$1056+$E$985+$C$1054+$A$1009+$M$1097+$O$1092+Q1096</f>
        <v>51788.652256313741</v>
      </c>
      <c r="X1094" s="133">
        <f>u_Healthy</f>
        <v>0</v>
      </c>
      <c r="Y1094" s="133"/>
      <c r="Z1094" s="134">
        <f t="shared" si="114"/>
        <v>93.089831548332441</v>
      </c>
      <c r="AA1094" s="6">
        <f t="shared" si="113"/>
        <v>0</v>
      </c>
    </row>
    <row r="1095" spans="1:27" x14ac:dyDescent="0.3">
      <c r="A1095" s="41"/>
      <c r="B1095" s="41"/>
      <c r="C1095" s="41"/>
      <c r="D1095" s="41"/>
      <c r="E1095" s="41"/>
      <c r="F1095" s="41"/>
      <c r="G1095" s="64"/>
      <c r="H1095" s="64"/>
      <c r="I1095" s="64"/>
      <c r="J1095" s="64"/>
      <c r="K1095" s="64"/>
      <c r="L1095" s="64"/>
      <c r="M1095" s="54" t="s">
        <v>9</v>
      </c>
      <c r="N1095" s="64"/>
      <c r="O1095" s="64"/>
      <c r="P1095" s="64"/>
      <c r="Q1095" s="56">
        <f>1-Q1086-Q1089-Q1092</f>
        <v>0.60619800000000001</v>
      </c>
      <c r="R1095" s="56"/>
      <c r="S1095" s="129"/>
      <c r="T1095" s="105"/>
      <c r="U1095" s="133"/>
      <c r="V1095" s="133"/>
      <c r="W1095" s="133"/>
      <c r="X1095" s="133"/>
      <c r="Y1095" s="133"/>
      <c r="Z1095" s="134">
        <f t="shared" si="114"/>
        <v>0</v>
      </c>
      <c r="AA1095" s="6">
        <f t="shared" si="113"/>
        <v>0</v>
      </c>
    </row>
    <row r="1096" spans="1:27" x14ac:dyDescent="0.3">
      <c r="A1096" s="41"/>
      <c r="B1096" s="41"/>
      <c r="C1096" s="41"/>
      <c r="D1096" s="41"/>
      <c r="E1096" s="41"/>
      <c r="F1096" s="41"/>
      <c r="G1096" s="64"/>
      <c r="H1096" s="64"/>
      <c r="I1096" s="64"/>
      <c r="J1096" s="64"/>
      <c r="K1096" s="65"/>
      <c r="L1096" s="64"/>
      <c r="M1096" s="56">
        <f>S_prem_2RDS_3</f>
        <v>0.45</v>
      </c>
      <c r="N1096" s="64"/>
      <c r="O1096" s="64"/>
      <c r="P1096" s="64"/>
      <c r="Q1096" s="57">
        <f>c_clinic_fu+c_CSG</f>
        <v>14403</v>
      </c>
      <c r="R1096" s="57"/>
      <c r="S1096" s="129"/>
      <c r="T1096" s="105"/>
      <c r="U1096" s="133"/>
      <c r="V1096" s="133"/>
      <c r="W1096" s="133"/>
      <c r="X1096" s="133"/>
      <c r="Y1096" s="133"/>
      <c r="Z1096" s="134">
        <f t="shared" si="114"/>
        <v>0</v>
      </c>
      <c r="AA1096" s="6">
        <f t="shared" si="113"/>
        <v>0</v>
      </c>
    </row>
    <row r="1097" spans="1:27" x14ac:dyDescent="0.3">
      <c r="A1097" s="41"/>
      <c r="B1097" s="41"/>
      <c r="C1097" s="41"/>
      <c r="D1097" s="41"/>
      <c r="E1097" s="41"/>
      <c r="F1097" s="41"/>
      <c r="G1097" s="64"/>
      <c r="H1097" s="64"/>
      <c r="I1097" s="64"/>
      <c r="J1097" s="64"/>
      <c r="K1097" s="65"/>
      <c r="L1097" s="64"/>
      <c r="M1097" s="57">
        <f>c_RDS</f>
        <v>30595.610148205637</v>
      </c>
      <c r="N1097" s="64"/>
      <c r="O1097" s="64"/>
      <c r="P1097" s="64"/>
      <c r="Q1097" s="65"/>
      <c r="R1097" s="65"/>
      <c r="S1097" s="129"/>
      <c r="T1097" s="105"/>
      <c r="U1097" s="133"/>
      <c r="V1097" s="133"/>
      <c r="W1097" s="133"/>
      <c r="X1097" s="133"/>
      <c r="Y1097" s="133"/>
      <c r="Z1097" s="134">
        <f t="shared" si="114"/>
        <v>0</v>
      </c>
      <c r="AA1097" s="6">
        <f t="shared" si="113"/>
        <v>0</v>
      </c>
    </row>
    <row r="1098" spans="1:27" x14ac:dyDescent="0.3">
      <c r="A1098" s="41"/>
      <c r="B1098" s="41"/>
      <c r="C1098" s="41"/>
      <c r="D1098" s="41"/>
      <c r="E1098" s="41"/>
      <c r="F1098" s="41"/>
      <c r="G1098" s="64"/>
      <c r="H1098" s="64"/>
      <c r="I1098" s="64"/>
      <c r="J1098" s="64"/>
      <c r="K1098" s="64"/>
      <c r="L1098" s="64"/>
      <c r="M1098" s="64"/>
      <c r="N1098" s="64"/>
      <c r="O1098" s="64"/>
      <c r="P1098" s="64"/>
      <c r="Q1098" s="54" t="s">
        <v>368</v>
      </c>
      <c r="R1098" s="54"/>
      <c r="S1098" s="129"/>
      <c r="T1098" s="105"/>
      <c r="U1098" s="133">
        <f>$K$1101*$I$1090*$G$1055*$E$984*$C$1053*$A$1008*$M$1096*$O$1101*Q1099</f>
        <v>5.8651084012869732E-3</v>
      </c>
      <c r="V1098" s="133">
        <v>5.8651084012869732E-3</v>
      </c>
      <c r="W1098" s="134">
        <f>$K$1102+$I$1091+$G$1056+$E$985+$C$1054+$A$1009+$M$1097+$O$1102+Q1100</f>
        <v>88978.902758713739</v>
      </c>
      <c r="X1098" s="133">
        <f>u_ChronicResp</f>
        <v>0.53465956747782661</v>
      </c>
      <c r="Y1098" s="133"/>
      <c r="Z1098" s="134">
        <f t="shared" si="114"/>
        <v>521.87091010742859</v>
      </c>
      <c r="AA1098" s="6">
        <f t="shared" si="113"/>
        <v>3.1358363210426603E-3</v>
      </c>
    </row>
    <row r="1099" spans="1:27" x14ac:dyDescent="0.3">
      <c r="A1099" s="41"/>
      <c r="B1099" s="41"/>
      <c r="C1099" s="41"/>
      <c r="D1099" s="41"/>
      <c r="E1099" s="41"/>
      <c r="F1099" s="41"/>
      <c r="G1099" s="64"/>
      <c r="H1099" s="64"/>
      <c r="I1099" s="64"/>
      <c r="J1099" s="64"/>
      <c r="K1099" s="64"/>
      <c r="L1099" s="64"/>
      <c r="M1099" s="64"/>
      <c r="N1099" s="64"/>
      <c r="O1099" s="64"/>
      <c r="P1099" s="64"/>
      <c r="Q1099" s="56">
        <f>RDS2CLD_3-(RDS2CLD_3*noHypo2CI_3)</f>
        <v>0.34905610687022898</v>
      </c>
      <c r="R1099" s="56"/>
      <c r="S1099" s="129"/>
      <c r="T1099" s="105"/>
      <c r="U1099" s="133"/>
      <c r="V1099" s="133"/>
      <c r="W1099" s="133"/>
      <c r="X1099" s="133"/>
      <c r="Y1099" s="133"/>
      <c r="Z1099" s="134">
        <f t="shared" si="114"/>
        <v>0</v>
      </c>
      <c r="AA1099" s="6">
        <f t="shared" si="113"/>
        <v>0</v>
      </c>
    </row>
    <row r="1100" spans="1:27" x14ac:dyDescent="0.3">
      <c r="A1100" s="41"/>
      <c r="B1100" s="41"/>
      <c r="C1100" s="41"/>
      <c r="D1100" s="41"/>
      <c r="E1100" s="41"/>
      <c r="F1100" s="41"/>
      <c r="G1100" s="64"/>
      <c r="H1100" s="64"/>
      <c r="I1100" s="64"/>
      <c r="J1100" s="64"/>
      <c r="K1100" s="54" t="s">
        <v>37</v>
      </c>
      <c r="L1100" s="64"/>
      <c r="M1100" s="65"/>
      <c r="N1100" s="64"/>
      <c r="O1100" s="54" t="s">
        <v>371</v>
      </c>
      <c r="P1100" s="64"/>
      <c r="Q1100" s="57">
        <f>c_lung+c_hosp_fu+c_CSG</f>
        <v>54529.510902399998</v>
      </c>
      <c r="R1100" s="57"/>
      <c r="S1100" s="129"/>
      <c r="T1100" s="105"/>
      <c r="U1100" s="133"/>
      <c r="V1100" s="133"/>
      <c r="W1100" s="133"/>
      <c r="X1100" s="133"/>
      <c r="Y1100" s="133"/>
      <c r="Z1100" s="134">
        <f t="shared" si="114"/>
        <v>0</v>
      </c>
      <c r="AA1100" s="6">
        <f t="shared" si="113"/>
        <v>0</v>
      </c>
    </row>
    <row r="1101" spans="1:27" x14ac:dyDescent="0.3">
      <c r="A1101" s="41"/>
      <c r="B1101" s="41"/>
      <c r="C1101" s="41"/>
      <c r="D1101" s="41"/>
      <c r="E1101" s="41"/>
      <c r="F1101" s="41"/>
      <c r="G1101" s="64"/>
      <c r="H1101" s="64"/>
      <c r="I1101" s="64"/>
      <c r="J1101" s="64"/>
      <c r="K1101" s="56">
        <f>AGA_prem_2s_3</f>
        <v>0.96482500000000004</v>
      </c>
      <c r="L1101" s="64"/>
      <c r="M1101" s="64"/>
      <c r="N1101" s="64"/>
      <c r="O1101" s="56">
        <f>AGA_prem_2normoglycaemia_3</f>
        <v>0.85</v>
      </c>
      <c r="P1101" s="64"/>
      <c r="Q1101" s="54" t="s">
        <v>226</v>
      </c>
      <c r="R1101" s="54"/>
      <c r="S1101" s="129"/>
      <c r="T1101" s="105"/>
      <c r="U1101" s="133">
        <f>$K$1101*$I$1090*$G$1055*$E$984*$C$1053*$A$1008*$M$1096*$O$1101*Q1102</f>
        <v>3.5523877831419984E-4</v>
      </c>
      <c r="V1101" s="133">
        <v>3.5523877831419984E-4</v>
      </c>
      <c r="W1101" s="134">
        <f>$K$1102+$I$1091+$G$1056+$E$985+$C$1054+$A$1009+$M$1097+$O$1102+Q1103</f>
        <v>50215.391856313741</v>
      </c>
      <c r="X1101" s="133">
        <f>u_CongnitiveImpairement</f>
        <v>17.270393127285455</v>
      </c>
      <c r="Y1101" s="133"/>
      <c r="Z1101" s="134">
        <f t="shared" si="114"/>
        <v>17.838454455605714</v>
      </c>
      <c r="AA1101" s="6">
        <f t="shared" ref="AA1101:AA1164" si="115">U1101*X1101</f>
        <v>6.1351133555428384E-3</v>
      </c>
    </row>
    <row r="1102" spans="1:27" x14ac:dyDescent="0.3">
      <c r="A1102" s="41"/>
      <c r="B1102" s="41"/>
      <c r="C1102" s="41"/>
      <c r="D1102" s="41"/>
      <c r="E1102" s="41"/>
      <c r="F1102" s="41"/>
      <c r="G1102" s="64"/>
      <c r="H1102" s="64"/>
      <c r="I1102" s="64"/>
      <c r="J1102" s="64"/>
      <c r="K1102" s="57"/>
      <c r="L1102" s="64"/>
      <c r="M1102" s="64"/>
      <c r="N1102" s="64"/>
      <c r="O1102" s="57"/>
      <c r="P1102" s="64"/>
      <c r="Q1102" s="56">
        <f>noHypo2CI_3-(RDS2CLD_3*noHypo2CI_3)</f>
        <v>2.1141683406990762E-2</v>
      </c>
      <c r="R1102" s="56"/>
      <c r="S1102" s="129"/>
      <c r="T1102" s="105"/>
      <c r="U1102" s="133"/>
      <c r="V1102" s="133"/>
      <c r="W1102" s="133"/>
      <c r="X1102" s="133"/>
      <c r="Y1102" s="133"/>
      <c r="Z1102" s="134">
        <f t="shared" si="114"/>
        <v>0</v>
      </c>
      <c r="AA1102" s="6">
        <f t="shared" si="115"/>
        <v>0</v>
      </c>
    </row>
    <row r="1103" spans="1:27" x14ac:dyDescent="0.3">
      <c r="A1103" s="41"/>
      <c r="B1103" s="41"/>
      <c r="C1103" s="41"/>
      <c r="D1103" s="41"/>
      <c r="E1103" s="41"/>
      <c r="F1103" s="41"/>
      <c r="G1103" s="64"/>
      <c r="H1103" s="64"/>
      <c r="I1103" s="64"/>
      <c r="J1103" s="64"/>
      <c r="K1103" s="64"/>
      <c r="L1103" s="64"/>
      <c r="M1103" s="64"/>
      <c r="N1103" s="64"/>
      <c r="O1103" s="53"/>
      <c r="P1103" s="64"/>
      <c r="Q1103" s="57">
        <f>c_cog+c_hosp_fu+c_CSG</f>
        <v>15766</v>
      </c>
      <c r="R1103" s="57"/>
      <c r="S1103" s="129"/>
      <c r="T1103" s="105"/>
      <c r="U1103" s="133"/>
      <c r="V1103" s="133"/>
      <c r="W1103" s="133"/>
      <c r="X1103" s="133"/>
      <c r="Y1103" s="133"/>
      <c r="Z1103" s="134">
        <f t="shared" ref="Z1103:Z1166" si="116">U1103*W1103</f>
        <v>0</v>
      </c>
      <c r="AA1103" s="6">
        <f t="shared" si="115"/>
        <v>0</v>
      </c>
    </row>
    <row r="1104" spans="1:27" x14ac:dyDescent="0.3">
      <c r="A1104" s="41"/>
      <c r="B1104" s="41"/>
      <c r="C1104" s="41"/>
      <c r="D1104" s="41"/>
      <c r="E1104" s="41"/>
      <c r="F1104" s="41"/>
      <c r="G1104" s="64"/>
      <c r="H1104" s="64"/>
      <c r="I1104" s="64"/>
      <c r="J1104" s="64"/>
      <c r="K1104" s="64"/>
      <c r="L1104" s="64"/>
      <c r="M1104" s="64"/>
      <c r="N1104" s="64"/>
      <c r="O1104" s="53"/>
      <c r="P1104" s="64"/>
      <c r="Q1104" s="54" t="s">
        <v>369</v>
      </c>
      <c r="R1104" s="54"/>
      <c r="S1104" s="129"/>
      <c r="T1104" s="105"/>
      <c r="U1104" s="133">
        <f>$K$1101*$I$1090*$G$1055*$E$984*$C$1053*$A$1008*$M$1096*$O$1101*Q1105</f>
        <v>2.0069045222445401E-4</v>
      </c>
      <c r="V1104" s="133">
        <v>2.0069045222445401E-4</v>
      </c>
      <c r="W1104" s="134">
        <f>$K$1102+$I$1091+$G$1056+$E$985+$C$1054+$A$1009+$M$1097+$O$1102+Q1106</f>
        <v>92797.902758713739</v>
      </c>
      <c r="X1104" s="133">
        <f>u_ChronicResp+u_CongnitiveImpairement</f>
        <v>17.805052694763283</v>
      </c>
      <c r="Y1104" s="133"/>
      <c r="Z1104" s="134">
        <f t="shared" si="116"/>
        <v>18.623653070127169</v>
      </c>
      <c r="AA1104" s="6">
        <f t="shared" si="115"/>
        <v>3.5733040771922771E-3</v>
      </c>
    </row>
    <row r="1105" spans="1:27" x14ac:dyDescent="0.3">
      <c r="A1105" s="41"/>
      <c r="B1105" s="41"/>
      <c r="C1105" s="41"/>
      <c r="D1105" s="41"/>
      <c r="E1105" s="41"/>
      <c r="F1105" s="41"/>
      <c r="G1105" s="64"/>
      <c r="H1105" s="64"/>
      <c r="I1105" s="64"/>
      <c r="J1105" s="64"/>
      <c r="K1105" s="64"/>
      <c r="L1105" s="64"/>
      <c r="M1105" s="64"/>
      <c r="N1105" s="64"/>
      <c r="O1105" s="53"/>
      <c r="P1105" s="64"/>
      <c r="Q1105" s="56">
        <f>RDS2CLD_3*noHypo2CI_3</f>
        <v>1.1943893129770991E-2</v>
      </c>
      <c r="R1105" s="56"/>
      <c r="S1105" s="129"/>
      <c r="T1105" s="105"/>
      <c r="U1105" s="133"/>
      <c r="V1105" s="133"/>
      <c r="W1105" s="133"/>
      <c r="X1105" s="133"/>
      <c r="Y1105" s="133"/>
      <c r="Z1105" s="134">
        <f t="shared" si="116"/>
        <v>0</v>
      </c>
      <c r="AA1105" s="6">
        <f t="shared" si="115"/>
        <v>0</v>
      </c>
    </row>
    <row r="1106" spans="1:27" x14ac:dyDescent="0.3">
      <c r="A1106" s="41"/>
      <c r="B1106" s="41"/>
      <c r="C1106" s="41"/>
      <c r="D1106" s="41"/>
      <c r="E1106" s="41"/>
      <c r="F1106" s="41"/>
      <c r="G1106" s="64"/>
      <c r="H1106" s="64"/>
      <c r="I1106" s="64"/>
      <c r="J1106" s="64"/>
      <c r="K1106" s="64"/>
      <c r="L1106" s="64"/>
      <c r="M1106" s="64"/>
      <c r="N1106" s="64"/>
      <c r="O1106" s="53"/>
      <c r="P1106" s="64"/>
      <c r="Q1106" s="57">
        <f>c_cog+c_lung+c_hosp_fu+c_CSG</f>
        <v>58348.510902399998</v>
      </c>
      <c r="R1106" s="57"/>
      <c r="S1106" s="129"/>
      <c r="T1106" s="105"/>
      <c r="U1106" s="133"/>
      <c r="V1106" s="133"/>
      <c r="W1106" s="133"/>
      <c r="X1106" s="133"/>
      <c r="Y1106" s="133"/>
      <c r="Z1106" s="134">
        <f t="shared" si="116"/>
        <v>0</v>
      </c>
      <c r="AA1106" s="6">
        <f t="shared" si="115"/>
        <v>0</v>
      </c>
    </row>
    <row r="1107" spans="1:27" x14ac:dyDescent="0.3">
      <c r="A1107" s="41"/>
      <c r="B1107" s="41"/>
      <c r="C1107" s="41"/>
      <c r="D1107" s="41"/>
      <c r="E1107" s="41"/>
      <c r="F1107" s="41"/>
      <c r="G1107" s="64"/>
      <c r="H1107" s="64"/>
      <c r="I1107" s="64"/>
      <c r="J1107" s="64"/>
      <c r="K1107" s="64"/>
      <c r="L1107" s="64"/>
      <c r="M1107" s="64"/>
      <c r="N1107" s="64"/>
      <c r="O1107" s="53"/>
      <c r="P1107" s="64"/>
      <c r="Q1107" s="54" t="s">
        <v>370</v>
      </c>
      <c r="R1107" s="54"/>
      <c r="T1107" s="105"/>
      <c r="U1107" s="133">
        <f>$K$1101*$I$1090*$G$1055*$E$984*$C$1053*$A$1008*$M$1096*$O$1101*Q1108</f>
        <v>1.0381729275408246E-2</v>
      </c>
      <c r="V1107" s="133">
        <v>1.0381729275408246E-2</v>
      </c>
      <c r="W1107" s="134">
        <f>$K$1102+$I$1091+$G$1056+$E$985+$C$1054+$A$1009+$M$1097+$O$1102+Q1109</f>
        <v>48852.391856313741</v>
      </c>
      <c r="X1107" s="133">
        <f>u_Healthy</f>
        <v>0</v>
      </c>
      <c r="Y1107" s="133"/>
      <c r="Z1107" s="134">
        <f t="shared" si="116"/>
        <v>507.17230670840775</v>
      </c>
      <c r="AA1107" s="6">
        <f t="shared" si="115"/>
        <v>0</v>
      </c>
    </row>
    <row r="1108" spans="1:27" x14ac:dyDescent="0.3">
      <c r="A1108" s="41"/>
      <c r="B1108" s="41"/>
      <c r="C1108" s="41"/>
      <c r="D1108" s="41"/>
      <c r="E1108" s="41"/>
      <c r="F1108" s="41"/>
      <c r="G1108" s="64"/>
      <c r="H1108" s="64"/>
      <c r="I1108" s="64"/>
      <c r="J1108" s="64"/>
      <c r="K1108" s="64"/>
      <c r="L1108" s="64"/>
      <c r="M1108" s="64"/>
      <c r="N1108" s="64"/>
      <c r="O1108" s="53"/>
      <c r="P1108" s="64"/>
      <c r="Q1108" s="56">
        <f>1-Q1105-Q1102-Q1099</f>
        <v>0.61785831659300938</v>
      </c>
      <c r="R1108" s="56"/>
      <c r="S1108" s="129"/>
      <c r="T1108" s="105"/>
      <c r="U1108" s="133"/>
      <c r="V1108" s="133"/>
      <c r="W1108" s="133"/>
      <c r="X1108" s="133"/>
      <c r="Y1108" s="133"/>
      <c r="Z1108" s="134">
        <f t="shared" si="116"/>
        <v>0</v>
      </c>
      <c r="AA1108" s="6">
        <f t="shared" si="115"/>
        <v>0</v>
      </c>
    </row>
    <row r="1109" spans="1:27" x14ac:dyDescent="0.3">
      <c r="A1109" s="41"/>
      <c r="B1109" s="41"/>
      <c r="C1109" s="41"/>
      <c r="D1109" s="41"/>
      <c r="E1109" s="41"/>
      <c r="F1109" s="41"/>
      <c r="G1109" s="64"/>
      <c r="H1109" s="64"/>
      <c r="I1109" s="64"/>
      <c r="J1109" s="64"/>
      <c r="K1109" s="64"/>
      <c r="L1109" s="64"/>
      <c r="M1109" s="64"/>
      <c r="N1109" s="64"/>
      <c r="O1109" s="64"/>
      <c r="P1109" s="64"/>
      <c r="Q1109" s="57">
        <f>c_clinic_fu+c_CSG</f>
        <v>14403</v>
      </c>
      <c r="R1109" s="57"/>
      <c r="S1109" s="129"/>
      <c r="T1109" s="105"/>
      <c r="U1109" s="133"/>
      <c r="V1109" s="133"/>
      <c r="W1109" s="133"/>
      <c r="X1109" s="133"/>
      <c r="Y1109" s="133"/>
      <c r="Z1109" s="134">
        <f t="shared" si="116"/>
        <v>0</v>
      </c>
      <c r="AA1109" s="6">
        <f t="shared" si="115"/>
        <v>0</v>
      </c>
    </row>
    <row r="1110" spans="1:27" x14ac:dyDescent="0.3">
      <c r="A1110" s="41"/>
      <c r="B1110" s="41"/>
      <c r="C1110" s="41"/>
      <c r="D1110" s="41"/>
      <c r="E1110" s="41"/>
      <c r="F1110" s="41"/>
      <c r="G1110" s="64"/>
      <c r="H1110" s="64"/>
      <c r="I1110" s="64"/>
      <c r="J1110" s="64"/>
      <c r="K1110" s="64"/>
      <c r="L1110" s="64"/>
      <c r="M1110" s="64"/>
      <c r="N1110" s="64"/>
      <c r="O1110" s="64"/>
      <c r="P1110" s="64"/>
      <c r="Q1110" s="65"/>
      <c r="R1110" s="65"/>
      <c r="S1110" s="129"/>
      <c r="T1110" s="105"/>
      <c r="U1110" s="133"/>
      <c r="V1110" s="133"/>
      <c r="W1110" s="133"/>
      <c r="X1110" s="133"/>
      <c r="Y1110" s="133"/>
      <c r="Z1110" s="134">
        <f t="shared" si="116"/>
        <v>0</v>
      </c>
      <c r="AA1110" s="6">
        <f t="shared" si="115"/>
        <v>0</v>
      </c>
    </row>
    <row r="1111" spans="1:27" x14ac:dyDescent="0.3">
      <c r="A1111" s="41"/>
      <c r="B1111" s="41"/>
      <c r="C1111" s="41"/>
      <c r="D1111" s="41"/>
      <c r="E1111" s="41"/>
      <c r="F1111" s="41"/>
      <c r="G1111" s="53"/>
      <c r="H1111" s="64"/>
      <c r="I1111" s="64"/>
      <c r="J1111" s="64"/>
      <c r="K1111" s="64"/>
      <c r="L1111" s="64"/>
      <c r="M1111" s="64"/>
      <c r="N1111" s="64"/>
      <c r="O1111" s="64"/>
      <c r="P1111" s="64"/>
      <c r="Q1111" s="54" t="s">
        <v>368</v>
      </c>
      <c r="R1111" s="54"/>
      <c r="S1111" s="129"/>
      <c r="T1111" s="105"/>
      <c r="U1111" s="133">
        <f>$K$1101*$I$1090*$G$1055*$E$984*$C$1053*$A$1008*$M$1116*$O$1114*Q1112</f>
        <v>0</v>
      </c>
      <c r="V1111" s="133">
        <v>0</v>
      </c>
      <c r="W1111" s="134">
        <f>$K$1102+$I$1091+$G$1056+$E$985+$C$1054+$A$1009+$M$1117+$O$1115+Q1113</f>
        <v>61319.553010508105</v>
      </c>
      <c r="X1111" s="133">
        <f>u_ChronicResp</f>
        <v>0.53465956747782661</v>
      </c>
      <c r="Y1111" s="133"/>
      <c r="Z1111" s="134">
        <f t="shared" si="116"/>
        <v>0</v>
      </c>
      <c r="AA1111" s="6">
        <f t="shared" si="115"/>
        <v>0</v>
      </c>
    </row>
    <row r="1112" spans="1:27" x14ac:dyDescent="0.3">
      <c r="A1112" s="41"/>
      <c r="B1112" s="41"/>
      <c r="C1112" s="41"/>
      <c r="D1112" s="41"/>
      <c r="E1112" s="41"/>
      <c r="F1112" s="41"/>
      <c r="G1112" s="64"/>
      <c r="H1112" s="64"/>
      <c r="I1112" s="64"/>
      <c r="J1112" s="64"/>
      <c r="K1112" s="64"/>
      <c r="L1112" s="64"/>
      <c r="M1112" s="64"/>
      <c r="N1112" s="64"/>
      <c r="O1112" s="64"/>
      <c r="P1112" s="64"/>
      <c r="Q1112" s="56">
        <f>noRDS2CLD_3-(Hypo2CI_3*noRDS2CLD_3)</f>
        <v>0</v>
      </c>
      <c r="R1112" s="56"/>
      <c r="S1112" s="129"/>
      <c r="T1112" s="105"/>
      <c r="U1112" s="133"/>
      <c r="V1112" s="133"/>
      <c r="W1112" s="133"/>
      <c r="X1112" s="133"/>
      <c r="Y1112" s="133"/>
      <c r="Z1112" s="134">
        <f t="shared" si="116"/>
        <v>0</v>
      </c>
      <c r="AA1112" s="6">
        <f t="shared" si="115"/>
        <v>0</v>
      </c>
    </row>
    <row r="1113" spans="1:27" x14ac:dyDescent="0.3">
      <c r="A1113" s="41"/>
      <c r="B1113" s="41"/>
      <c r="C1113" s="41"/>
      <c r="D1113" s="41"/>
      <c r="E1113" s="41"/>
      <c r="F1113" s="41"/>
      <c r="G1113" s="64"/>
      <c r="H1113" s="64"/>
      <c r="I1113" s="64"/>
      <c r="J1113" s="64"/>
      <c r="K1113" s="64"/>
      <c r="L1113" s="64"/>
      <c r="M1113" s="64"/>
      <c r="N1113" s="64"/>
      <c r="O1113" s="54" t="s">
        <v>161</v>
      </c>
      <c r="P1113" s="64"/>
      <c r="Q1113" s="57">
        <f>c_lung+c_hosp_fu+c_CSG</f>
        <v>54529.510902399998</v>
      </c>
      <c r="R1113" s="57"/>
      <c r="S1113" s="129"/>
      <c r="T1113" s="105"/>
      <c r="U1113" s="133"/>
      <c r="V1113" s="133"/>
      <c r="W1113" s="133"/>
      <c r="X1113" s="133"/>
      <c r="Y1113" s="133"/>
      <c r="Z1113" s="134">
        <f t="shared" si="116"/>
        <v>0</v>
      </c>
      <c r="AA1113" s="6">
        <f t="shared" si="115"/>
        <v>0</v>
      </c>
    </row>
    <row r="1114" spans="1:27" x14ac:dyDescent="0.3">
      <c r="A1114" s="41"/>
      <c r="B1114" s="41"/>
      <c r="C1114" s="41"/>
      <c r="D1114" s="41"/>
      <c r="E1114" s="41"/>
      <c r="F1114" s="41"/>
      <c r="G1114" s="64"/>
      <c r="H1114" s="64"/>
      <c r="I1114" s="64"/>
      <c r="J1114" s="64"/>
      <c r="K1114" s="64"/>
      <c r="L1114" s="64"/>
      <c r="M1114" s="64"/>
      <c r="N1114" s="64"/>
      <c r="O1114" s="56">
        <f>AGA_prem_2hypoglycaemia_3</f>
        <v>0.15</v>
      </c>
      <c r="P1114" s="64"/>
      <c r="Q1114" s="54" t="s">
        <v>226</v>
      </c>
      <c r="R1114" s="54"/>
      <c r="S1114" s="129"/>
      <c r="T1114" s="105"/>
      <c r="U1114" s="133">
        <f>$K$1101*$I$1090*$G$1055*$E$984*$C$1053*$A$1008*$M$1116*$O$1114*Q1115</f>
        <v>1.8603847804479857E-4</v>
      </c>
      <c r="V1114" s="133">
        <v>1.8603847804479857E-4</v>
      </c>
      <c r="W1114" s="134">
        <f>$K$1102+$I$1091+$G$1056+$E$985+$C$1054+$A$1009+$M$1117+$O$1115+Q1116</f>
        <v>22556.042108108108</v>
      </c>
      <c r="X1114" s="133">
        <f>u_CongnitiveImpairement</f>
        <v>17.270393127285455</v>
      </c>
      <c r="Y1114" s="133"/>
      <c r="Z1114" s="134">
        <f t="shared" si="116"/>
        <v>4.196291744506822</v>
      </c>
      <c r="AA1114" s="6">
        <f t="shared" si="115"/>
        <v>3.2129576526355353E-3</v>
      </c>
    </row>
    <row r="1115" spans="1:27" x14ac:dyDescent="0.3">
      <c r="A1115" s="41"/>
      <c r="B1115" s="41"/>
      <c r="C1115" s="41"/>
      <c r="D1115" s="41"/>
      <c r="E1115" s="41"/>
      <c r="F1115" s="41"/>
      <c r="G1115" s="64"/>
      <c r="H1115" s="64"/>
      <c r="I1115" s="64"/>
      <c r="J1115" s="64"/>
      <c r="K1115" s="64"/>
      <c r="L1115" s="64"/>
      <c r="M1115" s="54" t="s">
        <v>203</v>
      </c>
      <c r="N1115" s="64"/>
      <c r="O1115" s="57">
        <f>c_hypo</f>
        <v>2936.2604000000001</v>
      </c>
      <c r="P1115" s="64"/>
      <c r="Q1115" s="56">
        <f>Hypo2CI_3-(Hypo2CI_3*noRDS2CLD_3)</f>
        <v>5.1333333333333335E-2</v>
      </c>
      <c r="R1115" s="56"/>
      <c r="S1115" s="129"/>
      <c r="T1115" s="105"/>
      <c r="U1115" s="133"/>
      <c r="V1115" s="133"/>
      <c r="W1115" s="133"/>
      <c r="X1115" s="133"/>
      <c r="Y1115" s="133"/>
      <c r="Z1115" s="134">
        <f t="shared" si="116"/>
        <v>0</v>
      </c>
      <c r="AA1115" s="6">
        <f t="shared" si="115"/>
        <v>0</v>
      </c>
    </row>
    <row r="1116" spans="1:27" x14ac:dyDescent="0.3">
      <c r="A1116" s="41"/>
      <c r="B1116" s="41"/>
      <c r="C1116" s="41"/>
      <c r="D1116" s="41"/>
      <c r="E1116" s="41"/>
      <c r="F1116" s="41"/>
      <c r="G1116" s="64"/>
      <c r="H1116" s="64"/>
      <c r="I1116" s="64"/>
      <c r="J1116" s="64"/>
      <c r="K1116" s="64"/>
      <c r="L1116" s="64"/>
      <c r="M1116" s="56">
        <f>S_prem_2noRDS_3</f>
        <v>0.55000000000000004</v>
      </c>
      <c r="N1116" s="64"/>
      <c r="O1116" s="53"/>
      <c r="P1116" s="64"/>
      <c r="Q1116" s="57">
        <f>c_cog+c_hosp_fu+c_CSG</f>
        <v>15766</v>
      </c>
      <c r="R1116" s="57"/>
      <c r="S1116" s="129"/>
      <c r="T1116" s="105"/>
      <c r="U1116" s="133"/>
      <c r="V1116" s="133"/>
      <c r="W1116" s="133"/>
      <c r="X1116" s="133"/>
      <c r="Y1116" s="133"/>
      <c r="Z1116" s="134">
        <f t="shared" si="116"/>
        <v>0</v>
      </c>
      <c r="AA1116" s="6">
        <f t="shared" si="115"/>
        <v>0</v>
      </c>
    </row>
    <row r="1117" spans="1:27" x14ac:dyDescent="0.3">
      <c r="A1117" s="41"/>
      <c r="B1117" s="41"/>
      <c r="C1117" s="41"/>
      <c r="D1117" s="41"/>
      <c r="E1117" s="41"/>
      <c r="F1117" s="41"/>
      <c r="G1117" s="64"/>
      <c r="H1117" s="64"/>
      <c r="I1117" s="64"/>
      <c r="J1117" s="64"/>
      <c r="K1117" s="64"/>
      <c r="L1117" s="64"/>
      <c r="M1117" s="57"/>
      <c r="N1117" s="64"/>
      <c r="O1117" s="65"/>
      <c r="P1117" s="64"/>
      <c r="Q1117" s="54" t="s">
        <v>369</v>
      </c>
      <c r="R1117" s="54"/>
      <c r="S1117" s="129"/>
      <c r="T1117" s="105"/>
      <c r="U1117" s="133">
        <f>$K$1101*$I$1090*$G$1055*$E$984*$C$1053*$A$1008*$M$1116*$O$1114*Q1118</f>
        <v>0</v>
      </c>
      <c r="V1117" s="134">
        <v>0</v>
      </c>
      <c r="W1117" s="134">
        <f>$K$1102+$I$1091+$G$1056+$E$985+$C$1054+$A$1009+$M$1117+$O$1115+Q1119</f>
        <v>65138.553010508105</v>
      </c>
      <c r="X1117" s="133">
        <f>u_ChronicResp+u_CongnitiveImpairement</f>
        <v>17.805052694763283</v>
      </c>
      <c r="Y1117" s="133"/>
      <c r="Z1117" s="134">
        <f t="shared" si="116"/>
        <v>0</v>
      </c>
      <c r="AA1117" s="6">
        <f t="shared" si="115"/>
        <v>0</v>
      </c>
    </row>
    <row r="1118" spans="1:27" s="10" customFormat="1" x14ac:dyDescent="0.3">
      <c r="A1118" s="41"/>
      <c r="B1118" s="41"/>
      <c r="C1118" s="41"/>
      <c r="D1118" s="41"/>
      <c r="E1118" s="41"/>
      <c r="F1118" s="41"/>
      <c r="G1118" s="64"/>
      <c r="H1118" s="64"/>
      <c r="I1118" s="53"/>
      <c r="J1118" s="53"/>
      <c r="K1118" s="64"/>
      <c r="L1118" s="64"/>
      <c r="M1118" s="65"/>
      <c r="N1118" s="64"/>
      <c r="O1118" s="41"/>
      <c r="P1118" s="64"/>
      <c r="Q1118" s="56">
        <f>noRDS2CLD_3*Hypo2CI_3</f>
        <v>0</v>
      </c>
      <c r="R1118" s="56"/>
      <c r="S1118" s="129"/>
      <c r="T1118" s="105"/>
      <c r="V1118" s="133"/>
      <c r="X1118" s="133"/>
      <c r="Y1118" s="133"/>
      <c r="Z1118" s="134">
        <f t="shared" si="116"/>
        <v>0</v>
      </c>
      <c r="AA1118" s="6">
        <f t="shared" si="115"/>
        <v>0</v>
      </c>
    </row>
    <row r="1119" spans="1:27" x14ac:dyDescent="0.3">
      <c r="A1119" s="41"/>
      <c r="B1119" s="41"/>
      <c r="C1119" s="41"/>
      <c r="D1119" s="41"/>
      <c r="E1119" s="41"/>
      <c r="F1119" s="41"/>
      <c r="G1119" s="64"/>
      <c r="H1119" s="64"/>
      <c r="I1119" s="53"/>
      <c r="J1119" s="53"/>
      <c r="K1119" s="64"/>
      <c r="L1119" s="64"/>
      <c r="M1119" s="65"/>
      <c r="N1119" s="64"/>
      <c r="O1119" s="41"/>
      <c r="P1119" s="64"/>
      <c r="Q1119" s="57">
        <f>c_lung+c_cog+c_hosp_fu+c_CSG</f>
        <v>58348.510902399998</v>
      </c>
      <c r="R1119" s="57"/>
      <c r="S1119" s="129"/>
      <c r="T1119" s="105"/>
      <c r="U1119" s="133"/>
      <c r="V1119" s="133"/>
      <c r="W1119" s="133"/>
      <c r="X1119" s="133"/>
      <c r="Y1119" s="133"/>
      <c r="Z1119" s="134">
        <f t="shared" si="116"/>
        <v>0</v>
      </c>
      <c r="AA1119" s="6">
        <f t="shared" si="115"/>
        <v>0</v>
      </c>
    </row>
    <row r="1120" spans="1:27" x14ac:dyDescent="0.3">
      <c r="A1120" s="41"/>
      <c r="B1120" s="41"/>
      <c r="C1120" s="41"/>
      <c r="D1120" s="41"/>
      <c r="E1120" s="41"/>
      <c r="F1120" s="41"/>
      <c r="G1120" s="64"/>
      <c r="H1120" s="64"/>
      <c r="I1120" s="53"/>
      <c r="J1120" s="53"/>
      <c r="K1120" s="64"/>
      <c r="L1120" s="64"/>
      <c r="M1120" s="65"/>
      <c r="N1120" s="64"/>
      <c r="O1120" s="41"/>
      <c r="P1120" s="64"/>
      <c r="Q1120" s="54" t="s">
        <v>370</v>
      </c>
      <c r="R1120" s="54"/>
      <c r="T1120" s="105"/>
      <c r="U1120" s="133">
        <f>$K$1101*$I$1090*$G$1055*$E$984*$C$1053*$A$1008*$M$1116*$O$1114*Q1121</f>
        <v>3.4380877176330956E-3</v>
      </c>
      <c r="V1120" s="135">
        <v>3.4380877176330956E-3</v>
      </c>
      <c r="W1120" s="134">
        <f>$K$1102+$I$1091+$G$1056+$E$985+$C$1054+$A$1009+$M$1117+$O$1115+Q1122</f>
        <v>21193.042108108108</v>
      </c>
      <c r="X1120" s="133">
        <f>u_Healthy</f>
        <v>0</v>
      </c>
      <c r="Y1120" s="133"/>
      <c r="Z1120" s="134">
        <f t="shared" si="116"/>
        <v>72.863537771167486</v>
      </c>
      <c r="AA1120" s="6">
        <f t="shared" si="115"/>
        <v>0</v>
      </c>
    </row>
    <row r="1121" spans="1:27" x14ac:dyDescent="0.3">
      <c r="A1121" s="41"/>
      <c r="B1121" s="41"/>
      <c r="C1121" s="41"/>
      <c r="D1121" s="41"/>
      <c r="E1121" s="41"/>
      <c r="F1121" s="41"/>
      <c r="G1121" s="64"/>
      <c r="H1121" s="64"/>
      <c r="I1121" s="53"/>
      <c r="J1121" s="53"/>
      <c r="K1121" s="64"/>
      <c r="L1121" s="64"/>
      <c r="M1121" s="65"/>
      <c r="N1121" s="64"/>
      <c r="O1121" s="65"/>
      <c r="P1121" s="64"/>
      <c r="Q1121" s="56">
        <f>1-Q1118-Q1115-Q1112</f>
        <v>0.94866666666666666</v>
      </c>
      <c r="R1121" s="56"/>
      <c r="S1121" s="129"/>
      <c r="T1121" s="105"/>
      <c r="U1121" s="133"/>
      <c r="V1121" s="133"/>
      <c r="W1121" s="133"/>
      <c r="X1121" s="133"/>
      <c r="Y1121" s="133"/>
      <c r="Z1121" s="134">
        <f t="shared" si="116"/>
        <v>0</v>
      </c>
      <c r="AA1121" s="6">
        <f t="shared" si="115"/>
        <v>0</v>
      </c>
    </row>
    <row r="1122" spans="1:27" x14ac:dyDescent="0.3">
      <c r="A1122" s="41"/>
      <c r="B1122" s="41"/>
      <c r="C1122" s="41"/>
      <c r="D1122" s="41"/>
      <c r="E1122" s="41"/>
      <c r="F1122" s="41"/>
      <c r="G1122" s="64"/>
      <c r="H1122" s="64"/>
      <c r="I1122" s="53"/>
      <c r="J1122" s="53"/>
      <c r="K1122" s="64"/>
      <c r="L1122" s="64"/>
      <c r="M1122" s="65"/>
      <c r="N1122" s="64"/>
      <c r="O1122" s="64"/>
      <c r="P1122" s="64"/>
      <c r="Q1122" s="57">
        <f>c_clinic_fu+c_CSG</f>
        <v>14403</v>
      </c>
      <c r="R1122" s="57"/>
      <c r="S1122" s="130"/>
      <c r="T1122" s="105"/>
      <c r="U1122" s="133"/>
      <c r="V1122" s="135"/>
      <c r="W1122" s="133"/>
      <c r="X1122" s="133"/>
      <c r="Y1122" s="133"/>
      <c r="Z1122" s="134">
        <f t="shared" si="116"/>
        <v>0</v>
      </c>
      <c r="AA1122" s="6">
        <f t="shared" si="115"/>
        <v>0</v>
      </c>
    </row>
    <row r="1123" spans="1:27" x14ac:dyDescent="0.3">
      <c r="A1123" s="41"/>
      <c r="B1123" s="41"/>
      <c r="C1123" s="41"/>
      <c r="D1123" s="41"/>
      <c r="E1123" s="41"/>
      <c r="F1123" s="41"/>
      <c r="G1123" s="64"/>
      <c r="H1123" s="64"/>
      <c r="I1123" s="41"/>
      <c r="J1123" s="64"/>
      <c r="K1123" s="64"/>
      <c r="L1123" s="64"/>
      <c r="M1123" s="65"/>
      <c r="N1123" s="64"/>
      <c r="O1123" s="64"/>
      <c r="P1123" s="64"/>
      <c r="Q1123" s="65"/>
      <c r="R1123" s="65"/>
      <c r="S1123" s="129"/>
      <c r="T1123" s="105"/>
      <c r="U1123" s="133"/>
      <c r="V1123" s="135"/>
      <c r="W1123" s="133"/>
      <c r="X1123" s="133"/>
      <c r="Y1123" s="133"/>
      <c r="Z1123" s="134">
        <f t="shared" si="116"/>
        <v>0</v>
      </c>
      <c r="AA1123" s="6">
        <f t="shared" si="115"/>
        <v>0</v>
      </c>
    </row>
    <row r="1124" spans="1:27" x14ac:dyDescent="0.3">
      <c r="A1124" s="41"/>
      <c r="B1124" s="41"/>
      <c r="C1124" s="41"/>
      <c r="D1124" s="41"/>
      <c r="E1124" s="41"/>
      <c r="F1124" s="41"/>
      <c r="G1124" s="64"/>
      <c r="H1124" s="64"/>
      <c r="I1124" s="41"/>
      <c r="J1124" s="64"/>
      <c r="K1124" s="64"/>
      <c r="L1124" s="64"/>
      <c r="M1124" s="65"/>
      <c r="N1124" s="64"/>
      <c r="O1124" s="64"/>
      <c r="P1124" s="64"/>
      <c r="Q1124" s="54" t="s">
        <v>368</v>
      </c>
      <c r="R1124" s="54"/>
      <c r="S1124" s="129"/>
      <c r="T1124" s="105"/>
      <c r="U1124" s="133">
        <f>$K$1101*$I$1090*$G$1055*$E$984*$C$1053*$A$1008*$M$1116*$O$1128*Q1125</f>
        <v>0</v>
      </c>
      <c r="V1124" s="135">
        <v>0</v>
      </c>
      <c r="W1124" s="134">
        <f>$K$1102+$I$1091+$G$1056+$E$985+$C$1054+$A$1009+$M$1117+$O$1129+Q1126</f>
        <v>60412.553010508105</v>
      </c>
      <c r="X1124" s="133">
        <f>u_ChronicResp</f>
        <v>0.53465956747782661</v>
      </c>
      <c r="Y1124" s="133"/>
      <c r="Z1124" s="134">
        <f t="shared" si="116"/>
        <v>0</v>
      </c>
      <c r="AA1124" s="6">
        <f t="shared" si="115"/>
        <v>0</v>
      </c>
    </row>
    <row r="1125" spans="1:27" x14ac:dyDescent="0.3">
      <c r="A1125" s="41"/>
      <c r="B1125" s="41"/>
      <c r="C1125" s="41"/>
      <c r="D1125" s="41"/>
      <c r="E1125" s="41"/>
      <c r="F1125" s="41"/>
      <c r="G1125" s="64"/>
      <c r="H1125" s="64"/>
      <c r="I1125" s="41"/>
      <c r="J1125" s="64"/>
      <c r="K1125" s="64"/>
      <c r="L1125" s="64"/>
      <c r="M1125" s="65"/>
      <c r="N1125" s="64"/>
      <c r="O1125" s="64"/>
      <c r="P1125" s="64"/>
      <c r="Q1125" s="56">
        <f>noRDS2CLD_3-(noRDS2CLD_3*noHypo2CI_3)</f>
        <v>0</v>
      </c>
      <c r="R1125" s="56"/>
      <c r="S1125" s="129"/>
      <c r="T1125" s="105"/>
      <c r="U1125" s="133"/>
      <c r="V1125" s="135"/>
      <c r="W1125" s="133"/>
      <c r="X1125" s="133"/>
      <c r="Y1125" s="133"/>
      <c r="Z1125" s="134">
        <f t="shared" si="116"/>
        <v>0</v>
      </c>
      <c r="AA1125" s="6">
        <f t="shared" si="115"/>
        <v>0</v>
      </c>
    </row>
    <row r="1126" spans="1:27" x14ac:dyDescent="0.3">
      <c r="A1126" s="41"/>
      <c r="B1126" s="41"/>
      <c r="C1126" s="41"/>
      <c r="D1126" s="41"/>
      <c r="E1126" s="41"/>
      <c r="F1126" s="41"/>
      <c r="G1126" s="64"/>
      <c r="H1126" s="64"/>
      <c r="I1126" s="64"/>
      <c r="J1126" s="64"/>
      <c r="K1126" s="64"/>
      <c r="L1126" s="64"/>
      <c r="M1126" s="65"/>
      <c r="N1126" s="64"/>
      <c r="O1126" s="64"/>
      <c r="P1126" s="64"/>
      <c r="Q1126" s="57">
        <f>c_lung+c_hypo+c_CSG</f>
        <v>56558.771302399997</v>
      </c>
      <c r="R1126" s="57"/>
      <c r="S1126" s="129"/>
      <c r="T1126" s="105"/>
      <c r="U1126" s="133"/>
      <c r="V1126" s="135"/>
      <c r="W1126" s="133"/>
      <c r="X1126" s="133"/>
      <c r="Y1126" s="133"/>
      <c r="Z1126" s="134">
        <f t="shared" si="116"/>
        <v>0</v>
      </c>
      <c r="AA1126" s="6">
        <f t="shared" si="115"/>
        <v>0</v>
      </c>
    </row>
    <row r="1127" spans="1:27" x14ac:dyDescent="0.3">
      <c r="A1127" s="41"/>
      <c r="B1127" s="41"/>
      <c r="C1127" s="41"/>
      <c r="D1127" s="41"/>
      <c r="E1127" s="41"/>
      <c r="F1127" s="41"/>
      <c r="G1127" s="64"/>
      <c r="H1127" s="64"/>
      <c r="I1127" s="64"/>
      <c r="J1127" s="64"/>
      <c r="K1127" s="64"/>
      <c r="L1127" s="64"/>
      <c r="M1127" s="65"/>
      <c r="N1127" s="64"/>
      <c r="O1127" s="54" t="s">
        <v>371</v>
      </c>
      <c r="P1127" s="64"/>
      <c r="Q1127" s="54" t="s">
        <v>226</v>
      </c>
      <c r="R1127" s="54"/>
      <c r="S1127" s="129"/>
      <c r="T1127" s="105"/>
      <c r="U1127" s="133">
        <f>$K$1101*$I$1090*$G$1055*$E$984*$C$1053*$A$1008*$M$1116*$O$1128*Q1128</f>
        <v>6.7946905954724347E-4</v>
      </c>
      <c r="V1127" s="135">
        <v>6.7946905954724347E-4</v>
      </c>
      <c r="W1127" s="134">
        <f>$K$1102+$I$1091+$G$1056+$E$985+$C$1054+$A$1009+$M$1117+$O$1129+Q1129</f>
        <v>19619.781708108108</v>
      </c>
      <c r="X1127" s="133">
        <f>u_CongnitiveImpairement</f>
        <v>17.270393127285455</v>
      </c>
      <c r="Y1127" s="133"/>
      <c r="Z1127" s="134">
        <f t="shared" si="116"/>
        <v>13.331034625730426</v>
      </c>
      <c r="AA1127" s="6">
        <f t="shared" si="115"/>
        <v>1.1734697776207826E-2</v>
      </c>
    </row>
    <row r="1128" spans="1:27" x14ac:dyDescent="0.3">
      <c r="A1128" s="41"/>
      <c r="B1128" s="41"/>
      <c r="C1128" s="41"/>
      <c r="D1128" s="41"/>
      <c r="E1128" s="41"/>
      <c r="F1128" s="41"/>
      <c r="G1128" s="64"/>
      <c r="H1128" s="64"/>
      <c r="I1128" s="64"/>
      <c r="J1128" s="64"/>
      <c r="K1128" s="64"/>
      <c r="L1128" s="64"/>
      <c r="M1128" s="65"/>
      <c r="N1128" s="64"/>
      <c r="O1128" s="56">
        <f>AGA_prem_2normoglycaemia_3</f>
        <v>0.85</v>
      </c>
      <c r="P1128" s="64"/>
      <c r="Q1128" s="56">
        <f>noHypo2CI_3</f>
        <v>3.3085576536761752E-2</v>
      </c>
      <c r="R1128" s="56"/>
      <c r="S1128" s="129"/>
      <c r="T1128" s="105"/>
      <c r="U1128" s="133"/>
      <c r="V1128" s="135"/>
      <c r="W1128" s="133"/>
      <c r="X1128" s="133"/>
      <c r="Y1128" s="133"/>
      <c r="Z1128" s="134">
        <f t="shared" si="116"/>
        <v>0</v>
      </c>
      <c r="AA1128" s="6">
        <f t="shared" si="115"/>
        <v>0</v>
      </c>
    </row>
    <row r="1129" spans="1:27" x14ac:dyDescent="0.3">
      <c r="A1129" s="41"/>
      <c r="B1129" s="41"/>
      <c r="C1129" s="41"/>
      <c r="D1129" s="41"/>
      <c r="E1129" s="41"/>
      <c r="F1129" s="41"/>
      <c r="G1129" s="64"/>
      <c r="H1129" s="64"/>
      <c r="I1129" s="64"/>
      <c r="J1129" s="64"/>
      <c r="K1129" s="64"/>
      <c r="L1129" s="64"/>
      <c r="M1129" s="65"/>
      <c r="N1129" s="64"/>
      <c r="O1129" s="57"/>
      <c r="P1129" s="64"/>
      <c r="Q1129" s="57">
        <f>c_cog+c_hosp_fu+c_CSG</f>
        <v>15766</v>
      </c>
      <c r="R1129" s="57"/>
      <c r="S1129" s="129"/>
      <c r="T1129" s="105"/>
      <c r="U1129" s="133"/>
      <c r="V1129" s="135"/>
      <c r="W1129" s="133"/>
      <c r="X1129" s="133"/>
      <c r="Y1129" s="133"/>
      <c r="Z1129" s="134">
        <f t="shared" si="116"/>
        <v>0</v>
      </c>
      <c r="AA1129" s="6">
        <f t="shared" si="115"/>
        <v>0</v>
      </c>
    </row>
    <row r="1130" spans="1:27" x14ac:dyDescent="0.3">
      <c r="A1130" s="41"/>
      <c r="B1130" s="41"/>
      <c r="C1130" s="41"/>
      <c r="D1130" s="41"/>
      <c r="E1130" s="41"/>
      <c r="F1130" s="41"/>
      <c r="G1130" s="65"/>
      <c r="H1130" s="64"/>
      <c r="I1130" s="64"/>
      <c r="J1130" s="64"/>
      <c r="K1130" s="64"/>
      <c r="L1130" s="64"/>
      <c r="M1130" s="65"/>
      <c r="N1130" s="64"/>
      <c r="O1130" s="64"/>
      <c r="P1130" s="64"/>
      <c r="Q1130" s="54" t="s">
        <v>369</v>
      </c>
      <c r="R1130" s="54"/>
      <c r="S1130" s="129"/>
      <c r="T1130" s="105"/>
      <c r="U1130" s="133">
        <f>$K$1101*$I$1090*$G$1055*$E$984*$C$1053*$A$1008*$M$1116*$O$1128*Q1131</f>
        <v>0</v>
      </c>
      <c r="V1130" s="135">
        <v>0</v>
      </c>
      <c r="W1130" s="134">
        <f>$K$1102+$I$1091+$G$1056+$E$985+$C$1054+$A$1009+$M$1117+$O$1129+Q1132</f>
        <v>62202.292610508106</v>
      </c>
      <c r="X1130" s="133">
        <f>u_ChronicResp+u_CongnitiveImpairement</f>
        <v>17.805052694763283</v>
      </c>
      <c r="Y1130" s="133"/>
      <c r="Z1130" s="134">
        <f t="shared" si="116"/>
        <v>0</v>
      </c>
      <c r="AA1130" s="6">
        <f t="shared" si="115"/>
        <v>0</v>
      </c>
    </row>
    <row r="1131" spans="1:27" x14ac:dyDescent="0.3">
      <c r="A1131" s="41"/>
      <c r="B1131" s="41"/>
      <c r="C1131" s="41"/>
      <c r="D1131" s="41"/>
      <c r="E1131" s="41"/>
      <c r="F1131" s="41"/>
      <c r="G1131" s="64"/>
      <c r="H1131" s="64"/>
      <c r="I1131" s="64"/>
      <c r="J1131" s="64"/>
      <c r="K1131" s="64"/>
      <c r="L1131" s="64"/>
      <c r="M1131" s="53"/>
      <c r="N1131" s="64"/>
      <c r="O1131" s="64"/>
      <c r="P1131" s="64"/>
      <c r="Q1131" s="56">
        <f>noRDS2CLD_3*noHypo2CI_3</f>
        <v>0</v>
      </c>
      <c r="R1131" s="56"/>
      <c r="S1131" s="129"/>
      <c r="T1131" s="105"/>
      <c r="U1131" s="133"/>
      <c r="V1131" s="135"/>
      <c r="W1131" s="133"/>
      <c r="X1131" s="133"/>
      <c r="Y1131" s="133"/>
      <c r="Z1131" s="134">
        <f t="shared" si="116"/>
        <v>0</v>
      </c>
      <c r="AA1131" s="6">
        <f t="shared" si="115"/>
        <v>0</v>
      </c>
    </row>
    <row r="1132" spans="1:27" x14ac:dyDescent="0.3">
      <c r="A1132" s="41"/>
      <c r="B1132" s="41"/>
      <c r="C1132" s="41"/>
      <c r="D1132" s="41"/>
      <c r="E1132" s="41"/>
      <c r="F1132" s="41"/>
      <c r="G1132" s="64"/>
      <c r="H1132" s="64"/>
      <c r="I1132" s="64"/>
      <c r="J1132" s="64"/>
      <c r="K1132" s="64"/>
      <c r="L1132" s="64"/>
      <c r="M1132" s="44"/>
      <c r="N1132" s="64"/>
      <c r="O1132" s="64"/>
      <c r="P1132" s="64"/>
      <c r="Q1132" s="57">
        <f>c_cog+c_lung+c_hosp_fu+c_CSG</f>
        <v>58348.510902399998</v>
      </c>
      <c r="R1132" s="57"/>
      <c r="S1132" s="129"/>
      <c r="T1132" s="105"/>
      <c r="U1132" s="133"/>
      <c r="V1132" s="135"/>
      <c r="W1132" s="133"/>
      <c r="X1132" s="133"/>
      <c r="Y1132" s="133"/>
      <c r="Z1132" s="134">
        <f t="shared" si="116"/>
        <v>0</v>
      </c>
      <c r="AA1132" s="6">
        <f t="shared" si="115"/>
        <v>0</v>
      </c>
    </row>
    <row r="1133" spans="1:27" x14ac:dyDescent="0.3">
      <c r="A1133" s="41"/>
      <c r="B1133" s="41"/>
      <c r="C1133" s="41"/>
      <c r="D1133" s="41"/>
      <c r="E1133" s="41"/>
      <c r="F1133" s="41"/>
      <c r="G1133" s="64"/>
      <c r="H1133" s="64"/>
      <c r="I1133" s="64"/>
      <c r="J1133" s="64"/>
      <c r="K1133" s="64"/>
      <c r="L1133" s="64"/>
      <c r="M1133" s="65"/>
      <c r="N1133" s="64"/>
      <c r="O1133" s="64"/>
      <c r="P1133" s="64"/>
      <c r="Q1133" s="54" t="s">
        <v>370</v>
      </c>
      <c r="R1133" s="54"/>
      <c r="T1133" s="105"/>
      <c r="U1133" s="133">
        <f>$K$1101*$I$1090*$G$1055*$E$984*$C$1053*$A$1008*$M$1116*$O$1128*Q1134</f>
        <v>1.9857246049294158E-2</v>
      </c>
      <c r="V1133" s="135">
        <v>1.9857246049294158E-2</v>
      </c>
      <c r="W1133" s="134">
        <f>$K$1102+$I$1091+$G$1056+$E$985+$C$1054+$A$1009+$M$1117+$O$1129+Q1135</f>
        <v>18256.781708108108</v>
      </c>
      <c r="X1133" s="133">
        <f>u_Healthy</f>
        <v>0</v>
      </c>
      <c r="Y1133" s="133"/>
      <c r="Z1133" s="134">
        <f t="shared" si="116"/>
        <v>362.52940644615558</v>
      </c>
      <c r="AA1133" s="6">
        <f t="shared" si="115"/>
        <v>0</v>
      </c>
    </row>
    <row r="1134" spans="1:27" x14ac:dyDescent="0.3">
      <c r="A1134" s="41"/>
      <c r="B1134" s="41"/>
      <c r="C1134" s="41"/>
      <c r="D1134" s="41"/>
      <c r="E1134" s="41"/>
      <c r="F1134" s="41"/>
      <c r="G1134" s="64"/>
      <c r="H1134" s="64"/>
      <c r="I1134" s="64"/>
      <c r="J1134" s="64"/>
      <c r="K1134" s="64"/>
      <c r="L1134" s="64"/>
      <c r="M1134" s="65"/>
      <c r="N1134" s="44"/>
      <c r="O1134" s="64"/>
      <c r="P1134" s="64"/>
      <c r="Q1134" s="56">
        <f>1-Q1131-Q1128-Q1125</f>
        <v>0.9669144234632383</v>
      </c>
      <c r="R1134" s="56"/>
      <c r="S1134" s="129"/>
      <c r="T1134" s="105"/>
      <c r="U1134" s="133"/>
      <c r="V1134" s="135"/>
      <c r="W1134" s="133"/>
      <c r="X1134" s="133"/>
      <c r="Y1134" s="133"/>
      <c r="Z1134" s="134">
        <f t="shared" si="116"/>
        <v>0</v>
      </c>
      <c r="AA1134" s="6">
        <f t="shared" si="115"/>
        <v>0</v>
      </c>
    </row>
    <row r="1135" spans="1:27" x14ac:dyDescent="0.3">
      <c r="A1135" s="41"/>
      <c r="B1135" s="41"/>
      <c r="C1135" s="41"/>
      <c r="D1135" s="41"/>
      <c r="E1135" s="41"/>
      <c r="F1135" s="41"/>
      <c r="G1135" s="64"/>
      <c r="H1135" s="64"/>
      <c r="I1135" s="64"/>
      <c r="J1135" s="64"/>
      <c r="K1135" s="64"/>
      <c r="L1135" s="64"/>
      <c r="M1135" s="65"/>
      <c r="N1135" s="64"/>
      <c r="O1135" s="64"/>
      <c r="P1135" s="64"/>
      <c r="Q1135" s="57">
        <f>c_clinic_fu+c_CSG</f>
        <v>14403</v>
      </c>
      <c r="R1135" s="57"/>
      <c r="T1135" s="105"/>
      <c r="U1135" s="133"/>
      <c r="V1135" s="135"/>
      <c r="W1135" s="133"/>
      <c r="X1135" s="133"/>
      <c r="Y1135" s="133"/>
      <c r="Z1135" s="134">
        <f t="shared" si="116"/>
        <v>0</v>
      </c>
      <c r="AA1135" s="6">
        <f t="shared" si="115"/>
        <v>0</v>
      </c>
    </row>
    <row r="1136" spans="1:27" x14ac:dyDescent="0.3">
      <c r="A1136" s="41"/>
      <c r="B1136" s="41"/>
      <c r="C1136" s="41"/>
      <c r="D1136" s="41"/>
      <c r="E1136" s="41"/>
      <c r="F1136" s="41"/>
      <c r="G1136" s="64"/>
      <c r="H1136" s="64"/>
      <c r="I1136" s="64"/>
      <c r="J1136" s="64"/>
      <c r="K1136" s="64"/>
      <c r="L1136" s="64"/>
      <c r="M1136" s="65"/>
      <c r="N1136" s="64"/>
      <c r="O1136" s="64"/>
      <c r="P1136" s="64"/>
      <c r="Q1136" s="65"/>
      <c r="R1136" s="65"/>
      <c r="T1136" s="105"/>
      <c r="U1136" s="133"/>
      <c r="V1136" s="135"/>
      <c r="W1136" s="133"/>
      <c r="X1136" s="133"/>
      <c r="Y1136" s="133"/>
      <c r="Z1136" s="134">
        <f t="shared" si="116"/>
        <v>0</v>
      </c>
      <c r="AA1136" s="6">
        <f t="shared" si="115"/>
        <v>0</v>
      </c>
    </row>
    <row r="1137" spans="1:27" x14ac:dyDescent="0.3">
      <c r="A1137" s="41"/>
      <c r="B1137" s="41"/>
      <c r="C1137" s="41"/>
      <c r="D1137" s="41"/>
      <c r="E1137" s="41"/>
      <c r="F1137" s="41"/>
      <c r="G1137" s="64"/>
      <c r="H1137" s="64"/>
      <c r="I1137" s="64"/>
      <c r="J1137" s="64"/>
      <c r="K1137" s="54" t="s">
        <v>165</v>
      </c>
      <c r="L1137" s="54"/>
      <c r="M1137" s="54"/>
      <c r="N1137" s="54"/>
      <c r="O1137" s="54"/>
      <c r="P1137" s="54"/>
      <c r="Q1137" s="54"/>
      <c r="R1137" s="54"/>
      <c r="S1137" s="129"/>
      <c r="T1137" s="105"/>
      <c r="U1137" s="133">
        <f>$K$1138*$I$1146*$G$1170*$E$1207*$C$1053*$A$1008</f>
        <v>3.0954826391745775E-3</v>
      </c>
      <c r="V1137" s="135">
        <v>3.0954826391745775E-3</v>
      </c>
      <c r="W1137" s="134">
        <f>$K$1139+$I$1147+$G$1171+$E$1208+$C$1054+$A$1009</f>
        <v>200620.76559999998</v>
      </c>
      <c r="X1137" s="133">
        <f>u_Death</f>
        <v>19.181538114427529</v>
      </c>
      <c r="Y1137" s="133"/>
      <c r="Z1137" s="134">
        <f t="shared" si="116"/>
        <v>621.01809697271221</v>
      </c>
      <c r="AA1137" s="6">
        <f t="shared" si="115"/>
        <v>5.9376118225875872E-2</v>
      </c>
    </row>
    <row r="1138" spans="1:27" x14ac:dyDescent="0.3">
      <c r="A1138" s="41"/>
      <c r="B1138" s="41"/>
      <c r="C1138" s="41"/>
      <c r="D1138" s="41"/>
      <c r="E1138" s="41"/>
      <c r="F1138" s="41"/>
      <c r="G1138" s="64"/>
      <c r="H1138" s="64"/>
      <c r="I1138" s="64"/>
      <c r="J1138" s="64"/>
      <c r="K1138" s="56">
        <f>SGA_term_2d_3</f>
        <v>1.3200000000000002E-2</v>
      </c>
      <c r="L1138" s="64"/>
      <c r="M1138" s="64"/>
      <c r="N1138" s="64"/>
      <c r="O1138" s="64"/>
      <c r="P1138" s="64"/>
      <c r="Q1138" s="64"/>
      <c r="R1138" s="64"/>
      <c r="S1138" s="129"/>
      <c r="T1138" s="105"/>
      <c r="U1138" s="133"/>
      <c r="V1138" s="133"/>
      <c r="W1138" s="133"/>
      <c r="X1138" s="133"/>
      <c r="Y1138" s="133"/>
      <c r="Z1138" s="134">
        <f t="shared" si="116"/>
        <v>0</v>
      </c>
      <c r="AA1138" s="6">
        <f t="shared" si="115"/>
        <v>0</v>
      </c>
    </row>
    <row r="1139" spans="1:27" x14ac:dyDescent="0.3">
      <c r="A1139" s="41"/>
      <c r="B1139" s="41"/>
      <c r="C1139" s="41"/>
      <c r="D1139" s="41"/>
      <c r="E1139" s="41"/>
      <c r="F1139" s="41"/>
      <c r="G1139" s="64"/>
      <c r="H1139" s="64"/>
      <c r="I1139" s="64"/>
      <c r="J1139" s="64"/>
      <c r="K1139" s="57">
        <f>c_SB</f>
        <v>1792</v>
      </c>
      <c r="L1139" s="64"/>
      <c r="M1139" s="64"/>
      <c r="N1139" s="64"/>
      <c r="O1139" s="64"/>
      <c r="P1139" s="64"/>
      <c r="Q1139" s="64"/>
      <c r="R1139" s="64"/>
      <c r="S1139" s="129"/>
      <c r="T1139" s="105"/>
      <c r="U1139" s="133"/>
      <c r="V1139" s="133"/>
      <c r="W1139" s="133"/>
      <c r="X1139" s="133"/>
      <c r="Y1139" s="133"/>
      <c r="Z1139" s="134">
        <f t="shared" si="116"/>
        <v>0</v>
      </c>
      <c r="AA1139" s="6">
        <f t="shared" si="115"/>
        <v>0</v>
      </c>
    </row>
    <row r="1140" spans="1:27" x14ac:dyDescent="0.3">
      <c r="A1140" s="41"/>
      <c r="B1140" s="41"/>
      <c r="C1140" s="41"/>
      <c r="D1140" s="41"/>
      <c r="E1140" s="41"/>
      <c r="F1140" s="41"/>
      <c r="G1140" s="53"/>
      <c r="H1140" s="53"/>
      <c r="I1140" s="53"/>
      <c r="J1140" s="53"/>
      <c r="K1140" s="53"/>
      <c r="L1140" s="53"/>
      <c r="M1140" s="53"/>
      <c r="N1140" s="53"/>
      <c r="O1140" s="53"/>
      <c r="P1140" s="53"/>
      <c r="Q1140" s="53"/>
      <c r="R1140" s="53"/>
      <c r="S1140" s="129"/>
      <c r="T1140" s="105"/>
      <c r="U1140" s="133"/>
      <c r="V1140" s="133"/>
      <c r="W1140" s="133"/>
      <c r="X1140" s="133"/>
      <c r="Y1140" s="133"/>
      <c r="Z1140" s="134">
        <f t="shared" si="116"/>
        <v>0</v>
      </c>
      <c r="AA1140" s="6">
        <f t="shared" si="115"/>
        <v>0</v>
      </c>
    </row>
    <row r="1141" spans="1:27" x14ac:dyDescent="0.3">
      <c r="A1141" s="41"/>
      <c r="B1141" s="41"/>
      <c r="C1141" s="41"/>
      <c r="D1141" s="41"/>
      <c r="E1141" s="41"/>
      <c r="F1141" s="41"/>
      <c r="G1141" s="53"/>
      <c r="H1141" s="53"/>
      <c r="I1141" s="53"/>
      <c r="J1141" s="53"/>
      <c r="K1141" s="53"/>
      <c r="L1141" s="53"/>
      <c r="M1141" s="53"/>
      <c r="N1141" s="53"/>
      <c r="O1141" s="53"/>
      <c r="P1141" s="53"/>
      <c r="Q1141" s="54" t="s">
        <v>368</v>
      </c>
      <c r="R1141" s="54"/>
      <c r="S1141" s="129"/>
      <c r="T1141" s="105"/>
      <c r="U1141" s="133">
        <f>$K$1157*$I$1146*$G$1170*$E$1207*$C$1053*$A$1008*$M$1152*$O$1147*Q1142</f>
        <v>0</v>
      </c>
      <c r="V1141" s="133"/>
      <c r="W1141" s="134">
        <f>$K$1158+$I$1147+$G$1171+$E$1208+$C$1054+$A$1009+$M$1153+$O$1148+Q1143</f>
        <v>286890.14705060562</v>
      </c>
      <c r="X1141" s="133">
        <f>u_ChronicResp</f>
        <v>0.53465956747782661</v>
      </c>
      <c r="Y1141" s="133"/>
      <c r="Z1141" s="134">
        <f t="shared" si="116"/>
        <v>0</v>
      </c>
      <c r="AA1141" s="6">
        <f t="shared" si="115"/>
        <v>0</v>
      </c>
    </row>
    <row r="1142" spans="1:27" x14ac:dyDescent="0.3">
      <c r="A1142" s="41"/>
      <c r="B1142" s="41"/>
      <c r="C1142" s="41"/>
      <c r="D1142" s="41"/>
      <c r="E1142" s="41"/>
      <c r="F1142" s="41"/>
      <c r="G1142" s="53"/>
      <c r="H1142" s="53"/>
      <c r="I1142" s="53"/>
      <c r="J1142" s="53"/>
      <c r="K1142" s="53"/>
      <c r="L1142" s="53"/>
      <c r="M1142" s="53"/>
      <c r="N1142" s="53"/>
      <c r="O1142" s="64"/>
      <c r="P1142" s="64"/>
      <c r="Q1142" s="56">
        <f>RDS2CLD_3-(Hypo2CI_3*RDS2CLD_3)</f>
        <v>0.34246866666666664</v>
      </c>
      <c r="R1142" s="56"/>
      <c r="S1142" s="129"/>
      <c r="T1142" s="105"/>
      <c r="U1142" s="133"/>
      <c r="V1142" s="135">
        <v>0</v>
      </c>
      <c r="W1142" s="133"/>
      <c r="X1142" s="133"/>
      <c r="Y1142" s="133"/>
      <c r="Z1142" s="134">
        <f t="shared" si="116"/>
        <v>0</v>
      </c>
      <c r="AA1142" s="6">
        <f t="shared" si="115"/>
        <v>0</v>
      </c>
    </row>
    <row r="1143" spans="1:27" x14ac:dyDescent="0.3">
      <c r="A1143" s="41"/>
      <c r="B1143" s="41"/>
      <c r="C1143" s="41"/>
      <c r="D1143" s="41"/>
      <c r="E1143" s="41"/>
      <c r="F1143" s="41"/>
      <c r="G1143" s="53"/>
      <c r="H1143" s="53"/>
      <c r="I1143" s="53"/>
      <c r="J1143" s="53"/>
      <c r="K1143" s="53"/>
      <c r="L1143" s="53"/>
      <c r="M1143" s="53"/>
      <c r="N1143" s="53"/>
      <c r="O1143" s="64"/>
      <c r="P1143" s="64"/>
      <c r="Q1143" s="57">
        <f>c_lung+c_hosp_fu+c_CSG</f>
        <v>54529.510902399998</v>
      </c>
      <c r="R1143" s="57"/>
      <c r="S1143" s="129"/>
      <c r="T1143" s="105"/>
      <c r="U1143" s="133"/>
      <c r="V1143" s="133"/>
      <c r="W1143" s="133"/>
      <c r="X1143" s="133"/>
      <c r="Y1143" s="133"/>
      <c r="Z1143" s="134">
        <f t="shared" si="116"/>
        <v>0</v>
      </c>
      <c r="AA1143" s="6">
        <f t="shared" si="115"/>
        <v>0</v>
      </c>
    </row>
    <row r="1144" spans="1:27" x14ac:dyDescent="0.3">
      <c r="A1144" s="10"/>
      <c r="B1144" s="10"/>
      <c r="C1144" s="10"/>
      <c r="D1144" s="10"/>
      <c r="E1144" s="10"/>
      <c r="F1144" s="41"/>
      <c r="G1144" s="53"/>
      <c r="H1144" s="53"/>
      <c r="I1144" s="53"/>
      <c r="J1144" s="53"/>
      <c r="K1144" s="53"/>
      <c r="L1144" s="53"/>
      <c r="M1144" s="53"/>
      <c r="N1144" s="53"/>
      <c r="O1144" s="64"/>
      <c r="P1144" s="64"/>
      <c r="Q1144" s="54" t="s">
        <v>226</v>
      </c>
      <c r="R1144" s="54"/>
      <c r="S1144" s="129"/>
      <c r="T1144" s="105"/>
      <c r="U1144" s="133">
        <f>$K$1157*$I$1146*$G$1170*$E$1207*$C$1053*$A$1008*$M$1152*$O$1147*Q1145</f>
        <v>0</v>
      </c>
      <c r="V1144" s="133"/>
      <c r="W1144" s="134">
        <f>$K$1158+$I$1147+$G$1171+$E$1208+$C$1054+$A$1009+$M$1153+$O$1148+Q1146</f>
        <v>248126.63614820561</v>
      </c>
      <c r="X1144" s="133">
        <f>u_CongnitiveImpairement</f>
        <v>17.270393127285455</v>
      </c>
      <c r="Y1144" s="133"/>
      <c r="Z1144" s="134">
        <f t="shared" si="116"/>
        <v>0</v>
      </c>
      <c r="AA1144" s="6">
        <f t="shared" si="115"/>
        <v>0</v>
      </c>
    </row>
    <row r="1145" spans="1:27" x14ac:dyDescent="0.3">
      <c r="A1145" s="10"/>
      <c r="B1145" s="10"/>
      <c r="C1145" s="10"/>
      <c r="D1145" s="10"/>
      <c r="E1145" s="10"/>
      <c r="F1145" s="41"/>
      <c r="G1145" s="64"/>
      <c r="H1145" s="64"/>
      <c r="I1145" s="54" t="s">
        <v>164</v>
      </c>
      <c r="J1145" s="64"/>
      <c r="K1145" s="64"/>
      <c r="L1145" s="64"/>
      <c r="M1145" s="64"/>
      <c r="N1145" s="64"/>
      <c r="O1145" s="64"/>
      <c r="P1145" s="64"/>
      <c r="Q1145" s="56">
        <f>Hypo2CI_3-(Hypo2CI_3*RDS2CLD_3)</f>
        <v>3.2801999999999998E-2</v>
      </c>
      <c r="R1145" s="56"/>
      <c r="S1145" s="129"/>
      <c r="T1145" s="105"/>
      <c r="U1145" s="133"/>
      <c r="V1145" s="135">
        <v>0</v>
      </c>
      <c r="W1145" s="133"/>
      <c r="X1145" s="133"/>
      <c r="Y1145" s="133"/>
      <c r="Z1145" s="134">
        <f t="shared" si="116"/>
        <v>0</v>
      </c>
      <c r="AA1145" s="6">
        <f t="shared" si="115"/>
        <v>0</v>
      </c>
    </row>
    <row r="1146" spans="1:27" x14ac:dyDescent="0.3">
      <c r="A1146" s="10"/>
      <c r="B1146" s="10"/>
      <c r="C1146" s="10"/>
      <c r="D1146" s="10"/>
      <c r="E1146" s="10"/>
      <c r="F1146" s="41"/>
      <c r="G1146" s="64"/>
      <c r="H1146" s="64"/>
      <c r="I1146" s="56">
        <f>LBW_term_2SGA_3</f>
        <v>1</v>
      </c>
      <c r="J1146" s="64"/>
      <c r="K1146" s="64"/>
      <c r="L1146" s="64"/>
      <c r="M1146" s="64"/>
      <c r="N1146" s="64"/>
      <c r="O1146" s="54" t="s">
        <v>161</v>
      </c>
      <c r="P1146" s="64"/>
      <c r="Q1146" s="57">
        <f>c_cog+c_hosp_fu+c_CSG</f>
        <v>15766</v>
      </c>
      <c r="R1146" s="57"/>
      <c r="S1146" s="129"/>
      <c r="T1146" s="105"/>
      <c r="U1146" s="133"/>
      <c r="V1146" s="133"/>
      <c r="W1146" s="133"/>
      <c r="X1146" s="133"/>
      <c r="Y1146" s="133"/>
      <c r="Z1146" s="134">
        <f t="shared" si="116"/>
        <v>0</v>
      </c>
      <c r="AA1146" s="6">
        <f t="shared" si="115"/>
        <v>0</v>
      </c>
    </row>
    <row r="1147" spans="1:27" x14ac:dyDescent="0.3">
      <c r="A1147" s="10"/>
      <c r="B1147" s="10"/>
      <c r="C1147" s="10"/>
      <c r="D1147" s="10"/>
      <c r="E1147" s="10"/>
      <c r="F1147" s="41"/>
      <c r="G1147" s="64"/>
      <c r="H1147" s="64"/>
      <c r="I1147" s="57"/>
      <c r="J1147" s="64"/>
      <c r="K1147" s="64"/>
      <c r="L1147" s="64"/>
      <c r="M1147" s="64"/>
      <c r="N1147" s="64"/>
      <c r="O1147" s="56">
        <f>SGA_term_2hypoglycaemia_3</f>
        <v>0.26</v>
      </c>
      <c r="P1147" s="64"/>
      <c r="Q1147" s="54" t="s">
        <v>369</v>
      </c>
      <c r="R1147" s="54"/>
      <c r="S1147" s="129"/>
      <c r="T1147" s="105"/>
      <c r="U1147" s="133">
        <f>$K$1157*$I$1146*$G$1170*$E$1207*$C$1053*$A$1008*$M$1152*$O$1147*Q1148</f>
        <v>0</v>
      </c>
      <c r="V1147" s="133"/>
      <c r="W1147" s="134">
        <f>$K$1158+$I$1147+$G$1171+$E$1208+$C$1054+$A$1009+$M$1153+$O$1148+Q1149</f>
        <v>290709.14705060562</v>
      </c>
      <c r="X1147" s="133">
        <f>u_ChronicResp+u_CongnitiveImpairement</f>
        <v>17.805052694763283</v>
      </c>
      <c r="Y1147" s="133"/>
      <c r="Z1147" s="134">
        <f t="shared" si="116"/>
        <v>0</v>
      </c>
      <c r="AA1147" s="6">
        <f t="shared" si="115"/>
        <v>0</v>
      </c>
    </row>
    <row r="1148" spans="1:27" x14ac:dyDescent="0.3">
      <c r="A1148" s="10"/>
      <c r="B1148" s="10"/>
      <c r="C1148" s="10"/>
      <c r="D1148" s="10"/>
      <c r="E1148" s="10"/>
      <c r="F1148" s="41"/>
      <c r="G1148" s="64"/>
      <c r="H1148" s="64"/>
      <c r="I1148" s="64"/>
      <c r="J1148" s="64"/>
      <c r="K1148" s="64"/>
      <c r="L1148" s="64"/>
      <c r="M1148" s="64"/>
      <c r="N1148" s="64"/>
      <c r="O1148" s="57">
        <f>c_hypo</f>
        <v>2936.2604000000001</v>
      </c>
      <c r="P1148" s="64"/>
      <c r="Q1148" s="56">
        <f>Hypo2CI_3*RDS2CLD_3</f>
        <v>1.8531333333333334E-2</v>
      </c>
      <c r="R1148" s="56"/>
      <c r="S1148" s="129"/>
      <c r="T1148" s="105"/>
      <c r="U1148" s="133"/>
      <c r="V1148" s="135">
        <v>0</v>
      </c>
      <c r="W1148" s="133"/>
      <c r="X1148" s="133"/>
      <c r="Y1148" s="133"/>
      <c r="Z1148" s="134">
        <f t="shared" si="116"/>
        <v>0</v>
      </c>
      <c r="AA1148" s="6">
        <f t="shared" si="115"/>
        <v>0</v>
      </c>
    </row>
    <row r="1149" spans="1:27" x14ac:dyDescent="0.3">
      <c r="A1149" s="10"/>
      <c r="B1149" s="10"/>
      <c r="C1149" s="10"/>
      <c r="D1149" s="10"/>
      <c r="E1149" s="10"/>
      <c r="F1149" s="41"/>
      <c r="G1149" s="64"/>
      <c r="H1149" s="64"/>
      <c r="I1149" s="64"/>
      <c r="J1149" s="64"/>
      <c r="K1149" s="64"/>
      <c r="L1149" s="64"/>
      <c r="M1149" s="65"/>
      <c r="N1149" s="64"/>
      <c r="O1149" s="53"/>
      <c r="P1149" s="64"/>
      <c r="Q1149" s="57">
        <f>c_lung+c_cog+c_hosp_fu+c_CSG</f>
        <v>58348.510902399998</v>
      </c>
      <c r="R1149" s="57"/>
      <c r="S1149" s="129"/>
      <c r="T1149" s="105"/>
      <c r="U1149" s="133"/>
      <c r="V1149" s="133"/>
      <c r="W1149" s="133"/>
      <c r="X1149" s="133"/>
      <c r="Y1149" s="133"/>
      <c r="Z1149" s="134">
        <f t="shared" si="116"/>
        <v>0</v>
      </c>
      <c r="AA1149" s="6">
        <f t="shared" si="115"/>
        <v>0</v>
      </c>
    </row>
    <row r="1150" spans="1:27" x14ac:dyDescent="0.3">
      <c r="A1150" s="10"/>
      <c r="B1150" s="10"/>
      <c r="C1150" s="10"/>
      <c r="D1150" s="10"/>
      <c r="E1150" s="10"/>
      <c r="F1150" s="41"/>
      <c r="G1150" s="64"/>
      <c r="H1150" s="64"/>
      <c r="I1150" s="64"/>
      <c r="J1150" s="64"/>
      <c r="K1150" s="64"/>
      <c r="L1150" s="64"/>
      <c r="M1150" s="64"/>
      <c r="N1150" s="64"/>
      <c r="O1150" s="64"/>
      <c r="P1150" s="64"/>
      <c r="Q1150" s="54" t="s">
        <v>370</v>
      </c>
      <c r="R1150" s="54"/>
      <c r="S1150" s="129"/>
      <c r="T1150" s="105"/>
      <c r="U1150" s="133">
        <f>$K$1157*$I$1146*$G$1170*$E$1207*$C$1053*$A$1008*$M$1152*$O$1147*Q1151</f>
        <v>0</v>
      </c>
      <c r="V1150" s="133"/>
      <c r="W1150" s="134">
        <f>$K$1158+$I$1147+$G$1171+$E$1208+$C$1054+$A$1009+$M$1153+$O$1148+Q1152</f>
        <v>246763.63614820561</v>
      </c>
      <c r="X1150" s="133">
        <f>u_Healthy</f>
        <v>0</v>
      </c>
      <c r="Y1150" s="133"/>
      <c r="Z1150" s="134">
        <f t="shared" si="116"/>
        <v>0</v>
      </c>
      <c r="AA1150" s="6">
        <f t="shared" si="115"/>
        <v>0</v>
      </c>
    </row>
    <row r="1151" spans="1:27" x14ac:dyDescent="0.3">
      <c r="A1151" s="10"/>
      <c r="B1151" s="10"/>
      <c r="C1151" s="10"/>
      <c r="D1151" s="10"/>
      <c r="E1151" s="10"/>
      <c r="F1151" s="41"/>
      <c r="G1151" s="64"/>
      <c r="H1151" s="64"/>
      <c r="I1151" s="64"/>
      <c r="J1151" s="64"/>
      <c r="K1151" s="64"/>
      <c r="L1151" s="64"/>
      <c r="M1151" s="54" t="s">
        <v>9</v>
      </c>
      <c r="N1151" s="64"/>
      <c r="O1151" s="64"/>
      <c r="P1151" s="64"/>
      <c r="Q1151" s="56">
        <f>1-Q1142-Q1145-Q1148</f>
        <v>0.60619800000000001</v>
      </c>
      <c r="R1151" s="56"/>
      <c r="S1151" s="129"/>
      <c r="T1151" s="105"/>
      <c r="U1151" s="133"/>
      <c r="V1151" s="135">
        <v>0</v>
      </c>
      <c r="W1151" s="133"/>
      <c r="X1151" s="133"/>
      <c r="Y1151" s="133"/>
      <c r="Z1151" s="134">
        <f t="shared" si="116"/>
        <v>0</v>
      </c>
      <c r="AA1151" s="6">
        <f t="shared" si="115"/>
        <v>0</v>
      </c>
    </row>
    <row r="1152" spans="1:27" x14ac:dyDescent="0.3">
      <c r="A1152" s="10"/>
      <c r="B1152" s="10"/>
      <c r="C1152" s="10"/>
      <c r="D1152" s="10"/>
      <c r="E1152" s="10"/>
      <c r="F1152" s="41"/>
      <c r="G1152" s="64"/>
      <c r="H1152" s="64"/>
      <c r="I1152" s="64"/>
      <c r="J1152" s="64"/>
      <c r="K1152" s="65"/>
      <c r="L1152" s="64"/>
      <c r="M1152" s="56">
        <f>S_term_2RDS_3</f>
        <v>0</v>
      </c>
      <c r="N1152" s="64"/>
      <c r="O1152" s="64"/>
      <c r="P1152" s="64"/>
      <c r="Q1152" s="57">
        <f>c_clinic_fu+c_CSG</f>
        <v>14403</v>
      </c>
      <c r="R1152" s="57"/>
      <c r="S1152" s="129"/>
      <c r="T1152" s="105"/>
      <c r="U1152" s="133"/>
      <c r="V1152" s="133"/>
      <c r="W1152" s="133"/>
      <c r="X1152" s="133"/>
      <c r="Y1152" s="133"/>
      <c r="Z1152" s="134">
        <f t="shared" si="116"/>
        <v>0</v>
      </c>
      <c r="AA1152" s="6">
        <f t="shared" si="115"/>
        <v>0</v>
      </c>
    </row>
    <row r="1153" spans="1:27" x14ac:dyDescent="0.3">
      <c r="A1153" s="10"/>
      <c r="B1153" s="10"/>
      <c r="C1153" s="10"/>
      <c r="D1153" s="10"/>
      <c r="E1153" s="10"/>
      <c r="F1153" s="41"/>
      <c r="G1153" s="64"/>
      <c r="H1153" s="64"/>
      <c r="I1153" s="64"/>
      <c r="J1153" s="64"/>
      <c r="K1153" s="65"/>
      <c r="L1153" s="64"/>
      <c r="M1153" s="57">
        <f>c_RDS</f>
        <v>30595.610148205637</v>
      </c>
      <c r="N1153" s="64"/>
      <c r="O1153" s="64"/>
      <c r="P1153" s="64"/>
      <c r="Q1153" s="65"/>
      <c r="R1153" s="65"/>
      <c r="S1153" s="130"/>
      <c r="T1153" s="105"/>
      <c r="U1153" s="133"/>
      <c r="V1153" s="133"/>
      <c r="W1153" s="133"/>
      <c r="X1153" s="133"/>
      <c r="Y1153" s="133"/>
      <c r="Z1153" s="134">
        <f t="shared" si="116"/>
        <v>0</v>
      </c>
      <c r="AA1153" s="6">
        <f t="shared" si="115"/>
        <v>0</v>
      </c>
    </row>
    <row r="1154" spans="1:27" x14ac:dyDescent="0.3">
      <c r="A1154" s="10"/>
      <c r="B1154" s="10"/>
      <c r="C1154" s="10"/>
      <c r="D1154" s="10"/>
      <c r="E1154" s="10"/>
      <c r="F1154" s="41"/>
      <c r="G1154" s="64"/>
      <c r="H1154" s="64"/>
      <c r="I1154" s="64"/>
      <c r="J1154" s="64"/>
      <c r="K1154" s="64"/>
      <c r="L1154" s="64"/>
      <c r="M1154" s="64"/>
      <c r="N1154" s="64"/>
      <c r="O1154" s="64"/>
      <c r="P1154" s="64"/>
      <c r="Q1154" s="54" t="s">
        <v>368</v>
      </c>
      <c r="R1154" s="54"/>
      <c r="S1154" s="129"/>
      <c r="T1154" s="105"/>
      <c r="U1154" s="133">
        <f>$K$1157*$I$1146*$G$1170*$E$1207*$C$1053*$A$1008*$M$1152*$O$1157*Q1155</f>
        <v>0</v>
      </c>
      <c r="V1154" s="133"/>
      <c r="W1154" s="134">
        <f>$K$1158+$I$1147+$G$1171+$E$1208+$C$1054+$A$1009+$M$1153+$O$1158+Q1156</f>
        <v>283953.88665060559</v>
      </c>
      <c r="X1154" s="133">
        <f>u_ChronicResp</f>
        <v>0.53465956747782661</v>
      </c>
      <c r="Y1154" s="133"/>
      <c r="Z1154" s="134">
        <f t="shared" si="116"/>
        <v>0</v>
      </c>
      <c r="AA1154" s="6">
        <f t="shared" si="115"/>
        <v>0</v>
      </c>
    </row>
    <row r="1155" spans="1:27" x14ac:dyDescent="0.3">
      <c r="A1155" s="10"/>
      <c r="B1155" s="10"/>
      <c r="C1155" s="10"/>
      <c r="D1155" s="10"/>
      <c r="E1155" s="10"/>
      <c r="F1155" s="41"/>
      <c r="G1155" s="64"/>
      <c r="H1155" s="64"/>
      <c r="I1155" s="64"/>
      <c r="J1155" s="64"/>
      <c r="K1155" s="64"/>
      <c r="L1155" s="64"/>
      <c r="M1155" s="64"/>
      <c r="N1155" s="64"/>
      <c r="O1155" s="64"/>
      <c r="P1155" s="64"/>
      <c r="Q1155" s="56">
        <f>RDS2CLD_3-(RDS2CLD_3*noHypo2CI_3)</f>
        <v>0.34905610687022898</v>
      </c>
      <c r="R1155" s="56"/>
      <c r="S1155" s="129"/>
      <c r="T1155" s="105"/>
      <c r="U1155" s="133"/>
      <c r="V1155" s="135">
        <v>0</v>
      </c>
      <c r="W1155" s="133"/>
      <c r="X1155" s="133"/>
      <c r="Y1155" s="133"/>
      <c r="Z1155" s="134">
        <f t="shared" si="116"/>
        <v>0</v>
      </c>
      <c r="AA1155" s="6">
        <f t="shared" si="115"/>
        <v>0</v>
      </c>
    </row>
    <row r="1156" spans="1:27" x14ac:dyDescent="0.3">
      <c r="A1156" s="10"/>
      <c r="B1156" s="10"/>
      <c r="C1156" s="10"/>
      <c r="D1156" s="10"/>
      <c r="E1156" s="10"/>
      <c r="F1156" s="41"/>
      <c r="G1156" s="64"/>
      <c r="H1156" s="64"/>
      <c r="I1156" s="64"/>
      <c r="J1156" s="64"/>
      <c r="K1156" s="54" t="s">
        <v>37</v>
      </c>
      <c r="L1156" s="64"/>
      <c r="M1156" s="65"/>
      <c r="N1156" s="64"/>
      <c r="O1156" s="54" t="s">
        <v>371</v>
      </c>
      <c r="P1156" s="64"/>
      <c r="Q1156" s="57">
        <f>c_lung+c_hosp_fu+c_CSG</f>
        <v>54529.510902399998</v>
      </c>
      <c r="R1156" s="57"/>
      <c r="S1156" s="129"/>
      <c r="T1156" s="105"/>
      <c r="U1156" s="133"/>
      <c r="V1156" s="133"/>
      <c r="W1156" s="133"/>
      <c r="X1156" s="133"/>
      <c r="Y1156" s="133"/>
      <c r="Z1156" s="134">
        <f t="shared" si="116"/>
        <v>0</v>
      </c>
      <c r="AA1156" s="6">
        <f t="shared" si="115"/>
        <v>0</v>
      </c>
    </row>
    <row r="1157" spans="1:27" x14ac:dyDescent="0.3">
      <c r="A1157" s="10"/>
      <c r="B1157" s="10"/>
      <c r="C1157" s="10"/>
      <c r="D1157" s="10"/>
      <c r="E1157" s="10"/>
      <c r="F1157" s="41"/>
      <c r="G1157" s="64"/>
      <c r="H1157" s="64"/>
      <c r="I1157" s="64"/>
      <c r="J1157" s="64"/>
      <c r="K1157" s="56">
        <f>SGA_term_2s_3</f>
        <v>0.98680000000000001</v>
      </c>
      <c r="L1157" s="64"/>
      <c r="M1157" s="64"/>
      <c r="N1157" s="64"/>
      <c r="O1157" s="56">
        <f>SGA_term_2normoglycaemia_3</f>
        <v>0.74</v>
      </c>
      <c r="P1157" s="64"/>
      <c r="Q1157" s="54" t="s">
        <v>226</v>
      </c>
      <c r="R1157" s="54"/>
      <c r="S1157" s="129"/>
      <c r="T1157" s="105"/>
      <c r="U1157" s="133">
        <f>$K$1157*$I$1146*$G$1170*$E$1207*$C$1053*$A$1008*$M$1152*$O$1157*Q1158</f>
        <v>0</v>
      </c>
      <c r="V1157" s="133"/>
      <c r="W1157" s="134">
        <f>$K$1158+$I$1147+$G$1171+$E$1208+$C$1054+$A$1009+$M$1153+$O$1158+Q1159</f>
        <v>245190.37574820561</v>
      </c>
      <c r="X1157" s="133">
        <f>u_CongnitiveImpairement</f>
        <v>17.270393127285455</v>
      </c>
      <c r="Y1157" s="133"/>
      <c r="Z1157" s="134">
        <f t="shared" si="116"/>
        <v>0</v>
      </c>
      <c r="AA1157" s="6">
        <f t="shared" si="115"/>
        <v>0</v>
      </c>
    </row>
    <row r="1158" spans="1:27" x14ac:dyDescent="0.3">
      <c r="A1158" s="10"/>
      <c r="B1158" s="10"/>
      <c r="C1158" s="10"/>
      <c r="D1158" s="10"/>
      <c r="E1158" s="10"/>
      <c r="F1158" s="41"/>
      <c r="G1158" s="41"/>
      <c r="H1158" s="64"/>
      <c r="I1158" s="64"/>
      <c r="J1158" s="64"/>
      <c r="K1158" s="57"/>
      <c r="L1158" s="64"/>
      <c r="M1158" s="64"/>
      <c r="N1158" s="64"/>
      <c r="O1158" s="57"/>
      <c r="P1158" s="64"/>
      <c r="Q1158" s="56">
        <f>noHypo2CI_3-(RDS2CLD_3*noHypo2CI_3)</f>
        <v>2.1141683406990762E-2</v>
      </c>
      <c r="R1158" s="56"/>
      <c r="S1158" s="129"/>
      <c r="T1158" s="105"/>
      <c r="U1158" s="133"/>
      <c r="V1158" s="135">
        <v>0</v>
      </c>
      <c r="W1158" s="133"/>
      <c r="X1158" s="133"/>
      <c r="Y1158" s="133"/>
      <c r="Z1158" s="134">
        <f t="shared" si="116"/>
        <v>0</v>
      </c>
      <c r="AA1158" s="6">
        <f t="shared" si="115"/>
        <v>0</v>
      </c>
    </row>
    <row r="1159" spans="1:27" x14ac:dyDescent="0.3">
      <c r="A1159" s="10"/>
      <c r="B1159" s="10"/>
      <c r="C1159" s="10"/>
      <c r="D1159" s="10"/>
      <c r="E1159" s="10"/>
      <c r="F1159" s="41"/>
      <c r="G1159" s="41"/>
      <c r="H1159" s="64"/>
      <c r="I1159" s="64"/>
      <c r="J1159" s="64"/>
      <c r="K1159" s="64"/>
      <c r="L1159" s="64"/>
      <c r="M1159" s="64"/>
      <c r="N1159" s="64"/>
      <c r="O1159" s="53"/>
      <c r="P1159" s="64"/>
      <c r="Q1159" s="57">
        <f>c_cog+c_hosp_fu+c_CSG</f>
        <v>15766</v>
      </c>
      <c r="R1159" s="57"/>
      <c r="S1159" s="129"/>
      <c r="T1159" s="105"/>
      <c r="U1159" s="133"/>
      <c r="V1159" s="133"/>
      <c r="W1159" s="133"/>
      <c r="X1159" s="133"/>
      <c r="Y1159" s="133"/>
      <c r="Z1159" s="134">
        <f t="shared" si="116"/>
        <v>0</v>
      </c>
      <c r="AA1159" s="6">
        <f t="shared" si="115"/>
        <v>0</v>
      </c>
    </row>
    <row r="1160" spans="1:27" x14ac:dyDescent="0.3">
      <c r="A1160" s="10"/>
      <c r="B1160" s="10"/>
      <c r="C1160" s="10"/>
      <c r="D1160" s="10"/>
      <c r="E1160" s="10"/>
      <c r="F1160" s="41"/>
      <c r="G1160" s="41"/>
      <c r="H1160" s="64"/>
      <c r="I1160" s="64"/>
      <c r="J1160" s="64"/>
      <c r="K1160" s="64"/>
      <c r="L1160" s="64"/>
      <c r="M1160" s="64"/>
      <c r="N1160" s="64"/>
      <c r="O1160" s="53"/>
      <c r="P1160" s="64"/>
      <c r="Q1160" s="54" t="s">
        <v>369</v>
      </c>
      <c r="R1160" s="54"/>
      <c r="S1160" s="129"/>
      <c r="T1160" s="105"/>
      <c r="U1160" s="133">
        <f>$K$1157*$I$1146*$G$1170*$E$1207*$C$1053*$A$1008*$M$1152*$O$1157*Q1161</f>
        <v>0</v>
      </c>
      <c r="V1160" s="133"/>
      <c r="W1160" s="134">
        <f>$K$1158+$I$1147+$G$1171+$E$1208+$C$1054+$A$1009+$M$1153+$O$1158+Q1162</f>
        <v>287772.88665060559</v>
      </c>
      <c r="X1160" s="133">
        <f>u_ChronicResp+u_CongnitiveImpairement</f>
        <v>17.805052694763283</v>
      </c>
      <c r="Y1160" s="133"/>
      <c r="Z1160" s="134">
        <f t="shared" si="116"/>
        <v>0</v>
      </c>
      <c r="AA1160" s="6">
        <f t="shared" si="115"/>
        <v>0</v>
      </c>
    </row>
    <row r="1161" spans="1:27" x14ac:dyDescent="0.3">
      <c r="A1161" s="10"/>
      <c r="B1161" s="10"/>
      <c r="C1161" s="10"/>
      <c r="D1161" s="10"/>
      <c r="E1161" s="10"/>
      <c r="F1161" s="41"/>
      <c r="G1161" s="65"/>
      <c r="H1161" s="64"/>
      <c r="I1161" s="64"/>
      <c r="J1161" s="64"/>
      <c r="K1161" s="64"/>
      <c r="L1161" s="64"/>
      <c r="M1161" s="64"/>
      <c r="N1161" s="64"/>
      <c r="O1161" s="53"/>
      <c r="P1161" s="64"/>
      <c r="Q1161" s="56">
        <f>RDS2CLD_3*noHypo2CI_3</f>
        <v>1.1943893129770991E-2</v>
      </c>
      <c r="R1161" s="56"/>
      <c r="S1161" s="129"/>
      <c r="T1161" s="105"/>
      <c r="U1161" s="133"/>
      <c r="V1161" s="135">
        <v>0</v>
      </c>
      <c r="W1161" s="133"/>
      <c r="X1161" s="133"/>
      <c r="Y1161" s="133"/>
      <c r="Z1161" s="134">
        <f t="shared" si="116"/>
        <v>0</v>
      </c>
      <c r="AA1161" s="6">
        <f t="shared" si="115"/>
        <v>0</v>
      </c>
    </row>
    <row r="1162" spans="1:27" x14ac:dyDescent="0.3">
      <c r="A1162" s="10"/>
      <c r="B1162" s="10"/>
      <c r="C1162" s="10"/>
      <c r="D1162" s="10"/>
      <c r="E1162" s="10"/>
      <c r="F1162" s="41"/>
      <c r="G1162" s="65"/>
      <c r="H1162" s="64"/>
      <c r="I1162" s="64"/>
      <c r="J1162" s="64"/>
      <c r="K1162" s="64"/>
      <c r="L1162" s="64"/>
      <c r="M1162" s="64"/>
      <c r="N1162" s="64"/>
      <c r="O1162" s="53"/>
      <c r="P1162" s="64"/>
      <c r="Q1162" s="57">
        <f>c_cog+c_lung+c_hosp_fu+c_CSG</f>
        <v>58348.510902399998</v>
      </c>
      <c r="R1162" s="57"/>
      <c r="S1162" s="129"/>
      <c r="T1162" s="105"/>
      <c r="U1162" s="133"/>
      <c r="V1162" s="135"/>
      <c r="W1162" s="133"/>
      <c r="X1162" s="133"/>
      <c r="Y1162" s="133"/>
      <c r="Z1162" s="134">
        <f t="shared" si="116"/>
        <v>0</v>
      </c>
      <c r="AA1162" s="6">
        <f t="shared" si="115"/>
        <v>0</v>
      </c>
    </row>
    <row r="1163" spans="1:27" x14ac:dyDescent="0.3">
      <c r="A1163" s="10"/>
      <c r="B1163" s="10"/>
      <c r="C1163" s="10"/>
      <c r="D1163" s="10"/>
      <c r="E1163" s="10"/>
      <c r="F1163" s="41"/>
      <c r="G1163" s="64"/>
      <c r="H1163" s="64"/>
      <c r="I1163" s="64"/>
      <c r="J1163" s="64"/>
      <c r="K1163" s="64"/>
      <c r="L1163" s="64"/>
      <c r="M1163" s="64"/>
      <c r="N1163" s="64"/>
      <c r="O1163" s="53"/>
      <c r="P1163" s="64"/>
      <c r="Q1163" s="54" t="s">
        <v>370</v>
      </c>
      <c r="R1163" s="54"/>
      <c r="T1163" s="105"/>
      <c r="U1163" s="133">
        <f>$K$1157*$I$1146*$G$1170*$E$1207*$C$1053*$A$1008*$M$1152*$O$1157*Q1164</f>
        <v>0</v>
      </c>
      <c r="V1163" s="133"/>
      <c r="W1163" s="134">
        <f>$K$1158+$I$1147+$G$1171+$E$1208+$C$1054+$A$1009+$M$1153+$O$1158+Q1165</f>
        <v>243827.37574820561</v>
      </c>
      <c r="X1163" s="133">
        <f>u_Healthy</f>
        <v>0</v>
      </c>
      <c r="Y1163" s="133"/>
      <c r="Z1163" s="134">
        <f t="shared" si="116"/>
        <v>0</v>
      </c>
      <c r="AA1163" s="6">
        <f t="shared" si="115"/>
        <v>0</v>
      </c>
    </row>
    <row r="1164" spans="1:27" x14ac:dyDescent="0.3">
      <c r="A1164" s="10"/>
      <c r="B1164" s="10"/>
      <c r="C1164" s="10"/>
      <c r="D1164" s="10"/>
      <c r="E1164" s="10"/>
      <c r="F1164" s="41"/>
      <c r="G1164" s="64"/>
      <c r="H1164" s="64"/>
      <c r="I1164" s="64"/>
      <c r="J1164" s="64"/>
      <c r="K1164" s="64"/>
      <c r="L1164" s="64"/>
      <c r="M1164" s="64"/>
      <c r="N1164" s="64"/>
      <c r="O1164" s="53"/>
      <c r="P1164" s="64"/>
      <c r="Q1164" s="56">
        <f>1-Q1161-Q1158-Q1155</f>
        <v>0.61785831659300938</v>
      </c>
      <c r="R1164" s="56"/>
      <c r="S1164" s="129"/>
      <c r="T1164" s="105"/>
      <c r="U1164" s="133"/>
      <c r="V1164" s="135">
        <v>0</v>
      </c>
      <c r="W1164" s="133"/>
      <c r="X1164" s="133"/>
      <c r="Y1164" s="133"/>
      <c r="Z1164" s="134">
        <f t="shared" si="116"/>
        <v>0</v>
      </c>
      <c r="AA1164" s="6">
        <f t="shared" si="115"/>
        <v>0</v>
      </c>
    </row>
    <row r="1165" spans="1:27" x14ac:dyDescent="0.3">
      <c r="A1165" s="10"/>
      <c r="B1165" s="10"/>
      <c r="C1165" s="10"/>
      <c r="D1165" s="10"/>
      <c r="E1165" s="10"/>
      <c r="F1165" s="41"/>
      <c r="G1165" s="64"/>
      <c r="H1165" s="64"/>
      <c r="I1165" s="64"/>
      <c r="J1165" s="64"/>
      <c r="K1165" s="64"/>
      <c r="L1165" s="64"/>
      <c r="M1165" s="64"/>
      <c r="N1165" s="64"/>
      <c r="O1165" s="64"/>
      <c r="P1165" s="64"/>
      <c r="Q1165" s="57">
        <f>c_clinic_fu+c_CSG</f>
        <v>14403</v>
      </c>
      <c r="R1165" s="57"/>
      <c r="S1165" s="129"/>
      <c r="T1165" s="105"/>
      <c r="U1165" s="133"/>
      <c r="V1165" s="133"/>
      <c r="W1165" s="133"/>
      <c r="X1165" s="133"/>
      <c r="Y1165" s="133"/>
      <c r="Z1165" s="134">
        <f t="shared" si="116"/>
        <v>0</v>
      </c>
      <c r="AA1165" s="6">
        <f t="shared" ref="AA1165:AA1228" si="117">U1165*X1165</f>
        <v>0</v>
      </c>
    </row>
    <row r="1166" spans="1:27" x14ac:dyDescent="0.3">
      <c r="A1166" s="10"/>
      <c r="B1166" s="10"/>
      <c r="C1166" s="10"/>
      <c r="D1166" s="10"/>
      <c r="E1166" s="10"/>
      <c r="F1166" s="41"/>
      <c r="G1166" s="64"/>
      <c r="H1166" s="64"/>
      <c r="I1166" s="64"/>
      <c r="J1166" s="64"/>
      <c r="K1166" s="64"/>
      <c r="L1166" s="64"/>
      <c r="M1166" s="64"/>
      <c r="N1166" s="64"/>
      <c r="O1166" s="64"/>
      <c r="P1166" s="64"/>
      <c r="Q1166" s="65"/>
      <c r="R1166" s="65"/>
      <c r="S1166" s="129"/>
      <c r="T1166" s="105"/>
      <c r="U1166" s="133"/>
      <c r="V1166" s="133"/>
      <c r="W1166" s="133"/>
      <c r="X1166" s="133"/>
      <c r="Y1166" s="133"/>
      <c r="Z1166" s="134">
        <f t="shared" si="116"/>
        <v>0</v>
      </c>
      <c r="AA1166" s="6">
        <f t="shared" si="117"/>
        <v>0</v>
      </c>
    </row>
    <row r="1167" spans="1:27" x14ac:dyDescent="0.3">
      <c r="A1167" s="10"/>
      <c r="B1167" s="10"/>
      <c r="C1167" s="10"/>
      <c r="D1167" s="10"/>
      <c r="E1167" s="10"/>
      <c r="F1167" s="41"/>
      <c r="G1167" s="64"/>
      <c r="H1167" s="64"/>
      <c r="I1167" s="64"/>
      <c r="J1167" s="64"/>
      <c r="K1167" s="64"/>
      <c r="L1167" s="64"/>
      <c r="M1167" s="64"/>
      <c r="N1167" s="64"/>
      <c r="O1167" s="64"/>
      <c r="P1167" s="64"/>
      <c r="Q1167" s="54" t="s">
        <v>368</v>
      </c>
      <c r="R1167" s="54"/>
      <c r="S1167" s="129"/>
      <c r="T1167" s="105"/>
      <c r="U1167" s="133">
        <f>$K$1157*$I$1146*$G$1170*$E$1207*$C$1053*$A$1008*$M$1172*$O$1170*Q1168</f>
        <v>0</v>
      </c>
      <c r="V1167" s="133"/>
      <c r="W1167" s="134">
        <f>$K$1158+$I$1147+$G$1171+$E$1208+$C$1054+$A$1009+$M$1173+$O$1171+Q1169</f>
        <v>256294.53690239997</v>
      </c>
      <c r="X1167" s="133">
        <f>u_ChronicResp</f>
        <v>0.53465956747782661</v>
      </c>
      <c r="Y1167" s="133"/>
      <c r="Z1167" s="134">
        <f t="shared" ref="Z1167:Z1230" si="118">U1167*W1167</f>
        <v>0</v>
      </c>
      <c r="AA1167" s="6">
        <f t="shared" si="117"/>
        <v>0</v>
      </c>
    </row>
    <row r="1168" spans="1:27" x14ac:dyDescent="0.3">
      <c r="A1168" s="10"/>
      <c r="B1168" s="10"/>
      <c r="C1168" s="10"/>
      <c r="D1168" s="10"/>
      <c r="E1168" s="10"/>
      <c r="F1168" s="41"/>
      <c r="G1168" s="64"/>
      <c r="H1168" s="64"/>
      <c r="I1168" s="64"/>
      <c r="J1168" s="64"/>
      <c r="K1168" s="64"/>
      <c r="L1168" s="64"/>
      <c r="M1168" s="64"/>
      <c r="N1168" s="64"/>
      <c r="O1168" s="64"/>
      <c r="P1168" s="64"/>
      <c r="Q1168" s="56">
        <f>noRDS2CLD_3-(Hypo2CI_3*noRDS2CLD_3)</f>
        <v>0</v>
      </c>
      <c r="R1168" s="56"/>
      <c r="S1168" s="129"/>
      <c r="T1168" s="105"/>
      <c r="U1168" s="133"/>
      <c r="V1168" s="135">
        <v>0</v>
      </c>
      <c r="W1168" s="133"/>
      <c r="X1168" s="133"/>
      <c r="Y1168" s="133"/>
      <c r="Z1168" s="134">
        <f t="shared" si="118"/>
        <v>0</v>
      </c>
      <c r="AA1168" s="6">
        <f t="shared" si="117"/>
        <v>0</v>
      </c>
    </row>
    <row r="1169" spans="1:27" x14ac:dyDescent="0.3">
      <c r="A1169" s="10"/>
      <c r="B1169" s="10"/>
      <c r="C1169" s="10"/>
      <c r="D1169" s="10"/>
      <c r="E1169" s="10"/>
      <c r="F1169" s="41"/>
      <c r="G1169" s="54" t="s">
        <v>8</v>
      </c>
      <c r="H1169" s="64"/>
      <c r="I1169" s="64"/>
      <c r="J1169" s="64"/>
      <c r="K1169" s="64"/>
      <c r="L1169" s="64"/>
      <c r="M1169" s="64"/>
      <c r="N1169" s="64"/>
      <c r="O1169" s="54" t="s">
        <v>161</v>
      </c>
      <c r="P1169" s="64"/>
      <c r="Q1169" s="57">
        <f>c_lung+c_hosp_fu+c_CSG</f>
        <v>54529.510902399998</v>
      </c>
      <c r="R1169" s="57"/>
      <c r="S1169" s="129"/>
      <c r="T1169" s="105"/>
      <c r="U1169" s="133"/>
      <c r="V1169" s="133"/>
      <c r="W1169" s="133"/>
      <c r="X1169" s="133"/>
      <c r="Y1169" s="133"/>
      <c r="Z1169" s="134">
        <f t="shared" si="118"/>
        <v>0</v>
      </c>
      <c r="AA1169" s="6">
        <f t="shared" si="117"/>
        <v>0</v>
      </c>
    </row>
    <row r="1170" spans="1:27" x14ac:dyDescent="0.3">
      <c r="A1170" s="10"/>
      <c r="B1170" s="10"/>
      <c r="C1170" s="10"/>
      <c r="D1170" s="10"/>
      <c r="E1170" s="10"/>
      <c r="F1170" s="41"/>
      <c r="G1170" s="56">
        <f>Term2LBW_3</f>
        <v>0.34769230769230769</v>
      </c>
      <c r="H1170" s="64"/>
      <c r="I1170" s="64"/>
      <c r="J1170" s="64"/>
      <c r="K1170" s="64"/>
      <c r="L1170" s="64"/>
      <c r="M1170" s="64"/>
      <c r="N1170" s="64"/>
      <c r="O1170" s="56">
        <f>SGA_term_2hypoglycaemia_3</f>
        <v>0.26</v>
      </c>
      <c r="P1170" s="64"/>
      <c r="Q1170" s="54" t="s">
        <v>226</v>
      </c>
      <c r="R1170" s="54"/>
      <c r="S1170" s="129"/>
      <c r="T1170" s="105"/>
      <c r="U1170" s="133">
        <f>$K$1157*$I$1146*$G$1170*$E$1207*$C$1053*$A$1008*$M$1172*$O$1170*Q1171</f>
        <v>3.0885625157634445E-3</v>
      </c>
      <c r="V1170" s="135">
        <v>3.0885625157634445E-3</v>
      </c>
      <c r="W1170" s="134">
        <f>$K$1158+$I$1147+$G$1171+$E$1208+$C$1054+$A$1009+$M$1173+$O$1171+Q1172</f>
        <v>217531.02599999998</v>
      </c>
      <c r="X1170" s="133">
        <f>u_CongnitiveImpairement</f>
        <v>17.270393127285455</v>
      </c>
      <c r="Y1170" s="133"/>
      <c r="Z1170" s="134">
        <f t="shared" si="118"/>
        <v>671.85817291916317</v>
      </c>
      <c r="AA1170" s="6">
        <f t="shared" si="117"/>
        <v>5.3340688845432471E-2</v>
      </c>
    </row>
    <row r="1171" spans="1:27" x14ac:dyDescent="0.3">
      <c r="A1171" s="10"/>
      <c r="B1171" s="10"/>
      <c r="C1171" s="10"/>
      <c r="D1171" s="10"/>
      <c r="E1171" s="10"/>
      <c r="F1171" s="41"/>
      <c r="G1171" s="57">
        <f>c_LBW</f>
        <v>198651.76559999998</v>
      </c>
      <c r="H1171" s="64"/>
      <c r="I1171" s="64"/>
      <c r="J1171" s="64"/>
      <c r="K1171" s="64"/>
      <c r="L1171" s="64"/>
      <c r="M1171" s="54" t="s">
        <v>203</v>
      </c>
      <c r="N1171" s="64"/>
      <c r="O1171" s="57">
        <f>c_hypo</f>
        <v>2936.2604000000001</v>
      </c>
      <c r="P1171" s="64"/>
      <c r="Q1171" s="56">
        <f>Hypo2CI_3-(Hypo2CI_3*noRDS2CLD_3)</f>
        <v>5.1333333333333335E-2</v>
      </c>
      <c r="R1171" s="56"/>
      <c r="S1171" s="129"/>
      <c r="T1171" s="105"/>
      <c r="U1171" s="133"/>
      <c r="V1171" s="133"/>
      <c r="W1171" s="133"/>
      <c r="X1171" s="133"/>
      <c r="Y1171" s="133"/>
      <c r="Z1171" s="134">
        <f t="shared" si="118"/>
        <v>0</v>
      </c>
      <c r="AA1171" s="6">
        <f t="shared" si="117"/>
        <v>0</v>
      </c>
    </row>
    <row r="1172" spans="1:27" x14ac:dyDescent="0.3">
      <c r="A1172" s="10"/>
      <c r="B1172" s="10"/>
      <c r="C1172" s="10"/>
      <c r="D1172" s="10"/>
      <c r="E1172" s="10"/>
      <c r="F1172" s="41"/>
      <c r="G1172" s="64"/>
      <c r="H1172" s="64"/>
      <c r="I1172" s="64"/>
      <c r="J1172" s="64"/>
      <c r="K1172" s="64"/>
      <c r="L1172" s="64"/>
      <c r="M1172" s="56">
        <f>S_term_2noRDS_3</f>
        <v>1</v>
      </c>
      <c r="N1172" s="64"/>
      <c r="O1172" s="53"/>
      <c r="P1172" s="64"/>
      <c r="Q1172" s="57">
        <f>c_cog+c_hosp_fu+c_CSG</f>
        <v>15766</v>
      </c>
      <c r="R1172" s="57"/>
      <c r="S1172" s="129"/>
      <c r="T1172" s="105"/>
      <c r="U1172" s="133"/>
      <c r="V1172" s="133"/>
      <c r="W1172" s="133"/>
      <c r="X1172" s="133"/>
      <c r="Y1172" s="133"/>
      <c r="Z1172" s="134">
        <f t="shared" si="118"/>
        <v>0</v>
      </c>
      <c r="AA1172" s="6">
        <f t="shared" si="117"/>
        <v>0</v>
      </c>
    </row>
    <row r="1173" spans="1:27" x14ac:dyDescent="0.3">
      <c r="A1173" s="10"/>
      <c r="B1173" s="10"/>
      <c r="C1173" s="10"/>
      <c r="D1173" s="10"/>
      <c r="E1173" s="10"/>
      <c r="F1173" s="41"/>
      <c r="G1173" s="64"/>
      <c r="H1173" s="64"/>
      <c r="I1173" s="64"/>
      <c r="J1173" s="64"/>
      <c r="K1173" s="64"/>
      <c r="L1173" s="64"/>
      <c r="M1173" s="57"/>
      <c r="N1173" s="64"/>
      <c r="O1173" s="65"/>
      <c r="P1173" s="64"/>
      <c r="Q1173" s="54" t="s">
        <v>369</v>
      </c>
      <c r="R1173" s="54"/>
      <c r="S1173" s="129"/>
      <c r="T1173" s="105"/>
      <c r="U1173" s="133">
        <f>$K$1157*$I$1146*$G$1170*$E$1207*$C$1053*$A$1008*$M$1172*$O$1170*Q1174</f>
        <v>0</v>
      </c>
      <c r="V1173" s="135">
        <v>0</v>
      </c>
      <c r="W1173" s="134">
        <f>$K$1158+$I$1147+$G$1171+$E$1208+$C$1054+$A$1009+$M$1173+$O$1171+Q1175</f>
        <v>260113.53690239997</v>
      </c>
      <c r="X1173" s="133">
        <f>u_ChronicResp+u_CongnitiveImpairement</f>
        <v>17.805052694763283</v>
      </c>
      <c r="Y1173" s="133"/>
      <c r="Z1173" s="134">
        <f t="shared" si="118"/>
        <v>0</v>
      </c>
      <c r="AA1173" s="6">
        <f t="shared" si="117"/>
        <v>0</v>
      </c>
    </row>
    <row r="1174" spans="1:27" x14ac:dyDescent="0.3">
      <c r="A1174" s="10"/>
      <c r="B1174" s="10"/>
      <c r="C1174" s="10"/>
      <c r="D1174" s="10"/>
      <c r="E1174" s="10"/>
      <c r="F1174" s="41"/>
      <c r="G1174" s="64"/>
      <c r="H1174" s="64"/>
      <c r="I1174" s="64"/>
      <c r="J1174" s="64"/>
      <c r="K1174" s="64"/>
      <c r="L1174" s="64"/>
      <c r="M1174" s="65"/>
      <c r="N1174" s="64"/>
      <c r="O1174" s="41"/>
      <c r="P1174" s="64"/>
      <c r="Q1174" s="56">
        <f>noRDS2CLD_3*Hypo2CI_3</f>
        <v>0</v>
      </c>
      <c r="R1174" s="56"/>
      <c r="S1174" s="129"/>
      <c r="T1174" s="105"/>
      <c r="U1174" s="133"/>
      <c r="V1174" s="133"/>
      <c r="W1174" s="133"/>
      <c r="X1174" s="133"/>
      <c r="Y1174" s="133"/>
      <c r="Z1174" s="134">
        <f t="shared" si="118"/>
        <v>0</v>
      </c>
      <c r="AA1174" s="6">
        <f t="shared" si="117"/>
        <v>0</v>
      </c>
    </row>
    <row r="1175" spans="1:27" x14ac:dyDescent="0.3">
      <c r="A1175" s="10"/>
      <c r="B1175" s="10"/>
      <c r="C1175" s="10"/>
      <c r="D1175" s="10"/>
      <c r="E1175" s="10"/>
      <c r="F1175" s="41"/>
      <c r="G1175" s="64"/>
      <c r="H1175" s="64"/>
      <c r="I1175" s="64"/>
      <c r="J1175" s="64"/>
      <c r="K1175" s="64"/>
      <c r="L1175" s="64"/>
      <c r="M1175" s="65"/>
      <c r="N1175" s="64"/>
      <c r="O1175" s="41"/>
      <c r="P1175" s="64"/>
      <c r="Q1175" s="57">
        <f>c_lung+c_cog+c_hosp_fu+c_CSG</f>
        <v>58348.510902399998</v>
      </c>
      <c r="R1175" s="57"/>
      <c r="S1175" s="129"/>
      <c r="T1175" s="105"/>
      <c r="U1175" s="133"/>
      <c r="V1175" s="133"/>
      <c r="W1175" s="133"/>
      <c r="X1175" s="133"/>
      <c r="Y1175" s="133"/>
      <c r="Z1175" s="134">
        <f t="shared" si="118"/>
        <v>0</v>
      </c>
      <c r="AA1175" s="6">
        <f t="shared" si="117"/>
        <v>0</v>
      </c>
    </row>
    <row r="1176" spans="1:27" x14ac:dyDescent="0.3">
      <c r="A1176" s="10"/>
      <c r="B1176" s="10"/>
      <c r="C1176" s="10"/>
      <c r="D1176" s="10"/>
      <c r="E1176" s="10"/>
      <c r="F1176" s="41"/>
      <c r="G1176" s="64"/>
      <c r="H1176" s="64"/>
      <c r="I1176" s="64"/>
      <c r="J1176" s="64"/>
      <c r="K1176" s="64"/>
      <c r="L1176" s="64"/>
      <c r="M1176" s="65"/>
      <c r="N1176" s="64"/>
      <c r="O1176" s="41"/>
      <c r="P1176" s="64"/>
      <c r="Q1176" s="54" t="s">
        <v>370</v>
      </c>
      <c r="R1176" s="54"/>
      <c r="T1176" s="105"/>
      <c r="U1176" s="133">
        <f>$K$1157*$I$1146*$G$1170*$E$1207*$C$1053*$A$1008*$M$1172*$O$1170*Q1177</f>
        <v>5.707823973936859E-2</v>
      </c>
      <c r="V1176" s="135">
        <v>5.707823973936859E-2</v>
      </c>
      <c r="W1176" s="134">
        <f>$K$1158+$I$1147+$G$1171+$E$1208+$C$1054+$A$1009+$M$1173+$O$1171+Q1178</f>
        <v>216168.02599999998</v>
      </c>
      <c r="X1176" s="133">
        <f>u_Healthy</f>
        <v>0</v>
      </c>
      <c r="Y1176" s="133"/>
      <c r="Z1176" s="134">
        <f t="shared" si="118"/>
        <v>12338.490412014062</v>
      </c>
      <c r="AA1176" s="6">
        <f t="shared" si="117"/>
        <v>0</v>
      </c>
    </row>
    <row r="1177" spans="1:27" x14ac:dyDescent="0.3">
      <c r="A1177" s="10"/>
      <c r="B1177" s="10"/>
      <c r="C1177" s="10"/>
      <c r="D1177" s="10"/>
      <c r="E1177" s="10"/>
      <c r="F1177" s="41"/>
      <c r="G1177" s="64"/>
      <c r="H1177" s="64"/>
      <c r="I1177" s="64"/>
      <c r="J1177" s="64"/>
      <c r="K1177" s="64"/>
      <c r="L1177" s="64"/>
      <c r="M1177" s="65"/>
      <c r="N1177" s="64"/>
      <c r="O1177" s="65"/>
      <c r="P1177" s="64"/>
      <c r="Q1177" s="56">
        <f>1-Q1174-Q1171-Q1168</f>
        <v>0.94866666666666666</v>
      </c>
      <c r="R1177" s="56"/>
      <c r="S1177" s="129"/>
      <c r="T1177" s="105"/>
      <c r="U1177" s="133"/>
      <c r="V1177" s="133"/>
      <c r="W1177" s="133"/>
      <c r="X1177" s="133"/>
      <c r="Y1177" s="133"/>
      <c r="Z1177" s="134">
        <f t="shared" si="118"/>
        <v>0</v>
      </c>
      <c r="AA1177" s="6">
        <f t="shared" si="117"/>
        <v>0</v>
      </c>
    </row>
    <row r="1178" spans="1:27" x14ac:dyDescent="0.3">
      <c r="A1178" s="10"/>
      <c r="B1178" s="10"/>
      <c r="C1178" s="10"/>
      <c r="D1178" s="10"/>
      <c r="E1178" s="10"/>
      <c r="F1178" s="41"/>
      <c r="G1178" s="64"/>
      <c r="H1178" s="64"/>
      <c r="I1178" s="64"/>
      <c r="J1178" s="64"/>
      <c r="K1178" s="64"/>
      <c r="L1178" s="64"/>
      <c r="M1178" s="65"/>
      <c r="N1178" s="64"/>
      <c r="O1178" s="64"/>
      <c r="P1178" s="64"/>
      <c r="Q1178" s="57">
        <f>c_clinic_fu+c_CSG</f>
        <v>14403</v>
      </c>
      <c r="R1178" s="57"/>
      <c r="S1178" s="130"/>
      <c r="T1178" s="105"/>
      <c r="U1178" s="133"/>
      <c r="V1178" s="133"/>
      <c r="W1178" s="133"/>
      <c r="X1178" s="133"/>
      <c r="Y1178" s="133"/>
      <c r="Z1178" s="134">
        <f t="shared" si="118"/>
        <v>0</v>
      </c>
      <c r="AA1178" s="6">
        <f t="shared" si="117"/>
        <v>0</v>
      </c>
    </row>
    <row r="1179" spans="1:27" x14ac:dyDescent="0.3">
      <c r="A1179" s="10"/>
      <c r="B1179" s="10"/>
      <c r="C1179" s="10"/>
      <c r="D1179" s="10"/>
      <c r="E1179" s="10"/>
      <c r="F1179" s="41"/>
      <c r="G1179" s="64"/>
      <c r="H1179" s="64"/>
      <c r="I1179" s="64"/>
      <c r="J1179" s="64"/>
      <c r="K1179" s="64"/>
      <c r="L1179" s="64"/>
      <c r="M1179" s="65"/>
      <c r="N1179" s="64"/>
      <c r="O1179" s="64"/>
      <c r="P1179" s="64"/>
      <c r="Q1179" s="65"/>
      <c r="R1179" s="65"/>
      <c r="S1179" s="129"/>
      <c r="T1179" s="105"/>
      <c r="U1179" s="133"/>
      <c r="V1179" s="133"/>
      <c r="W1179" s="133"/>
      <c r="X1179" s="133"/>
      <c r="Y1179" s="133"/>
      <c r="Z1179" s="134">
        <f t="shared" si="118"/>
        <v>0</v>
      </c>
      <c r="AA1179" s="6">
        <f t="shared" si="117"/>
        <v>0</v>
      </c>
    </row>
    <row r="1180" spans="1:27" x14ac:dyDescent="0.3">
      <c r="A1180" s="10"/>
      <c r="B1180" s="10"/>
      <c r="C1180" s="10"/>
      <c r="D1180" s="10"/>
      <c r="E1180" s="10"/>
      <c r="F1180" s="41"/>
      <c r="G1180" s="64"/>
      <c r="H1180" s="64"/>
      <c r="I1180" s="64"/>
      <c r="J1180" s="64"/>
      <c r="K1180" s="64"/>
      <c r="L1180" s="64"/>
      <c r="M1180" s="65"/>
      <c r="N1180" s="64"/>
      <c r="O1180" s="64"/>
      <c r="P1180" s="64"/>
      <c r="Q1180" s="54" t="s">
        <v>368</v>
      </c>
      <c r="R1180" s="54"/>
      <c r="S1180" s="129"/>
      <c r="T1180" s="105"/>
      <c r="U1180" s="133">
        <f>$K$1157*$I$1146*$G$1170*$E$1207*$C$1053*$A$1008*$M$1172*$O$1184*Q1181</f>
        <v>0</v>
      </c>
      <c r="V1180" s="135">
        <v>0</v>
      </c>
      <c r="W1180" s="134">
        <f>$K$1158+$I$1147+$G$1171+$E$1208+$C$1054+$A$1009+$M$1173+$O$1185+Q1182</f>
        <v>255387.53690239997</v>
      </c>
      <c r="X1180" s="133">
        <f>u_ChronicResp</f>
        <v>0.53465956747782661</v>
      </c>
      <c r="Y1180" s="133"/>
      <c r="Z1180" s="134">
        <f t="shared" si="118"/>
        <v>0</v>
      </c>
      <c r="AA1180" s="6">
        <f t="shared" si="117"/>
        <v>0</v>
      </c>
    </row>
    <row r="1181" spans="1:27" x14ac:dyDescent="0.3">
      <c r="A1181" s="10"/>
      <c r="B1181" s="10"/>
      <c r="C1181" s="10"/>
      <c r="D1181" s="10"/>
      <c r="E1181" s="10"/>
      <c r="F1181" s="41"/>
      <c r="G1181" s="64"/>
      <c r="H1181" s="64"/>
      <c r="I1181" s="64"/>
      <c r="J1181" s="64"/>
      <c r="K1181" s="64"/>
      <c r="L1181" s="64"/>
      <c r="M1181" s="65"/>
      <c r="N1181" s="64"/>
      <c r="O1181" s="64"/>
      <c r="P1181" s="64"/>
      <c r="Q1181" s="56">
        <f>noRDS2CLD_3-(noRDS2CLD_3*noHypo2CI_3)</f>
        <v>0</v>
      </c>
      <c r="R1181" s="56"/>
      <c r="S1181" s="129"/>
      <c r="T1181" s="105"/>
      <c r="U1181" s="133"/>
      <c r="V1181" s="133"/>
      <c r="W1181" s="133"/>
      <c r="X1181" s="133"/>
      <c r="Y1181" s="133"/>
      <c r="Z1181" s="134">
        <f t="shared" si="118"/>
        <v>0</v>
      </c>
      <c r="AA1181" s="6">
        <f t="shared" si="117"/>
        <v>0</v>
      </c>
    </row>
    <row r="1182" spans="1:27" x14ac:dyDescent="0.3">
      <c r="A1182" s="10"/>
      <c r="B1182" s="10"/>
      <c r="C1182" s="10"/>
      <c r="D1182" s="10"/>
      <c r="E1182" s="10"/>
      <c r="F1182" s="41"/>
      <c r="G1182" s="64"/>
      <c r="H1182" s="64"/>
      <c r="I1182" s="64"/>
      <c r="J1182" s="64"/>
      <c r="K1182" s="64"/>
      <c r="L1182" s="64"/>
      <c r="M1182" s="65"/>
      <c r="N1182" s="64"/>
      <c r="O1182" s="64"/>
      <c r="P1182" s="64"/>
      <c r="Q1182" s="57">
        <f>c_lung+c_hypo+c_CSG</f>
        <v>56558.771302399997</v>
      </c>
      <c r="R1182" s="57"/>
      <c r="S1182" s="129"/>
      <c r="T1182" s="105"/>
      <c r="U1182" s="133"/>
      <c r="V1182" s="133"/>
      <c r="W1182" s="133"/>
      <c r="X1182" s="133"/>
      <c r="Y1182" s="133"/>
      <c r="Z1182" s="134">
        <f t="shared" si="118"/>
        <v>0</v>
      </c>
      <c r="AA1182" s="6">
        <f t="shared" si="117"/>
        <v>0</v>
      </c>
    </row>
    <row r="1183" spans="1:27" x14ac:dyDescent="0.3">
      <c r="A1183" s="10"/>
      <c r="B1183" s="10"/>
      <c r="C1183" s="10"/>
      <c r="D1183" s="10"/>
      <c r="E1183" s="10"/>
      <c r="F1183" s="41"/>
      <c r="G1183" s="64"/>
      <c r="H1183" s="64"/>
      <c r="I1183" s="64"/>
      <c r="J1183" s="64"/>
      <c r="K1183" s="64"/>
      <c r="L1183" s="64"/>
      <c r="M1183" s="65"/>
      <c r="N1183" s="64"/>
      <c r="O1183" s="54" t="s">
        <v>371</v>
      </c>
      <c r="P1183" s="64"/>
      <c r="Q1183" s="54" t="s">
        <v>226</v>
      </c>
      <c r="R1183" s="54"/>
      <c r="S1183" s="129"/>
      <c r="T1183" s="105"/>
      <c r="U1183" s="133">
        <f>$K$1157*$I$1146*$G$1170*$E$1207*$C$1053*$A$1008*$M$1172*$O$1184*Q1184</f>
        <v>5.6657056628016973E-3</v>
      </c>
      <c r="V1183" s="135">
        <v>5.6657056628016973E-3</v>
      </c>
      <c r="W1183" s="134">
        <f>$K$1158+$I$1147+$G$1171+$E$1208+$C$1054+$A$1009+$M$1173+$O$1185+Q1185</f>
        <v>214594.76559999998</v>
      </c>
      <c r="X1183" s="133">
        <f>u_CongnitiveImpairement</f>
        <v>17.270393127285455</v>
      </c>
      <c r="Y1183" s="133"/>
      <c r="Z1183" s="134">
        <f t="shared" si="118"/>
        <v>1215.8307786675227</v>
      </c>
      <c r="AA1183" s="6">
        <f t="shared" si="117"/>
        <v>9.7848964140072714E-2</v>
      </c>
    </row>
    <row r="1184" spans="1:27" x14ac:dyDescent="0.3">
      <c r="A1184" s="10"/>
      <c r="B1184" s="10"/>
      <c r="C1184" s="10"/>
      <c r="D1184" s="10"/>
      <c r="E1184" s="10"/>
      <c r="F1184" s="41"/>
      <c r="G1184" s="64"/>
      <c r="H1184" s="64"/>
      <c r="I1184" s="64"/>
      <c r="J1184" s="64"/>
      <c r="K1184" s="64"/>
      <c r="L1184" s="64"/>
      <c r="M1184" s="65"/>
      <c r="N1184" s="64"/>
      <c r="O1184" s="56">
        <f>SGA_term_2normoglycaemia_3</f>
        <v>0.74</v>
      </c>
      <c r="P1184" s="64"/>
      <c r="Q1184" s="56">
        <f>noHypo2CI_3</f>
        <v>3.3085576536761752E-2</v>
      </c>
      <c r="R1184" s="56"/>
      <c r="S1184" s="129"/>
      <c r="T1184" s="105"/>
      <c r="U1184" s="133"/>
      <c r="V1184" s="133"/>
      <c r="W1184" s="133"/>
      <c r="X1184" s="133"/>
      <c r="Y1184" s="133"/>
      <c r="Z1184" s="134">
        <f t="shared" si="118"/>
        <v>0</v>
      </c>
      <c r="AA1184" s="6">
        <f t="shared" si="117"/>
        <v>0</v>
      </c>
    </row>
    <row r="1185" spans="1:27" x14ac:dyDescent="0.3">
      <c r="A1185" s="10"/>
      <c r="B1185" s="10"/>
      <c r="C1185" s="10"/>
      <c r="D1185" s="10"/>
      <c r="E1185" s="10"/>
      <c r="F1185" s="41"/>
      <c r="G1185" s="64"/>
      <c r="H1185" s="64"/>
      <c r="I1185" s="64"/>
      <c r="J1185" s="64"/>
      <c r="K1185" s="64"/>
      <c r="L1185" s="64"/>
      <c r="M1185" s="65"/>
      <c r="N1185" s="64"/>
      <c r="O1185" s="57"/>
      <c r="P1185" s="64"/>
      <c r="Q1185" s="57">
        <f>c_cog+c_hosp_fu+c_CSG</f>
        <v>15766</v>
      </c>
      <c r="R1185" s="57"/>
      <c r="S1185" s="129"/>
      <c r="T1185" s="105"/>
      <c r="U1185" s="133"/>
      <c r="V1185" s="133"/>
      <c r="W1185" s="133"/>
      <c r="X1185" s="133"/>
      <c r="Y1185" s="133"/>
      <c r="Z1185" s="134">
        <f t="shared" si="118"/>
        <v>0</v>
      </c>
      <c r="AA1185" s="6">
        <f t="shared" si="117"/>
        <v>0</v>
      </c>
    </row>
    <row r="1186" spans="1:27" x14ac:dyDescent="0.3">
      <c r="A1186" s="10"/>
      <c r="B1186" s="10"/>
      <c r="C1186" s="10"/>
      <c r="D1186" s="10"/>
      <c r="E1186" s="10"/>
      <c r="F1186" s="41"/>
      <c r="G1186" s="64"/>
      <c r="H1186" s="64"/>
      <c r="I1186" s="64"/>
      <c r="J1186" s="64"/>
      <c r="K1186" s="64"/>
      <c r="L1186" s="64"/>
      <c r="M1186" s="65"/>
      <c r="N1186" s="64"/>
      <c r="O1186" s="64"/>
      <c r="P1186" s="64"/>
      <c r="Q1186" s="54" t="s">
        <v>369</v>
      </c>
      <c r="R1186" s="54"/>
      <c r="S1186" s="129"/>
      <c r="T1186" s="105"/>
      <c r="U1186" s="133">
        <f>$K$1157*$I$1146*$G$1170*$E$1207*$C$1053*$A$1008*$M$1172*$O$1184*Q1187</f>
        <v>0</v>
      </c>
      <c r="V1186" s="133"/>
      <c r="W1186" s="134">
        <f>$K$1158+$I$1147+$G$1171+$E$1208+$C$1054+$A$1009+$M$1173+$O$1185+Q1188</f>
        <v>257177.2765024</v>
      </c>
      <c r="X1186" s="133">
        <f>u_ChronicResp+u_CongnitiveImpairement</f>
        <v>17.805052694763283</v>
      </c>
      <c r="Y1186" s="133"/>
      <c r="Z1186" s="134">
        <f t="shared" si="118"/>
        <v>0</v>
      </c>
      <c r="AA1186" s="6">
        <f t="shared" si="117"/>
        <v>0</v>
      </c>
    </row>
    <row r="1187" spans="1:27" x14ac:dyDescent="0.3">
      <c r="A1187" s="10"/>
      <c r="B1187" s="10"/>
      <c r="C1187" s="10"/>
      <c r="D1187" s="10"/>
      <c r="E1187" s="10"/>
      <c r="F1187" s="41"/>
      <c r="G1187" s="64"/>
      <c r="H1187" s="64"/>
      <c r="I1187" s="64"/>
      <c r="J1187" s="64"/>
      <c r="K1187" s="64"/>
      <c r="L1187" s="64"/>
      <c r="M1187" s="65"/>
      <c r="N1187" s="64"/>
      <c r="O1187" s="64"/>
      <c r="P1187" s="64"/>
      <c r="Q1187" s="56">
        <f>noRDS2CLD_3*noHypo2CI_3</f>
        <v>0</v>
      </c>
      <c r="R1187" s="56"/>
      <c r="S1187" s="129"/>
      <c r="T1187" s="105"/>
      <c r="U1187" s="133"/>
      <c r="V1187" s="135">
        <v>0</v>
      </c>
      <c r="W1187" s="133"/>
      <c r="X1187" s="133"/>
      <c r="Y1187" s="133"/>
      <c r="Z1187" s="134">
        <f t="shared" si="118"/>
        <v>0</v>
      </c>
      <c r="AA1187" s="6">
        <f t="shared" si="117"/>
        <v>0</v>
      </c>
    </row>
    <row r="1188" spans="1:27" x14ac:dyDescent="0.3">
      <c r="A1188" s="10"/>
      <c r="B1188" s="10"/>
      <c r="C1188" s="10"/>
      <c r="D1188" s="10"/>
      <c r="E1188" s="10"/>
      <c r="F1188" s="41"/>
      <c r="G1188" s="64"/>
      <c r="H1188" s="64"/>
      <c r="I1188" s="64"/>
      <c r="J1188" s="64"/>
      <c r="K1188" s="64"/>
      <c r="L1188" s="64"/>
      <c r="M1188" s="65"/>
      <c r="N1188" s="64"/>
      <c r="O1188" s="64"/>
      <c r="P1188" s="64"/>
      <c r="Q1188" s="57">
        <f>c_cog+c_lung+c_hosp_fu+c_CSG</f>
        <v>58348.510902399998</v>
      </c>
      <c r="R1188" s="57"/>
      <c r="S1188" s="129"/>
      <c r="T1188" s="105"/>
      <c r="U1188" s="133"/>
      <c r="V1188" s="135"/>
      <c r="W1188" s="133"/>
      <c r="X1188" s="133"/>
      <c r="Y1188" s="133"/>
      <c r="Z1188" s="134">
        <f t="shared" si="118"/>
        <v>0</v>
      </c>
      <c r="AA1188" s="6">
        <f t="shared" si="117"/>
        <v>0</v>
      </c>
    </row>
    <row r="1189" spans="1:27" x14ac:dyDescent="0.3">
      <c r="A1189" s="10"/>
      <c r="B1189" s="10"/>
      <c r="C1189" s="110"/>
      <c r="D1189" s="110"/>
      <c r="E1189" s="110"/>
      <c r="F1189" s="41"/>
      <c r="G1189" s="64"/>
      <c r="H1189" s="64"/>
      <c r="I1189" s="64"/>
      <c r="J1189" s="64"/>
      <c r="K1189" s="64"/>
      <c r="L1189" s="64"/>
      <c r="M1189" s="65"/>
      <c r="N1189" s="64"/>
      <c r="O1189" s="64"/>
      <c r="P1189" s="64"/>
      <c r="Q1189" s="54" t="s">
        <v>370</v>
      </c>
      <c r="R1189" s="54"/>
      <c r="T1189" s="105"/>
      <c r="U1189" s="133">
        <f>$K$1157*$I$1146*$G$1170*$E$1207*$C$1053*$A$1008*$M$1172*$O$1184*Q1190</f>
        <v>0.16557826998642022</v>
      </c>
      <c r="V1189" s="135">
        <v>0.16557826998642022</v>
      </c>
      <c r="W1189" s="134">
        <f>$K$1158+$I$1147+$G$1171+$E$1208+$C$1054+$A$1009+$M$1173+$O$1185+Q1191</f>
        <v>213231.76559999998</v>
      </c>
      <c r="X1189" s="133">
        <f>u_Healthy</f>
        <v>0</v>
      </c>
      <c r="Y1189" s="133"/>
      <c r="Z1189" s="134">
        <f t="shared" si="118"/>
        <v>35306.54685419787</v>
      </c>
      <c r="AA1189" s="6">
        <f t="shared" si="117"/>
        <v>0</v>
      </c>
    </row>
    <row r="1190" spans="1:27" x14ac:dyDescent="0.3">
      <c r="A1190" s="10"/>
      <c r="B1190" s="10"/>
      <c r="C1190" s="110"/>
      <c r="D1190" s="10"/>
      <c r="E1190" s="10"/>
      <c r="F1190" s="41"/>
      <c r="G1190" s="64"/>
      <c r="H1190" s="64"/>
      <c r="I1190" s="64"/>
      <c r="J1190" s="64"/>
      <c r="K1190" s="64"/>
      <c r="L1190" s="64"/>
      <c r="M1190" s="65"/>
      <c r="N1190" s="64"/>
      <c r="O1190" s="64"/>
      <c r="P1190" s="64"/>
      <c r="Q1190" s="56">
        <f>1-Q1187-Q1184-Q1181</f>
        <v>0.9669144234632383</v>
      </c>
      <c r="R1190" s="56"/>
      <c r="S1190" s="129"/>
      <c r="T1190" s="105"/>
      <c r="U1190" s="133"/>
      <c r="V1190" s="135"/>
      <c r="W1190" s="133"/>
      <c r="X1190" s="133"/>
      <c r="Y1190" s="133"/>
      <c r="Z1190" s="134">
        <f t="shared" si="118"/>
        <v>0</v>
      </c>
      <c r="AA1190" s="6">
        <f t="shared" si="117"/>
        <v>0</v>
      </c>
    </row>
    <row r="1191" spans="1:27" x14ac:dyDescent="0.3">
      <c r="A1191" s="10"/>
      <c r="B1191" s="10"/>
      <c r="C1191" s="116"/>
      <c r="D1191" s="10"/>
      <c r="E1191" s="10"/>
      <c r="F1191" s="41"/>
      <c r="G1191" s="64"/>
      <c r="H1191" s="64"/>
      <c r="I1191" s="64"/>
      <c r="J1191" s="64"/>
      <c r="K1191" s="64"/>
      <c r="L1191" s="64"/>
      <c r="M1191" s="65"/>
      <c r="N1191" s="64"/>
      <c r="O1191" s="64"/>
      <c r="P1191" s="64"/>
      <c r="Q1191" s="57">
        <f>c_clinic_fu+c_CSG</f>
        <v>14403</v>
      </c>
      <c r="R1191" s="57"/>
      <c r="S1191" s="129"/>
      <c r="T1191" s="105"/>
      <c r="U1191" s="133"/>
      <c r="V1191" s="133"/>
      <c r="W1191" s="133"/>
      <c r="X1191" s="133"/>
      <c r="Y1191" s="133"/>
      <c r="Z1191" s="134">
        <f t="shared" si="118"/>
        <v>0</v>
      </c>
      <c r="AA1191" s="6">
        <f t="shared" si="117"/>
        <v>0</v>
      </c>
    </row>
    <row r="1192" spans="1:27" x14ac:dyDescent="0.3">
      <c r="A1192" s="10"/>
      <c r="B1192" s="10"/>
      <c r="C1192" s="10"/>
      <c r="D1192" s="10"/>
      <c r="E1192" s="10"/>
      <c r="F1192" s="41"/>
      <c r="G1192" s="64"/>
      <c r="H1192" s="64"/>
      <c r="I1192" s="64"/>
      <c r="J1192" s="64"/>
      <c r="K1192" s="64"/>
      <c r="L1192" s="64"/>
      <c r="M1192" s="65"/>
      <c r="N1192" s="64"/>
      <c r="O1192" s="64"/>
      <c r="P1192" s="64"/>
      <c r="Q1192" s="65"/>
      <c r="R1192" s="65"/>
      <c r="S1192" s="129"/>
      <c r="T1192" s="105"/>
      <c r="U1192" s="133"/>
      <c r="V1192" s="133"/>
      <c r="W1192" s="133"/>
      <c r="X1192" s="133"/>
      <c r="Y1192" s="133"/>
      <c r="Z1192" s="134">
        <f t="shared" si="118"/>
        <v>0</v>
      </c>
      <c r="AA1192" s="6">
        <f t="shared" si="117"/>
        <v>0</v>
      </c>
    </row>
    <row r="1193" spans="1:27" x14ac:dyDescent="0.3">
      <c r="A1193" s="10"/>
      <c r="B1193" s="10"/>
      <c r="C1193" s="10"/>
      <c r="D1193" s="10"/>
      <c r="E1193" s="10"/>
      <c r="F1193" s="41"/>
      <c r="G1193" s="64"/>
      <c r="H1193" s="64"/>
      <c r="I1193" s="64"/>
      <c r="J1193" s="64"/>
      <c r="K1193" s="54" t="s">
        <v>165</v>
      </c>
      <c r="L1193" s="54"/>
      <c r="M1193" s="54"/>
      <c r="N1193" s="54"/>
      <c r="O1193" s="54"/>
      <c r="P1193" s="54"/>
      <c r="Q1193" s="54"/>
      <c r="R1193" s="54"/>
      <c r="S1193" s="129"/>
      <c r="T1193" s="105"/>
      <c r="U1193" s="133">
        <f>$K$1194*$I$1202*$G$1170*$E$1207*$C$1053*$A$1008</f>
        <v>0</v>
      </c>
      <c r="V1193" s="133"/>
      <c r="W1193" s="134">
        <f>$K$1195+$I$1203+$G$1171+$E$1208+$C$1054+$A$1009</f>
        <v>200620.76559999998</v>
      </c>
      <c r="X1193" s="133">
        <f>u_Death</f>
        <v>19.181538114427529</v>
      </c>
      <c r="Y1193" s="133"/>
      <c r="Z1193" s="134">
        <f t="shared" si="118"/>
        <v>0</v>
      </c>
      <c r="AA1193" s="6">
        <f t="shared" si="117"/>
        <v>0</v>
      </c>
    </row>
    <row r="1194" spans="1:27" x14ac:dyDescent="0.3">
      <c r="A1194" s="10"/>
      <c r="B1194" s="10"/>
      <c r="C1194" s="10"/>
      <c r="D1194" s="10"/>
      <c r="E1194" s="10"/>
      <c r="F1194" s="41"/>
      <c r="G1194" s="64"/>
      <c r="H1194" s="64"/>
      <c r="I1194" s="64"/>
      <c r="J1194" s="64"/>
      <c r="K1194" s="56">
        <f>AGA_term_2d_3</f>
        <v>6.2333333333333338E-3</v>
      </c>
      <c r="L1194" s="64"/>
      <c r="M1194" s="64"/>
      <c r="N1194" s="64"/>
      <c r="O1194" s="64"/>
      <c r="P1194" s="64"/>
      <c r="Q1194" s="64"/>
      <c r="R1194" s="64"/>
      <c r="S1194" s="129"/>
      <c r="T1194" s="105"/>
      <c r="U1194" s="133"/>
      <c r="V1194" s="135">
        <v>0</v>
      </c>
      <c r="W1194" s="133"/>
      <c r="X1194" s="133"/>
      <c r="Y1194" s="133"/>
      <c r="Z1194" s="134">
        <f t="shared" si="118"/>
        <v>0</v>
      </c>
      <c r="AA1194" s="6">
        <f t="shared" si="117"/>
        <v>0</v>
      </c>
    </row>
    <row r="1195" spans="1:27" x14ac:dyDescent="0.3">
      <c r="A1195" s="10"/>
      <c r="B1195" s="10"/>
      <c r="C1195" s="10"/>
      <c r="D1195" s="10"/>
      <c r="E1195" s="10"/>
      <c r="F1195" s="41"/>
      <c r="G1195" s="64"/>
      <c r="H1195" s="64"/>
      <c r="I1195" s="64"/>
      <c r="J1195" s="64"/>
      <c r="K1195" s="57">
        <f>c_SB</f>
        <v>1792</v>
      </c>
      <c r="L1195" s="64"/>
      <c r="M1195" s="64"/>
      <c r="N1195" s="64"/>
      <c r="O1195" s="64"/>
      <c r="P1195" s="64"/>
      <c r="Q1195" s="64"/>
      <c r="R1195" s="64"/>
      <c r="S1195" s="129"/>
      <c r="T1195" s="105"/>
      <c r="U1195" s="133"/>
      <c r="V1195" s="133"/>
      <c r="W1195" s="133"/>
      <c r="X1195" s="133"/>
      <c r="Y1195" s="133"/>
      <c r="Z1195" s="134">
        <f t="shared" si="118"/>
        <v>0</v>
      </c>
      <c r="AA1195" s="6">
        <f t="shared" si="117"/>
        <v>0</v>
      </c>
    </row>
    <row r="1196" spans="1:27" x14ac:dyDescent="0.3">
      <c r="A1196" s="10"/>
      <c r="B1196" s="10"/>
      <c r="C1196" s="10"/>
      <c r="D1196" s="10"/>
      <c r="E1196" s="10"/>
      <c r="F1196" s="41"/>
      <c r="G1196" s="64"/>
      <c r="H1196" s="64"/>
      <c r="I1196" s="64"/>
      <c r="J1196" s="64"/>
      <c r="K1196" s="53"/>
      <c r="L1196" s="53"/>
      <c r="M1196" s="53"/>
      <c r="N1196" s="53"/>
      <c r="O1196" s="53"/>
      <c r="P1196" s="53"/>
      <c r="Q1196" s="53"/>
      <c r="R1196" s="53"/>
      <c r="S1196" s="129"/>
      <c r="T1196" s="105"/>
      <c r="U1196" s="133"/>
      <c r="V1196" s="133"/>
      <c r="W1196" s="133"/>
      <c r="X1196" s="133"/>
      <c r="Y1196" s="133"/>
      <c r="Z1196" s="134">
        <f t="shared" si="118"/>
        <v>0</v>
      </c>
      <c r="AA1196" s="6">
        <f t="shared" si="117"/>
        <v>0</v>
      </c>
    </row>
    <row r="1197" spans="1:27" x14ac:dyDescent="0.3">
      <c r="A1197" s="10"/>
      <c r="B1197" s="10"/>
      <c r="C1197" s="10"/>
      <c r="D1197" s="10"/>
      <c r="E1197" s="10"/>
      <c r="F1197" s="41"/>
      <c r="G1197" s="53"/>
      <c r="H1197" s="53"/>
      <c r="I1197" s="64"/>
      <c r="J1197" s="64"/>
      <c r="K1197" s="53"/>
      <c r="L1197" s="53"/>
      <c r="M1197" s="53"/>
      <c r="N1197" s="53"/>
      <c r="O1197" s="53"/>
      <c r="P1197" s="53"/>
      <c r="Q1197" s="54" t="s">
        <v>368</v>
      </c>
      <c r="R1197" s="54"/>
      <c r="S1197" s="129"/>
      <c r="T1197" s="105"/>
      <c r="U1197" s="133">
        <f>$K$1213*$I$1202*$G$1170*$E$1207*$C$1053*$A$1008*$M$1208*$O$1203*$Q$1198</f>
        <v>0</v>
      </c>
      <c r="V1197" s="133"/>
      <c r="W1197" s="134">
        <f>$K$1214+$I$1203+$G$1171+$E$1208+$C$1054+$A$1009+$M$1209+$O$1204+Q1199</f>
        <v>286890.14705060562</v>
      </c>
      <c r="X1197" s="133">
        <f>u_ChronicResp</f>
        <v>0.53465956747782661</v>
      </c>
      <c r="Y1197" s="133"/>
      <c r="Z1197" s="134">
        <f t="shared" si="118"/>
        <v>0</v>
      </c>
      <c r="AA1197" s="6">
        <f t="shared" si="117"/>
        <v>0</v>
      </c>
    </row>
    <row r="1198" spans="1:27" x14ac:dyDescent="0.3">
      <c r="A1198" s="10"/>
      <c r="B1198" s="10"/>
      <c r="C1198" s="10"/>
      <c r="D1198" s="10"/>
      <c r="E1198" s="10"/>
      <c r="F1198" s="41"/>
      <c r="G1198" s="53"/>
      <c r="H1198" s="53"/>
      <c r="I1198" s="64"/>
      <c r="J1198" s="64"/>
      <c r="K1198" s="53"/>
      <c r="L1198" s="53"/>
      <c r="M1198" s="53"/>
      <c r="N1198" s="53"/>
      <c r="O1198" s="64"/>
      <c r="P1198" s="64"/>
      <c r="Q1198" s="56">
        <f>RDS2CLD_3-(Hypo2CI_3*RDS2CLD_3)</f>
        <v>0.34246866666666664</v>
      </c>
      <c r="R1198" s="56"/>
      <c r="S1198" s="129"/>
      <c r="T1198" s="105"/>
      <c r="U1198" s="133"/>
      <c r="V1198" s="135">
        <v>0</v>
      </c>
      <c r="W1198" s="133"/>
      <c r="X1198" s="133"/>
      <c r="Y1198" s="133"/>
      <c r="Z1198" s="134">
        <f t="shared" si="118"/>
        <v>0</v>
      </c>
      <c r="AA1198" s="6">
        <f t="shared" si="117"/>
        <v>0</v>
      </c>
    </row>
    <row r="1199" spans="1:27" x14ac:dyDescent="0.3">
      <c r="A1199" s="10"/>
      <c r="B1199" s="10"/>
      <c r="C1199" s="10"/>
      <c r="D1199" s="10"/>
      <c r="E1199" s="10"/>
      <c r="F1199" s="41"/>
      <c r="G1199" s="53"/>
      <c r="H1199" s="53"/>
      <c r="I1199" s="64"/>
      <c r="J1199" s="64"/>
      <c r="K1199" s="53"/>
      <c r="L1199" s="53"/>
      <c r="M1199" s="53"/>
      <c r="N1199" s="53"/>
      <c r="O1199" s="64"/>
      <c r="P1199" s="64"/>
      <c r="Q1199" s="57">
        <f>c_lung+c_hosp_fu+c_CSG</f>
        <v>54529.510902399998</v>
      </c>
      <c r="R1199" s="57"/>
      <c r="S1199" s="129"/>
      <c r="T1199" s="105"/>
      <c r="U1199" s="133"/>
      <c r="V1199" s="133"/>
      <c r="W1199" s="133"/>
      <c r="X1199" s="133"/>
      <c r="Y1199" s="133"/>
      <c r="Z1199" s="134">
        <f t="shared" si="118"/>
        <v>0</v>
      </c>
      <c r="AA1199" s="6">
        <f t="shared" si="117"/>
        <v>0</v>
      </c>
    </row>
    <row r="1200" spans="1:27" x14ac:dyDescent="0.3">
      <c r="A1200" s="10"/>
      <c r="B1200" s="10"/>
      <c r="C1200" s="10"/>
      <c r="D1200" s="10"/>
      <c r="E1200" s="10"/>
      <c r="F1200" s="41"/>
      <c r="G1200" s="53"/>
      <c r="H1200" s="53"/>
      <c r="I1200" s="64"/>
      <c r="J1200" s="64"/>
      <c r="K1200" s="53"/>
      <c r="L1200" s="53"/>
      <c r="M1200" s="53"/>
      <c r="N1200" s="53"/>
      <c r="O1200" s="64"/>
      <c r="P1200" s="64"/>
      <c r="Q1200" s="54" t="s">
        <v>226</v>
      </c>
      <c r="R1200" s="54"/>
      <c r="S1200" s="129"/>
      <c r="T1200" s="105"/>
      <c r="U1200" s="133">
        <f>$K$1213*$I$1202*$G$1170*$E$1207*$C$1053*$A$1008*$M$1208*$O$1203*$Q$1198</f>
        <v>0</v>
      </c>
      <c r="V1200" s="133"/>
      <c r="W1200" s="134">
        <f>$K$1214+$I$1203+$G$1171+$E$1208+$C$1054+$A$1009+$M$1209+$O$1204+Q1202</f>
        <v>248126.63614820561</v>
      </c>
      <c r="X1200" s="133">
        <f>u_CongnitiveImpairement</f>
        <v>17.270393127285455</v>
      </c>
      <c r="Y1200" s="133"/>
      <c r="Z1200" s="134">
        <f t="shared" si="118"/>
        <v>0</v>
      </c>
      <c r="AA1200" s="6">
        <f t="shared" si="117"/>
        <v>0</v>
      </c>
    </row>
    <row r="1201" spans="1:27" x14ac:dyDescent="0.3">
      <c r="A1201" s="10"/>
      <c r="B1201" s="10"/>
      <c r="C1201" s="10"/>
      <c r="D1201" s="10"/>
      <c r="E1201" s="10"/>
      <c r="F1201" s="41"/>
      <c r="G1201" s="53"/>
      <c r="H1201" s="53"/>
      <c r="I1201" s="54" t="s">
        <v>425</v>
      </c>
      <c r="J1201" s="64"/>
      <c r="K1201" s="64"/>
      <c r="L1201" s="64"/>
      <c r="M1201" s="64"/>
      <c r="N1201" s="64"/>
      <c r="O1201" s="64"/>
      <c r="P1201" s="64"/>
      <c r="Q1201" s="56">
        <f>Hypo2CI_3-(Hypo2CI_3*RDS2CLD_3)</f>
        <v>3.2801999999999998E-2</v>
      </c>
      <c r="R1201" s="56"/>
      <c r="S1201" s="129"/>
      <c r="T1201" s="105"/>
      <c r="U1201" s="133"/>
      <c r="V1201" s="135">
        <v>0</v>
      </c>
      <c r="W1201" s="133"/>
      <c r="X1201" s="133"/>
      <c r="Y1201" s="133"/>
      <c r="Z1201" s="134">
        <f t="shared" si="118"/>
        <v>0</v>
      </c>
      <c r="AA1201" s="6">
        <f t="shared" si="117"/>
        <v>0</v>
      </c>
    </row>
    <row r="1202" spans="1:27" x14ac:dyDescent="0.3">
      <c r="A1202" s="10"/>
      <c r="B1202" s="10"/>
      <c r="C1202" s="10"/>
      <c r="D1202" s="10"/>
      <c r="E1202" s="10"/>
      <c r="F1202" s="41"/>
      <c r="G1202" s="64"/>
      <c r="H1202" s="64"/>
      <c r="I1202" s="56">
        <f>LBW_term_2AGA_3</f>
        <v>0</v>
      </c>
      <c r="J1202" s="64"/>
      <c r="K1202" s="64"/>
      <c r="L1202" s="64"/>
      <c r="M1202" s="64"/>
      <c r="N1202" s="64"/>
      <c r="O1202" s="54" t="s">
        <v>161</v>
      </c>
      <c r="P1202" s="64"/>
      <c r="Q1202" s="57">
        <f>c_cog+c_hosp_fu+c_CSG</f>
        <v>15766</v>
      </c>
      <c r="R1202" s="57"/>
      <c r="S1202" s="129"/>
      <c r="T1202" s="105"/>
      <c r="U1202" s="133"/>
      <c r="V1202" s="133"/>
      <c r="W1202" s="133"/>
      <c r="X1202" s="133"/>
      <c r="Y1202" s="133"/>
      <c r="Z1202" s="134">
        <f t="shared" si="118"/>
        <v>0</v>
      </c>
      <c r="AA1202" s="6">
        <f t="shared" si="117"/>
        <v>0</v>
      </c>
    </row>
    <row r="1203" spans="1:27" x14ac:dyDescent="0.3">
      <c r="A1203" s="10"/>
      <c r="B1203" s="10"/>
      <c r="C1203" s="10"/>
      <c r="D1203" s="10"/>
      <c r="E1203" s="10"/>
      <c r="F1203" s="41"/>
      <c r="G1203" s="64"/>
      <c r="H1203" s="64"/>
      <c r="I1203" s="57"/>
      <c r="J1203" s="64"/>
      <c r="K1203" s="64"/>
      <c r="L1203" s="64"/>
      <c r="M1203" s="64"/>
      <c r="N1203" s="64"/>
      <c r="O1203" s="56">
        <f>AGA_term_2hypoglycaemia_3</f>
        <v>0</v>
      </c>
      <c r="P1203" s="64"/>
      <c r="Q1203" s="54" t="s">
        <v>369</v>
      </c>
      <c r="R1203" s="54"/>
      <c r="S1203" s="129"/>
      <c r="T1203" s="105"/>
      <c r="U1203" s="133">
        <f>$K$1213*$I$1202*$G$1170*$E$1207*$C$1053*$A$1008*$M$1208*$O$1203*$Q$1198</f>
        <v>0</v>
      </c>
      <c r="V1203" s="133"/>
      <c r="W1203" s="134">
        <f>$K$1214+$I$1203+$G$1171+$E$1208+$C$1054+$A$1009+$M$1209+$O$1204+Q1205</f>
        <v>290709.14705060562</v>
      </c>
      <c r="X1203" s="133">
        <f>u_ChronicResp+u_CongnitiveImpairement</f>
        <v>17.805052694763283</v>
      </c>
      <c r="Y1203" s="133"/>
      <c r="Z1203" s="134">
        <f t="shared" si="118"/>
        <v>0</v>
      </c>
      <c r="AA1203" s="6">
        <f t="shared" si="117"/>
        <v>0</v>
      </c>
    </row>
    <row r="1204" spans="1:27" x14ac:dyDescent="0.3">
      <c r="A1204" s="10"/>
      <c r="B1204" s="10"/>
      <c r="C1204" s="10"/>
      <c r="D1204" s="10"/>
      <c r="E1204" s="10"/>
      <c r="F1204" s="41"/>
      <c r="G1204" s="64"/>
      <c r="H1204" s="64"/>
      <c r="I1204" s="64"/>
      <c r="J1204" s="64"/>
      <c r="K1204" s="64"/>
      <c r="L1204" s="64"/>
      <c r="M1204" s="64"/>
      <c r="N1204" s="64"/>
      <c r="O1204" s="57">
        <f>c_hypo</f>
        <v>2936.2604000000001</v>
      </c>
      <c r="P1204" s="64"/>
      <c r="Q1204" s="56">
        <f>Hypo2CI_3*RDS2CLD_3</f>
        <v>1.8531333333333334E-2</v>
      </c>
      <c r="R1204" s="56"/>
      <c r="S1204" s="129"/>
      <c r="T1204" s="105"/>
      <c r="U1204" s="133"/>
      <c r="V1204" s="135">
        <v>0</v>
      </c>
      <c r="W1204" s="133"/>
      <c r="X1204" s="133"/>
      <c r="Y1204" s="133"/>
      <c r="Z1204" s="134">
        <f t="shared" si="118"/>
        <v>0</v>
      </c>
      <c r="AA1204" s="6">
        <f t="shared" si="117"/>
        <v>0</v>
      </c>
    </row>
    <row r="1205" spans="1:27" x14ac:dyDescent="0.3">
      <c r="A1205" s="10"/>
      <c r="B1205" s="10"/>
      <c r="C1205" s="10"/>
      <c r="D1205" s="10"/>
      <c r="E1205" s="10"/>
      <c r="F1205" s="41"/>
      <c r="G1205" s="64"/>
      <c r="H1205" s="64"/>
      <c r="I1205" s="64"/>
      <c r="J1205" s="64"/>
      <c r="K1205" s="64"/>
      <c r="L1205" s="64"/>
      <c r="M1205" s="65"/>
      <c r="N1205" s="64"/>
      <c r="O1205" s="53"/>
      <c r="P1205" s="64"/>
      <c r="Q1205" s="57">
        <f>c_lung+c_cog+c_hosp_fu+c_CSG</f>
        <v>58348.510902399998</v>
      </c>
      <c r="R1205" s="57"/>
      <c r="S1205" s="129"/>
      <c r="T1205" s="105"/>
      <c r="U1205" s="133"/>
      <c r="V1205" s="133"/>
      <c r="W1205" s="133"/>
      <c r="X1205" s="133"/>
      <c r="Y1205" s="133"/>
      <c r="Z1205" s="134">
        <f t="shared" si="118"/>
        <v>0</v>
      </c>
      <c r="AA1205" s="6">
        <f t="shared" si="117"/>
        <v>0</v>
      </c>
    </row>
    <row r="1206" spans="1:27" x14ac:dyDescent="0.3">
      <c r="A1206" s="10"/>
      <c r="B1206" s="10"/>
      <c r="C1206" s="10"/>
      <c r="D1206" s="10"/>
      <c r="E1206" s="54" t="s">
        <v>11</v>
      </c>
      <c r="F1206" s="41"/>
      <c r="G1206" s="64"/>
      <c r="H1206" s="64"/>
      <c r="I1206" s="64"/>
      <c r="J1206" s="64"/>
      <c r="K1206" s="64"/>
      <c r="L1206" s="64"/>
      <c r="M1206" s="64"/>
      <c r="N1206" s="64"/>
      <c r="O1206" s="64"/>
      <c r="P1206" s="64"/>
      <c r="Q1206" s="54" t="s">
        <v>370</v>
      </c>
      <c r="R1206" s="54"/>
      <c r="S1206" s="129"/>
      <c r="T1206" s="105"/>
      <c r="U1206" s="133">
        <f>$K$1213*$I$1202*$G$1170*$E$1207*$C$1053*$A$1008*$M$1208*$O$1203*$Q$1198</f>
        <v>0</v>
      </c>
      <c r="V1206" s="133"/>
      <c r="W1206" s="134">
        <f>$K$1214+$I$1203+$G$1171+$E$1208+$C$1054+$A$1009+$M$1209+$O$1204+Q1208</f>
        <v>246763.63614820561</v>
      </c>
      <c r="X1206" s="133">
        <f>u_Healthy</f>
        <v>0</v>
      </c>
      <c r="Y1206" s="133"/>
      <c r="Z1206" s="134">
        <f t="shared" si="118"/>
        <v>0</v>
      </c>
      <c r="AA1206" s="6">
        <f t="shared" si="117"/>
        <v>0</v>
      </c>
    </row>
    <row r="1207" spans="1:27" x14ac:dyDescent="0.3">
      <c r="A1207" s="10"/>
      <c r="B1207" s="10"/>
      <c r="C1207" s="10"/>
      <c r="D1207" s="10"/>
      <c r="E1207" s="56">
        <f>LB2term_3</f>
        <v>0.82518226002430128</v>
      </c>
      <c r="F1207" s="41"/>
      <c r="G1207" s="64"/>
      <c r="H1207" s="64"/>
      <c r="I1207" s="64"/>
      <c r="J1207" s="64"/>
      <c r="K1207" s="64"/>
      <c r="L1207" s="64"/>
      <c r="M1207" s="54" t="s">
        <v>9</v>
      </c>
      <c r="N1207" s="64"/>
      <c r="O1207" s="64"/>
      <c r="P1207" s="64"/>
      <c r="Q1207" s="56">
        <f>1-Q1198-Q1201-Q1204</f>
        <v>0.60619800000000001</v>
      </c>
      <c r="R1207" s="56"/>
      <c r="S1207" s="129"/>
      <c r="T1207" s="105"/>
      <c r="U1207" s="133"/>
      <c r="V1207" s="135">
        <v>0</v>
      </c>
      <c r="W1207" s="133"/>
      <c r="X1207" s="133"/>
      <c r="Y1207" s="133"/>
      <c r="Z1207" s="134">
        <f t="shared" si="118"/>
        <v>0</v>
      </c>
      <c r="AA1207" s="6">
        <f t="shared" si="117"/>
        <v>0</v>
      </c>
    </row>
    <row r="1208" spans="1:27" x14ac:dyDescent="0.3">
      <c r="A1208" s="10"/>
      <c r="B1208" s="10"/>
      <c r="C1208" s="10"/>
      <c r="D1208" s="10"/>
      <c r="E1208" s="57"/>
      <c r="F1208" s="41"/>
      <c r="G1208" s="64"/>
      <c r="H1208" s="64"/>
      <c r="I1208" s="64"/>
      <c r="J1208" s="64"/>
      <c r="K1208" s="65"/>
      <c r="L1208" s="64"/>
      <c r="M1208" s="56">
        <f>S_term_2RDS_3</f>
        <v>0</v>
      </c>
      <c r="N1208" s="64"/>
      <c r="O1208" s="64"/>
      <c r="P1208" s="64"/>
      <c r="Q1208" s="57">
        <f>c_clinic_fu+c_CSG</f>
        <v>14403</v>
      </c>
      <c r="R1208" s="57"/>
      <c r="S1208" s="129"/>
      <c r="T1208" s="105"/>
      <c r="U1208" s="133"/>
      <c r="V1208" s="133"/>
      <c r="W1208" s="133"/>
      <c r="X1208" s="133"/>
      <c r="Y1208" s="133"/>
      <c r="Z1208" s="134">
        <f t="shared" si="118"/>
        <v>0</v>
      </c>
      <c r="AA1208" s="6">
        <f t="shared" si="117"/>
        <v>0</v>
      </c>
    </row>
    <row r="1209" spans="1:27" x14ac:dyDescent="0.3">
      <c r="A1209" s="10"/>
      <c r="B1209" s="10"/>
      <c r="C1209" s="10"/>
      <c r="D1209" s="10"/>
      <c r="E1209" s="10"/>
      <c r="F1209" s="41"/>
      <c r="G1209" s="64"/>
      <c r="H1209" s="64"/>
      <c r="I1209" s="64"/>
      <c r="J1209" s="64"/>
      <c r="K1209" s="65"/>
      <c r="L1209" s="64"/>
      <c r="M1209" s="57">
        <f>c_RDS</f>
        <v>30595.610148205637</v>
      </c>
      <c r="N1209" s="64"/>
      <c r="O1209" s="64"/>
      <c r="P1209" s="64"/>
      <c r="Q1209" s="65"/>
      <c r="R1209" s="65"/>
      <c r="S1209" s="129"/>
      <c r="T1209" s="105"/>
      <c r="U1209" s="133"/>
      <c r="V1209" s="133"/>
      <c r="W1209" s="133"/>
      <c r="X1209" s="133"/>
      <c r="Y1209" s="133"/>
      <c r="Z1209" s="134">
        <f t="shared" si="118"/>
        <v>0</v>
      </c>
      <c r="AA1209" s="6">
        <f t="shared" si="117"/>
        <v>0</v>
      </c>
    </row>
    <row r="1210" spans="1:27" x14ac:dyDescent="0.3">
      <c r="A1210" s="10"/>
      <c r="B1210" s="10"/>
      <c r="C1210" s="10"/>
      <c r="D1210" s="10"/>
      <c r="E1210" s="10"/>
      <c r="F1210" s="41"/>
      <c r="G1210" s="64"/>
      <c r="H1210" s="64"/>
      <c r="I1210" s="64"/>
      <c r="J1210" s="64"/>
      <c r="K1210" s="64"/>
      <c r="L1210" s="64"/>
      <c r="M1210" s="64"/>
      <c r="N1210" s="64"/>
      <c r="O1210" s="64"/>
      <c r="P1210" s="64"/>
      <c r="Q1210" s="54" t="s">
        <v>368</v>
      </c>
      <c r="R1210" s="54"/>
      <c r="S1210" s="129"/>
      <c r="T1210" s="105"/>
      <c r="U1210" s="133">
        <f>$K$1213*$I$1202*$G$1170*$E$1207*$C$1053*$A$1008*$M$1208*$O$1213*$Q$1211</f>
        <v>0</v>
      </c>
      <c r="V1210" s="133"/>
      <c r="W1210" s="134">
        <f>$K$1214+$I$1203+$G$1171+$E$1208+$C$1054+$A$1009+$M$1209+$O$1214+Q1212</f>
        <v>283953.88665060559</v>
      </c>
      <c r="X1210" s="133">
        <f>u_ChronicResp</f>
        <v>0.53465956747782661</v>
      </c>
      <c r="Y1210" s="133"/>
      <c r="Z1210" s="134">
        <f t="shared" si="118"/>
        <v>0</v>
      </c>
      <c r="AA1210" s="6">
        <f t="shared" si="117"/>
        <v>0</v>
      </c>
    </row>
    <row r="1211" spans="1:27" x14ac:dyDescent="0.3">
      <c r="A1211" s="10"/>
      <c r="B1211" s="10"/>
      <c r="C1211" s="10"/>
      <c r="D1211" s="10"/>
      <c r="E1211" s="10"/>
      <c r="F1211" s="41"/>
      <c r="G1211" s="64"/>
      <c r="H1211" s="64"/>
      <c r="I1211" s="64"/>
      <c r="J1211" s="64"/>
      <c r="K1211" s="64"/>
      <c r="L1211" s="64"/>
      <c r="M1211" s="64"/>
      <c r="N1211" s="64"/>
      <c r="O1211" s="64"/>
      <c r="P1211" s="64"/>
      <c r="Q1211" s="56">
        <f>RDS2CLD_3-(RDS2CLD_3*noHypo2CI_3)</f>
        <v>0.34905610687022898</v>
      </c>
      <c r="R1211" s="56"/>
      <c r="S1211" s="129"/>
      <c r="T1211" s="105"/>
      <c r="U1211" s="133"/>
      <c r="V1211" s="135">
        <v>0</v>
      </c>
      <c r="W1211" s="133"/>
      <c r="X1211" s="133"/>
      <c r="Y1211" s="133"/>
      <c r="Z1211" s="134">
        <f t="shared" si="118"/>
        <v>0</v>
      </c>
      <c r="AA1211" s="6">
        <f t="shared" si="117"/>
        <v>0</v>
      </c>
    </row>
    <row r="1212" spans="1:27" x14ac:dyDescent="0.3">
      <c r="A1212" s="10"/>
      <c r="B1212" s="10"/>
      <c r="C1212" s="10"/>
      <c r="D1212" s="10"/>
      <c r="E1212" s="10"/>
      <c r="F1212" s="41"/>
      <c r="G1212" s="64"/>
      <c r="H1212" s="64"/>
      <c r="I1212" s="64"/>
      <c r="J1212" s="64"/>
      <c r="K1212" s="54" t="s">
        <v>37</v>
      </c>
      <c r="L1212" s="64"/>
      <c r="M1212" s="65"/>
      <c r="N1212" s="64"/>
      <c r="O1212" s="54" t="s">
        <v>371</v>
      </c>
      <c r="P1212" s="64"/>
      <c r="Q1212" s="57">
        <f>c_lung+c_hosp_fu+c_CSG</f>
        <v>54529.510902399998</v>
      </c>
      <c r="R1212" s="57"/>
      <c r="S1212" s="129"/>
      <c r="T1212" s="105"/>
      <c r="U1212" s="133"/>
      <c r="V1212" s="133"/>
      <c r="W1212" s="133"/>
      <c r="X1212" s="133"/>
      <c r="Y1212" s="133"/>
      <c r="Z1212" s="134">
        <f t="shared" si="118"/>
        <v>0</v>
      </c>
      <c r="AA1212" s="6">
        <f t="shared" si="117"/>
        <v>0</v>
      </c>
    </row>
    <row r="1213" spans="1:27" x14ac:dyDescent="0.3">
      <c r="A1213" s="10"/>
      <c r="B1213" s="10"/>
      <c r="C1213" s="10"/>
      <c r="D1213" s="10"/>
      <c r="E1213" s="10"/>
      <c r="F1213" s="41"/>
      <c r="G1213" s="64"/>
      <c r="H1213" s="64"/>
      <c r="I1213" s="64"/>
      <c r="J1213" s="64"/>
      <c r="K1213" s="56">
        <f>AGA_term_2s_3</f>
        <v>0.99376666666666669</v>
      </c>
      <c r="L1213" s="64"/>
      <c r="M1213" s="64"/>
      <c r="N1213" s="64"/>
      <c r="O1213" s="56">
        <f>AGA_term_2normoglycaemia_3</f>
        <v>1</v>
      </c>
      <c r="P1213" s="64"/>
      <c r="Q1213" s="54" t="s">
        <v>226</v>
      </c>
      <c r="R1213" s="54"/>
      <c r="S1213" s="129"/>
      <c r="T1213" s="105"/>
      <c r="U1213" s="133">
        <f>$K$1213*$I$1202*$G$1170*$E$1207*$C$1053*$A$1008*$M$1208*$O$1213*$Q$1211</f>
        <v>0</v>
      </c>
      <c r="V1213" s="133"/>
      <c r="W1213" s="134">
        <f>$K$1214+$I$1203+$G$1171+$E$1208+$C$1054+$A$1009+$M$1209+$O$1214+Q1215</f>
        <v>245190.37574820561</v>
      </c>
      <c r="X1213" s="133">
        <f>u_CongnitiveImpairement</f>
        <v>17.270393127285455</v>
      </c>
      <c r="Y1213" s="133"/>
      <c r="Z1213" s="134">
        <f t="shared" si="118"/>
        <v>0</v>
      </c>
      <c r="AA1213" s="6">
        <f t="shared" si="117"/>
        <v>0</v>
      </c>
    </row>
    <row r="1214" spans="1:27" x14ac:dyDescent="0.3">
      <c r="A1214" s="10"/>
      <c r="B1214" s="10"/>
      <c r="C1214" s="10"/>
      <c r="D1214" s="10"/>
      <c r="E1214" s="10"/>
      <c r="F1214" s="41"/>
      <c r="G1214" s="64"/>
      <c r="H1214" s="64"/>
      <c r="I1214" s="64"/>
      <c r="J1214" s="64"/>
      <c r="K1214" s="57"/>
      <c r="L1214" s="64"/>
      <c r="M1214" s="64"/>
      <c r="N1214" s="64"/>
      <c r="O1214" s="57"/>
      <c r="P1214" s="64"/>
      <c r="Q1214" s="56">
        <f>noHypo2CI_3-(RDS2CLD_3*noHypo2CI_3)</f>
        <v>2.1141683406990762E-2</v>
      </c>
      <c r="R1214" s="56"/>
      <c r="S1214" s="129"/>
      <c r="T1214" s="105"/>
      <c r="U1214" s="133"/>
      <c r="V1214" s="135">
        <v>0</v>
      </c>
      <c r="W1214" s="133"/>
      <c r="X1214" s="133"/>
      <c r="Y1214" s="133"/>
      <c r="Z1214" s="134">
        <f t="shared" si="118"/>
        <v>0</v>
      </c>
      <c r="AA1214" s="6">
        <f t="shared" si="117"/>
        <v>0</v>
      </c>
    </row>
    <row r="1215" spans="1:27" x14ac:dyDescent="0.3">
      <c r="A1215" s="10"/>
      <c r="B1215" s="10"/>
      <c r="C1215" s="10"/>
      <c r="D1215" s="10"/>
      <c r="E1215" s="10"/>
      <c r="F1215" s="41"/>
      <c r="G1215" s="41"/>
      <c r="H1215" s="64"/>
      <c r="I1215" s="64"/>
      <c r="J1215" s="64"/>
      <c r="K1215" s="64"/>
      <c r="L1215" s="64"/>
      <c r="M1215" s="64"/>
      <c r="N1215" s="64"/>
      <c r="O1215" s="53"/>
      <c r="P1215" s="64"/>
      <c r="Q1215" s="57">
        <f>c_cog+c_hosp_fu+c_CSG</f>
        <v>15766</v>
      </c>
      <c r="R1215" s="57"/>
      <c r="S1215" s="129"/>
      <c r="T1215" s="105"/>
      <c r="U1215" s="133"/>
      <c r="V1215" s="133"/>
      <c r="W1215" s="133"/>
      <c r="X1215" s="133"/>
      <c r="Y1215" s="133"/>
      <c r="Z1215" s="134">
        <f t="shared" si="118"/>
        <v>0</v>
      </c>
      <c r="AA1215" s="6">
        <f t="shared" si="117"/>
        <v>0</v>
      </c>
    </row>
    <row r="1216" spans="1:27" x14ac:dyDescent="0.3">
      <c r="A1216" s="10"/>
      <c r="B1216" s="10"/>
      <c r="C1216" s="10"/>
      <c r="D1216" s="10"/>
      <c r="E1216" s="10"/>
      <c r="F1216" s="41"/>
      <c r="G1216" s="41"/>
      <c r="H1216" s="64"/>
      <c r="I1216" s="64"/>
      <c r="J1216" s="64"/>
      <c r="K1216" s="64"/>
      <c r="L1216" s="64"/>
      <c r="M1216" s="64"/>
      <c r="N1216" s="64"/>
      <c r="O1216" s="53"/>
      <c r="P1216" s="64"/>
      <c r="Q1216" s="54" t="s">
        <v>369</v>
      </c>
      <c r="R1216" s="54"/>
      <c r="S1216" s="129"/>
      <c r="T1216" s="105"/>
      <c r="U1216" s="133">
        <f>$K$1213*$I$1202*$G$1170*$E$1207*$C$1053*$A$1008*$M$1208*$O$1213*$Q$1211</f>
        <v>0</v>
      </c>
      <c r="V1216" s="133"/>
      <c r="W1216" s="134">
        <f>$K$1214+$I$1203+$G$1171+$E$1208+$C$1054+$A$1009+$M$1209+$O$1214+Q1218</f>
        <v>287772.88665060559</v>
      </c>
      <c r="X1216" s="133">
        <f>u_ChronicResp+u_CongnitiveImpairement</f>
        <v>17.805052694763283</v>
      </c>
      <c r="Y1216" s="133"/>
      <c r="Z1216" s="134">
        <f t="shared" si="118"/>
        <v>0</v>
      </c>
      <c r="AA1216" s="6">
        <f t="shared" si="117"/>
        <v>0</v>
      </c>
    </row>
    <row r="1217" spans="1:27" x14ac:dyDescent="0.3">
      <c r="A1217" s="10"/>
      <c r="B1217" s="10"/>
      <c r="C1217" s="10"/>
      <c r="D1217" s="10"/>
      <c r="E1217" s="10"/>
      <c r="F1217" s="41"/>
      <c r="G1217" s="41"/>
      <c r="H1217" s="64"/>
      <c r="I1217" s="64"/>
      <c r="J1217" s="64"/>
      <c r="K1217" s="64"/>
      <c r="L1217" s="64"/>
      <c r="M1217" s="64"/>
      <c r="N1217" s="64"/>
      <c r="O1217" s="53"/>
      <c r="P1217" s="64"/>
      <c r="Q1217" s="56">
        <f>RDS2CLD_3*noHypo2CI_3</f>
        <v>1.1943893129770991E-2</v>
      </c>
      <c r="R1217" s="56"/>
      <c r="S1217" s="129"/>
      <c r="T1217" s="105"/>
      <c r="U1217" s="133"/>
      <c r="V1217" s="135">
        <v>0</v>
      </c>
      <c r="W1217" s="133"/>
      <c r="X1217" s="133"/>
      <c r="Y1217" s="133"/>
      <c r="Z1217" s="134">
        <f t="shared" si="118"/>
        <v>0</v>
      </c>
      <c r="AA1217" s="6">
        <f t="shared" si="117"/>
        <v>0</v>
      </c>
    </row>
    <row r="1218" spans="1:27" x14ac:dyDescent="0.3">
      <c r="A1218" s="10"/>
      <c r="B1218" s="10"/>
      <c r="C1218" s="10"/>
      <c r="D1218" s="10"/>
      <c r="E1218" s="10"/>
      <c r="F1218" s="41"/>
      <c r="G1218" s="64"/>
      <c r="H1218" s="64"/>
      <c r="I1218" s="64"/>
      <c r="J1218" s="64"/>
      <c r="K1218" s="64"/>
      <c r="L1218" s="64"/>
      <c r="M1218" s="64"/>
      <c r="N1218" s="64"/>
      <c r="O1218" s="53"/>
      <c r="P1218" s="64"/>
      <c r="Q1218" s="57">
        <f>c_cog+c_lung+c_hosp_fu+c_CSG</f>
        <v>58348.510902399998</v>
      </c>
      <c r="R1218" s="57"/>
      <c r="S1218" s="129"/>
      <c r="T1218" s="105"/>
      <c r="U1218" s="133"/>
      <c r="V1218" s="133"/>
      <c r="W1218" s="133"/>
      <c r="X1218" s="133"/>
      <c r="Y1218" s="133"/>
      <c r="Z1218" s="134">
        <f t="shared" si="118"/>
        <v>0</v>
      </c>
      <c r="AA1218" s="6">
        <f t="shared" si="117"/>
        <v>0</v>
      </c>
    </row>
    <row r="1219" spans="1:27" x14ac:dyDescent="0.3">
      <c r="A1219" s="10"/>
      <c r="B1219" s="10"/>
      <c r="C1219" s="10"/>
      <c r="D1219" s="10"/>
      <c r="E1219" s="10"/>
      <c r="F1219" s="41"/>
      <c r="G1219" s="64"/>
      <c r="H1219" s="64"/>
      <c r="I1219" s="64"/>
      <c r="J1219" s="64"/>
      <c r="K1219" s="64"/>
      <c r="L1219" s="64"/>
      <c r="M1219" s="64"/>
      <c r="N1219" s="64"/>
      <c r="O1219" s="53"/>
      <c r="P1219" s="64"/>
      <c r="Q1219" s="54" t="s">
        <v>370</v>
      </c>
      <c r="R1219" s="54"/>
      <c r="T1219" s="105"/>
      <c r="U1219" s="133">
        <f>$K$1213*$I$1202*$G$1170*$E$1207*$C$1053*$A$1008*$M$1208*$O$1213*$Q$1211</f>
        <v>0</v>
      </c>
      <c r="V1219" s="133"/>
      <c r="W1219" s="134">
        <f>$K$1214+$I$1203+$G$1171+$E$1208+$C$1054+$A$1009+$M$1209+$O$1214+Q1221</f>
        <v>243827.37574820561</v>
      </c>
      <c r="X1219" s="133">
        <f>u_Healthy</f>
        <v>0</v>
      </c>
      <c r="Y1219" s="133"/>
      <c r="Z1219" s="134">
        <f t="shared" si="118"/>
        <v>0</v>
      </c>
      <c r="AA1219" s="6">
        <f t="shared" si="117"/>
        <v>0</v>
      </c>
    </row>
    <row r="1220" spans="1:27" x14ac:dyDescent="0.3">
      <c r="A1220" s="10"/>
      <c r="B1220" s="10"/>
      <c r="C1220" s="10"/>
      <c r="D1220" s="10"/>
      <c r="E1220" s="10"/>
      <c r="F1220" s="41"/>
      <c r="G1220" s="64"/>
      <c r="H1220" s="64"/>
      <c r="I1220" s="64"/>
      <c r="J1220" s="64"/>
      <c r="K1220" s="64"/>
      <c r="L1220" s="64"/>
      <c r="M1220" s="64"/>
      <c r="N1220" s="64"/>
      <c r="O1220" s="53"/>
      <c r="P1220" s="64"/>
      <c r="Q1220" s="56">
        <f>1-Q1217-Q1214-Q1211</f>
        <v>0.61785831659300938</v>
      </c>
      <c r="R1220" s="56"/>
      <c r="S1220" s="129"/>
      <c r="T1220" s="105"/>
      <c r="U1220" s="133"/>
      <c r="V1220" s="135">
        <v>0</v>
      </c>
      <c r="W1220" s="133"/>
      <c r="X1220" s="133"/>
      <c r="Y1220" s="133"/>
      <c r="Z1220" s="134">
        <f t="shared" si="118"/>
        <v>0</v>
      </c>
      <c r="AA1220" s="6">
        <f t="shared" si="117"/>
        <v>0</v>
      </c>
    </row>
    <row r="1221" spans="1:27" x14ac:dyDescent="0.3">
      <c r="A1221" s="10"/>
      <c r="B1221" s="10"/>
      <c r="C1221" s="10"/>
      <c r="D1221" s="10"/>
      <c r="E1221" s="10"/>
      <c r="F1221" s="41"/>
      <c r="G1221" s="64"/>
      <c r="H1221" s="64"/>
      <c r="I1221" s="64"/>
      <c r="J1221" s="64"/>
      <c r="K1221" s="64"/>
      <c r="L1221" s="64"/>
      <c r="M1221" s="64"/>
      <c r="N1221" s="64"/>
      <c r="O1221" s="64"/>
      <c r="P1221" s="64"/>
      <c r="Q1221" s="57">
        <f>c_clinic_fu+c_CSG</f>
        <v>14403</v>
      </c>
      <c r="R1221" s="57"/>
      <c r="S1221" s="129"/>
      <c r="T1221" s="105"/>
      <c r="U1221" s="133"/>
      <c r="V1221" s="133"/>
      <c r="W1221" s="133"/>
      <c r="X1221" s="133"/>
      <c r="Y1221" s="133"/>
      <c r="Z1221" s="134">
        <f t="shared" si="118"/>
        <v>0</v>
      </c>
      <c r="AA1221" s="6">
        <f t="shared" si="117"/>
        <v>0</v>
      </c>
    </row>
    <row r="1222" spans="1:27" x14ac:dyDescent="0.3">
      <c r="A1222" s="10"/>
      <c r="B1222" s="10"/>
      <c r="C1222" s="10"/>
      <c r="D1222" s="10"/>
      <c r="E1222" s="10"/>
      <c r="F1222" s="41"/>
      <c r="G1222" s="64"/>
      <c r="H1222" s="64"/>
      <c r="I1222" s="64"/>
      <c r="J1222" s="64"/>
      <c r="K1222" s="64"/>
      <c r="L1222" s="64"/>
      <c r="M1222" s="64"/>
      <c r="N1222" s="64"/>
      <c r="O1222" s="64"/>
      <c r="P1222" s="64"/>
      <c r="Q1222" s="65"/>
      <c r="R1222" s="65"/>
      <c r="S1222" s="129"/>
      <c r="T1222" s="105"/>
      <c r="U1222" s="133"/>
      <c r="V1222" s="133"/>
      <c r="W1222" s="133"/>
      <c r="X1222" s="133"/>
      <c r="Y1222" s="133"/>
      <c r="Z1222" s="134">
        <f t="shared" si="118"/>
        <v>0</v>
      </c>
      <c r="AA1222" s="6">
        <f t="shared" si="117"/>
        <v>0</v>
      </c>
    </row>
    <row r="1223" spans="1:27" x14ac:dyDescent="0.3">
      <c r="A1223" s="10"/>
      <c r="B1223" s="10"/>
      <c r="C1223" s="10"/>
      <c r="D1223" s="10"/>
      <c r="E1223" s="10"/>
      <c r="F1223" s="41"/>
      <c r="G1223" s="64"/>
      <c r="H1223" s="64"/>
      <c r="I1223" s="64"/>
      <c r="J1223" s="64"/>
      <c r="K1223" s="64"/>
      <c r="L1223" s="64"/>
      <c r="M1223" s="64"/>
      <c r="N1223" s="64"/>
      <c r="O1223" s="64"/>
      <c r="P1223" s="64"/>
      <c r="Q1223" s="54" t="s">
        <v>368</v>
      </c>
      <c r="R1223" s="54"/>
      <c r="S1223" s="129"/>
      <c r="T1223" s="105"/>
      <c r="U1223" s="133">
        <f>$K$1213*$I$1202*$G$1170*$E$1207*$C$1053*$A$1008*$M$1228*$O$1226*$Q$1224</f>
        <v>0</v>
      </c>
      <c r="V1223" s="133"/>
      <c r="W1223" s="134">
        <f>$K$1214+$I$1203+$G$1171+$E$1208+$C$1054+$A$1009+$M$1229+$O$1227+Q1225</f>
        <v>256294.53690239997</v>
      </c>
      <c r="X1223" s="133">
        <f>u_ChronicResp</f>
        <v>0.53465956747782661</v>
      </c>
      <c r="Y1223" s="133"/>
      <c r="Z1223" s="134">
        <f t="shared" si="118"/>
        <v>0</v>
      </c>
      <c r="AA1223" s="6">
        <f t="shared" si="117"/>
        <v>0</v>
      </c>
    </row>
    <row r="1224" spans="1:27" x14ac:dyDescent="0.3">
      <c r="A1224" s="10"/>
      <c r="B1224" s="10"/>
      <c r="C1224" s="10"/>
      <c r="D1224" s="10"/>
      <c r="E1224" s="10"/>
      <c r="F1224" s="41"/>
      <c r="G1224" s="64"/>
      <c r="H1224" s="64"/>
      <c r="I1224" s="64"/>
      <c r="J1224" s="64"/>
      <c r="K1224" s="64"/>
      <c r="L1224" s="64"/>
      <c r="M1224" s="64"/>
      <c r="N1224" s="64"/>
      <c r="O1224" s="64"/>
      <c r="P1224" s="64"/>
      <c r="Q1224" s="56">
        <f>noRDS2CLD_3-(Hypo2CI_3*noRDS2CLD_3)</f>
        <v>0</v>
      </c>
      <c r="R1224" s="56"/>
      <c r="S1224" s="129"/>
      <c r="T1224" s="105"/>
      <c r="U1224" s="133"/>
      <c r="V1224" s="135">
        <v>0</v>
      </c>
      <c r="W1224" s="133"/>
      <c r="X1224" s="133"/>
      <c r="Y1224" s="133"/>
      <c r="Z1224" s="134">
        <f t="shared" si="118"/>
        <v>0</v>
      </c>
      <c r="AA1224" s="6">
        <f t="shared" si="117"/>
        <v>0</v>
      </c>
    </row>
    <row r="1225" spans="1:27" x14ac:dyDescent="0.3">
      <c r="A1225" s="10"/>
      <c r="B1225" s="10"/>
      <c r="C1225" s="10"/>
      <c r="D1225" s="10"/>
      <c r="E1225" s="10"/>
      <c r="F1225" s="41"/>
      <c r="G1225" s="64"/>
      <c r="H1225" s="64"/>
      <c r="I1225" s="64"/>
      <c r="J1225" s="64"/>
      <c r="K1225" s="64"/>
      <c r="L1225" s="64"/>
      <c r="M1225" s="64"/>
      <c r="N1225" s="64"/>
      <c r="O1225" s="54" t="s">
        <v>161</v>
      </c>
      <c r="P1225" s="64"/>
      <c r="Q1225" s="57">
        <f>c_lung+c_hosp_fu+c_CSG</f>
        <v>54529.510902399998</v>
      </c>
      <c r="R1225" s="57"/>
      <c r="S1225" s="129"/>
      <c r="T1225" s="105"/>
      <c r="U1225" s="133"/>
      <c r="V1225" s="133"/>
      <c r="W1225" s="133"/>
      <c r="X1225" s="133"/>
      <c r="Y1225" s="133"/>
      <c r="Z1225" s="134">
        <f t="shared" si="118"/>
        <v>0</v>
      </c>
      <c r="AA1225" s="6">
        <f t="shared" si="117"/>
        <v>0</v>
      </c>
    </row>
    <row r="1226" spans="1:27" x14ac:dyDescent="0.3">
      <c r="A1226" s="10"/>
      <c r="B1226" s="10"/>
      <c r="C1226" s="10"/>
      <c r="D1226" s="10"/>
      <c r="E1226" s="10"/>
      <c r="F1226" s="41"/>
      <c r="G1226" s="64"/>
      <c r="H1226" s="64"/>
      <c r="I1226" s="64"/>
      <c r="J1226" s="64"/>
      <c r="K1226" s="64"/>
      <c r="L1226" s="64"/>
      <c r="M1226" s="64"/>
      <c r="N1226" s="64"/>
      <c r="O1226" s="56">
        <f>AGA_term_2hypoglycaemia_3</f>
        <v>0</v>
      </c>
      <c r="P1226" s="64"/>
      <c r="Q1226" s="54" t="s">
        <v>226</v>
      </c>
      <c r="R1226" s="54"/>
      <c r="S1226" s="129"/>
      <c r="T1226" s="105"/>
      <c r="U1226" s="133">
        <f>$K$1213*$I$1202*$G$1170*$E$1207*$C$1053*$A$1008*$M$1228*$O$1226*$Q$1224</f>
        <v>0</v>
      </c>
      <c r="V1226" s="133"/>
      <c r="W1226" s="134">
        <f>$K$1214+$I$1203+$G$1171+$E$1208+$C$1054+$A$1009+$M$1229+$O$1227+Q1228</f>
        <v>217531.02599999998</v>
      </c>
      <c r="X1226" s="133">
        <f>u_CongnitiveImpairement</f>
        <v>17.270393127285455</v>
      </c>
      <c r="Y1226" s="133"/>
      <c r="Z1226" s="134">
        <f t="shared" si="118"/>
        <v>0</v>
      </c>
      <c r="AA1226" s="6">
        <f t="shared" si="117"/>
        <v>0</v>
      </c>
    </row>
    <row r="1227" spans="1:27" x14ac:dyDescent="0.3">
      <c r="A1227" s="10"/>
      <c r="B1227" s="10"/>
      <c r="C1227" s="10"/>
      <c r="D1227" s="10"/>
      <c r="E1227" s="10"/>
      <c r="F1227" s="41"/>
      <c r="G1227" s="64"/>
      <c r="H1227" s="64"/>
      <c r="I1227" s="64"/>
      <c r="J1227" s="64"/>
      <c r="K1227" s="64"/>
      <c r="L1227" s="64"/>
      <c r="M1227" s="54" t="s">
        <v>203</v>
      </c>
      <c r="N1227" s="64"/>
      <c r="O1227" s="57">
        <f>c_hypo</f>
        <v>2936.2604000000001</v>
      </c>
      <c r="P1227" s="64"/>
      <c r="Q1227" s="56">
        <f>Hypo2CI_3-(Hypo2CI_3*noRDS2CLD_3)</f>
        <v>5.1333333333333335E-2</v>
      </c>
      <c r="R1227" s="56"/>
      <c r="S1227" s="129"/>
      <c r="T1227" s="105"/>
      <c r="U1227" s="133"/>
      <c r="V1227" s="135">
        <v>0</v>
      </c>
      <c r="W1227" s="133"/>
      <c r="X1227" s="133"/>
      <c r="Y1227" s="133"/>
      <c r="Z1227" s="134">
        <f t="shared" si="118"/>
        <v>0</v>
      </c>
      <c r="AA1227" s="6">
        <f t="shared" si="117"/>
        <v>0</v>
      </c>
    </row>
    <row r="1228" spans="1:27" x14ac:dyDescent="0.3">
      <c r="A1228" s="10"/>
      <c r="B1228" s="10"/>
      <c r="C1228" s="10"/>
      <c r="D1228" s="10"/>
      <c r="E1228" s="10"/>
      <c r="F1228" s="41"/>
      <c r="G1228" s="64"/>
      <c r="H1228" s="64"/>
      <c r="I1228" s="64"/>
      <c r="J1228" s="64"/>
      <c r="K1228" s="64"/>
      <c r="L1228" s="64"/>
      <c r="M1228" s="56">
        <f>S_term_2noRDS_3</f>
        <v>1</v>
      </c>
      <c r="N1228" s="64"/>
      <c r="O1228" s="53"/>
      <c r="P1228" s="64"/>
      <c r="Q1228" s="57">
        <f>c_cog+c_hosp_fu+c_CSG</f>
        <v>15766</v>
      </c>
      <c r="R1228" s="57"/>
      <c r="S1228" s="129"/>
      <c r="T1228" s="105"/>
      <c r="U1228" s="133"/>
      <c r="V1228" s="133"/>
      <c r="W1228" s="133"/>
      <c r="X1228" s="133"/>
      <c r="Y1228" s="133"/>
      <c r="Z1228" s="134">
        <f t="shared" si="118"/>
        <v>0</v>
      </c>
      <c r="AA1228" s="6">
        <f t="shared" si="117"/>
        <v>0</v>
      </c>
    </row>
    <row r="1229" spans="1:27" x14ac:dyDescent="0.3">
      <c r="A1229" s="10"/>
      <c r="B1229" s="10"/>
      <c r="C1229" s="10"/>
      <c r="D1229" s="10"/>
      <c r="E1229" s="10"/>
      <c r="F1229" s="41"/>
      <c r="G1229" s="64"/>
      <c r="H1229" s="64"/>
      <c r="I1229" s="64"/>
      <c r="J1229" s="64"/>
      <c r="K1229" s="64"/>
      <c r="L1229" s="64"/>
      <c r="M1229" s="57"/>
      <c r="N1229" s="64"/>
      <c r="O1229" s="65"/>
      <c r="P1229" s="64"/>
      <c r="Q1229" s="54" t="s">
        <v>369</v>
      </c>
      <c r="R1229" s="54"/>
      <c r="S1229" s="129"/>
      <c r="T1229" s="105"/>
      <c r="U1229" s="133">
        <f>$K$1213*$I$1202*$G$1170*$E$1207*$C$1053*$A$1008*$M$1228*$O$1226*$Q$1224</f>
        <v>0</v>
      </c>
      <c r="V1229" s="133"/>
      <c r="W1229" s="134">
        <f>$K$1214+$I$1203+$G$1171+$E$1208+$C$1054+$A$1009+$M$1229+$O$1227+Q1231</f>
        <v>260113.53690239997</v>
      </c>
      <c r="X1229" s="133">
        <f>u_ChronicResp+u_CongnitiveImpairement</f>
        <v>17.805052694763283</v>
      </c>
      <c r="Y1229" s="133"/>
      <c r="Z1229" s="134">
        <f t="shared" si="118"/>
        <v>0</v>
      </c>
      <c r="AA1229" s="6">
        <f t="shared" ref="AA1229:AA1292" si="119">U1229*X1229</f>
        <v>0</v>
      </c>
    </row>
    <row r="1230" spans="1:27" x14ac:dyDescent="0.3">
      <c r="A1230" s="10"/>
      <c r="B1230" s="10"/>
      <c r="C1230" s="10"/>
      <c r="D1230" s="10"/>
      <c r="E1230" s="10"/>
      <c r="F1230" s="41"/>
      <c r="G1230" s="64"/>
      <c r="H1230" s="64"/>
      <c r="I1230" s="53"/>
      <c r="J1230" s="53"/>
      <c r="K1230" s="64"/>
      <c r="L1230" s="64"/>
      <c r="M1230" s="65"/>
      <c r="N1230" s="64"/>
      <c r="O1230" s="41"/>
      <c r="P1230" s="64"/>
      <c r="Q1230" s="56">
        <f>noRDS2CLD_3*Hypo2CI_3</f>
        <v>0</v>
      </c>
      <c r="R1230" s="56"/>
      <c r="S1230" s="129"/>
      <c r="T1230" s="105"/>
      <c r="U1230" s="133"/>
      <c r="V1230" s="135">
        <v>0</v>
      </c>
      <c r="W1230" s="133"/>
      <c r="X1230" s="133"/>
      <c r="Y1230" s="133"/>
      <c r="Z1230" s="134">
        <f t="shared" si="118"/>
        <v>0</v>
      </c>
      <c r="AA1230" s="6">
        <f t="shared" si="119"/>
        <v>0</v>
      </c>
    </row>
    <row r="1231" spans="1:27" x14ac:dyDescent="0.3">
      <c r="A1231" s="10"/>
      <c r="B1231" s="10"/>
      <c r="C1231" s="10"/>
      <c r="D1231" s="10"/>
      <c r="E1231" s="10"/>
      <c r="F1231" s="41"/>
      <c r="G1231" s="64"/>
      <c r="H1231" s="64"/>
      <c r="I1231" s="53"/>
      <c r="J1231" s="53"/>
      <c r="K1231" s="64"/>
      <c r="L1231" s="64"/>
      <c r="M1231" s="65"/>
      <c r="N1231" s="64"/>
      <c r="O1231" s="41"/>
      <c r="P1231" s="64"/>
      <c r="Q1231" s="57">
        <f>c_lung+c_cog+c_hosp_fu+c_CSG</f>
        <v>58348.510902399998</v>
      </c>
      <c r="R1231" s="57"/>
      <c r="S1231" s="129"/>
      <c r="T1231" s="105"/>
      <c r="U1231" s="133"/>
      <c r="V1231" s="133"/>
      <c r="W1231" s="133"/>
      <c r="X1231" s="133"/>
      <c r="Y1231" s="133"/>
      <c r="Z1231" s="134">
        <f t="shared" ref="Z1231:Z1294" si="120">U1231*W1231</f>
        <v>0</v>
      </c>
      <c r="AA1231" s="6">
        <f t="shared" si="119"/>
        <v>0</v>
      </c>
    </row>
    <row r="1232" spans="1:27" x14ac:dyDescent="0.3">
      <c r="A1232" s="10"/>
      <c r="B1232" s="10"/>
      <c r="C1232" s="10"/>
      <c r="D1232" s="10"/>
      <c r="E1232" s="10"/>
      <c r="F1232" s="41"/>
      <c r="G1232" s="64"/>
      <c r="H1232" s="64"/>
      <c r="I1232" s="53"/>
      <c r="J1232" s="53"/>
      <c r="K1232" s="64"/>
      <c r="L1232" s="64"/>
      <c r="M1232" s="65"/>
      <c r="N1232" s="64"/>
      <c r="O1232" s="41"/>
      <c r="P1232" s="64"/>
      <c r="Q1232" s="54" t="s">
        <v>370</v>
      </c>
      <c r="R1232" s="54"/>
      <c r="T1232" s="105"/>
      <c r="U1232" s="133">
        <f>$K$1213*$I$1202*$G$1170*$E$1207*$C$1053*$A$1008*$M$1228*$O$1226*$Q$1224</f>
        <v>0</v>
      </c>
      <c r="V1232" s="133"/>
      <c r="W1232" s="134">
        <f>$K$1214+$I$1203+$G$1171+$E$1208+$C$1054+$A$1009+$M$1229+$O$1227+Q1234</f>
        <v>216168.02599999998</v>
      </c>
      <c r="X1232" s="133">
        <f>u_Healthy</f>
        <v>0</v>
      </c>
      <c r="Y1232" s="133"/>
      <c r="Z1232" s="134">
        <f t="shared" si="120"/>
        <v>0</v>
      </c>
      <c r="AA1232" s="6">
        <f t="shared" si="119"/>
        <v>0</v>
      </c>
    </row>
    <row r="1233" spans="1:27" x14ac:dyDescent="0.3">
      <c r="A1233" s="10"/>
      <c r="B1233" s="10"/>
      <c r="C1233" s="10"/>
      <c r="D1233" s="10"/>
      <c r="E1233" s="10"/>
      <c r="F1233" s="41"/>
      <c r="G1233" s="64"/>
      <c r="H1233" s="64"/>
      <c r="I1233" s="53"/>
      <c r="J1233" s="53"/>
      <c r="K1233" s="64"/>
      <c r="L1233" s="64"/>
      <c r="M1233" s="65"/>
      <c r="N1233" s="64"/>
      <c r="O1233" s="65"/>
      <c r="P1233" s="64"/>
      <c r="Q1233" s="56">
        <f>1-Q1230-Q1227-Q1224</f>
        <v>0.94866666666666666</v>
      </c>
      <c r="R1233" s="56"/>
      <c r="S1233" s="129"/>
      <c r="T1233" s="105"/>
      <c r="U1233" s="133"/>
      <c r="V1233" s="135">
        <v>0</v>
      </c>
      <c r="W1233" s="133"/>
      <c r="X1233" s="133"/>
      <c r="Y1233" s="133"/>
      <c r="Z1233" s="134">
        <f t="shared" si="120"/>
        <v>0</v>
      </c>
      <c r="AA1233" s="6">
        <f t="shared" si="119"/>
        <v>0</v>
      </c>
    </row>
    <row r="1234" spans="1:27" x14ac:dyDescent="0.3">
      <c r="A1234" s="10"/>
      <c r="B1234" s="10"/>
      <c r="C1234" s="10"/>
      <c r="D1234" s="10"/>
      <c r="E1234" s="10"/>
      <c r="F1234" s="41"/>
      <c r="G1234" s="64"/>
      <c r="H1234" s="64"/>
      <c r="I1234" s="53"/>
      <c r="J1234" s="53"/>
      <c r="K1234" s="64"/>
      <c r="L1234" s="64"/>
      <c r="M1234" s="65"/>
      <c r="N1234" s="64"/>
      <c r="O1234" s="64"/>
      <c r="P1234" s="64"/>
      <c r="Q1234" s="57">
        <f>c_clinic_fu+c_CSG</f>
        <v>14403</v>
      </c>
      <c r="R1234" s="57"/>
      <c r="S1234" s="130"/>
      <c r="T1234" s="105"/>
      <c r="U1234" s="133"/>
      <c r="V1234" s="133"/>
      <c r="W1234" s="133"/>
      <c r="X1234" s="133"/>
      <c r="Y1234" s="133"/>
      <c r="Z1234" s="134">
        <f t="shared" si="120"/>
        <v>0</v>
      </c>
      <c r="AA1234" s="6">
        <f t="shared" si="119"/>
        <v>0</v>
      </c>
    </row>
    <row r="1235" spans="1:27" x14ac:dyDescent="0.3">
      <c r="A1235" s="10"/>
      <c r="B1235" s="10"/>
      <c r="C1235" s="10"/>
      <c r="D1235" s="10"/>
      <c r="E1235" s="10"/>
      <c r="F1235" s="41"/>
      <c r="G1235" s="64"/>
      <c r="H1235" s="64"/>
      <c r="I1235" s="41"/>
      <c r="J1235" s="64"/>
      <c r="K1235" s="64"/>
      <c r="L1235" s="64"/>
      <c r="M1235" s="65"/>
      <c r="N1235" s="64"/>
      <c r="O1235" s="64"/>
      <c r="P1235" s="64"/>
      <c r="Q1235" s="65"/>
      <c r="R1235" s="65"/>
      <c r="S1235" s="129"/>
      <c r="T1235" s="105"/>
      <c r="U1235" s="133"/>
      <c r="V1235" s="133"/>
      <c r="W1235" s="133"/>
      <c r="X1235" s="133"/>
      <c r="Y1235" s="133"/>
      <c r="Z1235" s="134">
        <f t="shared" si="120"/>
        <v>0</v>
      </c>
      <c r="AA1235" s="6">
        <f t="shared" si="119"/>
        <v>0</v>
      </c>
    </row>
    <row r="1236" spans="1:27" x14ac:dyDescent="0.3">
      <c r="A1236" s="10"/>
      <c r="B1236" s="10"/>
      <c r="C1236" s="10"/>
      <c r="D1236" s="10"/>
      <c r="E1236" s="10"/>
      <c r="F1236" s="41"/>
      <c r="G1236" s="64"/>
      <c r="H1236" s="64"/>
      <c r="I1236" s="41"/>
      <c r="J1236" s="64"/>
      <c r="K1236" s="64"/>
      <c r="L1236" s="64"/>
      <c r="M1236" s="65"/>
      <c r="N1236" s="64"/>
      <c r="O1236" s="64"/>
      <c r="P1236" s="64"/>
      <c r="Q1236" s="54" t="s">
        <v>368</v>
      </c>
      <c r="R1236" s="54"/>
      <c r="S1236" s="129"/>
      <c r="T1236" s="105"/>
      <c r="U1236" s="133">
        <f>$K$1213*$I$1202*$G$1170*$E$1207*$C$1053*$A$1008*$M$1228*$O$1240*$Q$1237</f>
        <v>0</v>
      </c>
      <c r="V1236" s="133"/>
      <c r="W1236" s="134">
        <f>$K$1214+$I$1203+$G$1171+$E$1208+$C$1054+$A$1009+$M$1229+$O$1241+Q1238</f>
        <v>255387.53690239997</v>
      </c>
      <c r="X1236" s="133">
        <f>u_ChronicResp</f>
        <v>0.53465956747782661</v>
      </c>
      <c r="Y1236" s="133"/>
      <c r="Z1236" s="134">
        <f t="shared" si="120"/>
        <v>0</v>
      </c>
      <c r="AA1236" s="6">
        <f t="shared" si="119"/>
        <v>0</v>
      </c>
    </row>
    <row r="1237" spans="1:27" x14ac:dyDescent="0.3">
      <c r="A1237" s="10"/>
      <c r="B1237" s="10"/>
      <c r="C1237" s="10"/>
      <c r="D1237" s="10"/>
      <c r="E1237" s="10"/>
      <c r="F1237" s="41"/>
      <c r="G1237" s="64"/>
      <c r="H1237" s="64"/>
      <c r="I1237" s="41"/>
      <c r="J1237" s="64"/>
      <c r="K1237" s="64"/>
      <c r="L1237" s="64"/>
      <c r="M1237" s="65"/>
      <c r="N1237" s="64"/>
      <c r="O1237" s="64"/>
      <c r="P1237" s="64"/>
      <c r="Q1237" s="56">
        <f>noRDS2CLD_3-(noRDS2CLD_3*noHypo2CI_3)</f>
        <v>0</v>
      </c>
      <c r="R1237" s="56"/>
      <c r="S1237" s="129"/>
      <c r="T1237" s="105"/>
      <c r="U1237" s="133"/>
      <c r="V1237" s="135">
        <v>0</v>
      </c>
      <c r="W1237" s="133"/>
      <c r="X1237" s="133"/>
      <c r="Y1237" s="133"/>
      <c r="Z1237" s="134">
        <f t="shared" si="120"/>
        <v>0</v>
      </c>
      <c r="AA1237" s="6">
        <f t="shared" si="119"/>
        <v>0</v>
      </c>
    </row>
    <row r="1238" spans="1:27" x14ac:dyDescent="0.3">
      <c r="A1238" s="10"/>
      <c r="B1238" s="10"/>
      <c r="C1238" s="10"/>
      <c r="D1238" s="10"/>
      <c r="E1238" s="10"/>
      <c r="F1238" s="41"/>
      <c r="G1238" s="64"/>
      <c r="H1238" s="64"/>
      <c r="I1238" s="64"/>
      <c r="J1238" s="64"/>
      <c r="K1238" s="64"/>
      <c r="L1238" s="64"/>
      <c r="M1238" s="65"/>
      <c r="N1238" s="64"/>
      <c r="O1238" s="64"/>
      <c r="P1238" s="64"/>
      <c r="Q1238" s="57">
        <f>c_lung+c_hypo+c_CSG</f>
        <v>56558.771302399997</v>
      </c>
      <c r="R1238" s="57"/>
      <c r="S1238" s="129"/>
      <c r="T1238" s="105"/>
      <c r="U1238" s="133"/>
      <c r="V1238" s="133"/>
      <c r="W1238" s="133"/>
      <c r="X1238" s="133"/>
      <c r="Y1238" s="133"/>
      <c r="Z1238" s="134">
        <f t="shared" si="120"/>
        <v>0</v>
      </c>
      <c r="AA1238" s="6">
        <f t="shared" si="119"/>
        <v>0</v>
      </c>
    </row>
    <row r="1239" spans="1:27" x14ac:dyDescent="0.3">
      <c r="A1239" s="10"/>
      <c r="B1239" s="10"/>
      <c r="C1239" s="10"/>
      <c r="D1239" s="10"/>
      <c r="E1239" s="10"/>
      <c r="F1239" s="41"/>
      <c r="G1239" s="64"/>
      <c r="H1239" s="64"/>
      <c r="I1239" s="64"/>
      <c r="J1239" s="64"/>
      <c r="K1239" s="64"/>
      <c r="L1239" s="64"/>
      <c r="M1239" s="65"/>
      <c r="N1239" s="64"/>
      <c r="O1239" s="54" t="s">
        <v>371</v>
      </c>
      <c r="P1239" s="64"/>
      <c r="Q1239" s="54" t="s">
        <v>226</v>
      </c>
      <c r="R1239" s="54"/>
      <c r="S1239" s="129"/>
      <c r="T1239" s="105"/>
      <c r="U1239" s="133">
        <f>$K$1213*$I$1202*$G$1170*$E$1207*$C$1053*$A$1008*$M$1228*$O$1240*$Q$1237</f>
        <v>0</v>
      </c>
      <c r="V1239" s="133"/>
      <c r="W1239" s="134">
        <f>$K$1214+$I$1203+$G$1171+$E$1208+$C$1054+$A$1009+$M$1229+$O$1241+Q1241</f>
        <v>214594.76559999998</v>
      </c>
      <c r="X1239" s="133">
        <f>u_CongnitiveImpairement</f>
        <v>17.270393127285455</v>
      </c>
      <c r="Y1239" s="133"/>
      <c r="Z1239" s="134">
        <f t="shared" si="120"/>
        <v>0</v>
      </c>
      <c r="AA1239" s="6">
        <f t="shared" si="119"/>
        <v>0</v>
      </c>
    </row>
    <row r="1240" spans="1:27" x14ac:dyDescent="0.3">
      <c r="A1240" s="10"/>
      <c r="B1240" s="10"/>
      <c r="C1240" s="10"/>
      <c r="D1240" s="10"/>
      <c r="E1240" s="10"/>
      <c r="F1240" s="41"/>
      <c r="G1240" s="64"/>
      <c r="H1240" s="64"/>
      <c r="I1240" s="64"/>
      <c r="J1240" s="64"/>
      <c r="K1240" s="64"/>
      <c r="L1240" s="64"/>
      <c r="M1240" s="65"/>
      <c r="N1240" s="64"/>
      <c r="O1240" s="56">
        <f>AGA_term_2normoglycaemia_3</f>
        <v>1</v>
      </c>
      <c r="P1240" s="64"/>
      <c r="Q1240" s="56">
        <f>noHypo2CI_3</f>
        <v>3.3085576536761752E-2</v>
      </c>
      <c r="R1240" s="56"/>
      <c r="S1240" s="129"/>
      <c r="T1240" s="105"/>
      <c r="U1240" s="133"/>
      <c r="V1240" s="135">
        <v>0</v>
      </c>
      <c r="W1240" s="133"/>
      <c r="X1240" s="133"/>
      <c r="Y1240" s="133"/>
      <c r="Z1240" s="134">
        <f t="shared" si="120"/>
        <v>0</v>
      </c>
      <c r="AA1240" s="6">
        <f t="shared" si="119"/>
        <v>0</v>
      </c>
    </row>
    <row r="1241" spans="1:27" x14ac:dyDescent="0.3">
      <c r="A1241" s="10"/>
      <c r="B1241" s="10"/>
      <c r="C1241" s="10"/>
      <c r="D1241" s="10"/>
      <c r="E1241" s="10"/>
      <c r="F1241" s="41"/>
      <c r="G1241" s="64"/>
      <c r="H1241" s="64"/>
      <c r="I1241" s="64"/>
      <c r="J1241" s="64"/>
      <c r="K1241" s="64"/>
      <c r="L1241" s="64"/>
      <c r="M1241" s="65"/>
      <c r="N1241" s="64"/>
      <c r="O1241" s="57"/>
      <c r="P1241" s="64"/>
      <c r="Q1241" s="57">
        <f>c_cog+c_hosp_fu+c_CSG</f>
        <v>15766</v>
      </c>
      <c r="R1241" s="57"/>
      <c r="S1241" s="129"/>
      <c r="T1241" s="105"/>
      <c r="U1241" s="133"/>
      <c r="V1241" s="133"/>
      <c r="W1241" s="133"/>
      <c r="X1241" s="133"/>
      <c r="Y1241" s="133"/>
      <c r="Z1241" s="134">
        <f t="shared" si="120"/>
        <v>0</v>
      </c>
      <c r="AA1241" s="6">
        <f t="shared" si="119"/>
        <v>0</v>
      </c>
    </row>
    <row r="1242" spans="1:27" x14ac:dyDescent="0.3">
      <c r="A1242" s="10"/>
      <c r="B1242" s="10"/>
      <c r="C1242" s="10"/>
      <c r="D1242" s="10"/>
      <c r="E1242" s="10"/>
      <c r="F1242" s="41"/>
      <c r="G1242" s="64"/>
      <c r="H1242" s="64"/>
      <c r="I1242" s="64"/>
      <c r="J1242" s="64"/>
      <c r="K1242" s="64"/>
      <c r="L1242" s="64"/>
      <c r="M1242" s="65"/>
      <c r="N1242" s="64"/>
      <c r="O1242" s="64"/>
      <c r="P1242" s="64"/>
      <c r="Q1242" s="54" t="s">
        <v>369</v>
      </c>
      <c r="R1242" s="54"/>
      <c r="S1242" s="129"/>
      <c r="T1242" s="105"/>
      <c r="U1242" s="133">
        <f>$K$1213*$I$1202*$G$1170*$E$1207*$C$1053*$A$1008*$M$1228*$O$1240*$Q$1237</f>
        <v>0</v>
      </c>
      <c r="V1242" s="133"/>
      <c r="W1242" s="134">
        <f>$K$1214+$I$1203+$G$1171+$E$1208+$C$1054+$A$1009+$M$1229+$O$1241+Q1244</f>
        <v>257177.2765024</v>
      </c>
      <c r="X1242" s="133">
        <f>u_ChronicResp+u_CongnitiveImpairement</f>
        <v>17.805052694763283</v>
      </c>
      <c r="Y1242" s="133"/>
      <c r="Z1242" s="134">
        <f t="shared" si="120"/>
        <v>0</v>
      </c>
      <c r="AA1242" s="6">
        <f t="shared" si="119"/>
        <v>0</v>
      </c>
    </row>
    <row r="1243" spans="1:27" x14ac:dyDescent="0.3">
      <c r="A1243" s="10"/>
      <c r="B1243" s="10"/>
      <c r="C1243" s="10"/>
      <c r="D1243" s="10"/>
      <c r="E1243" s="10"/>
      <c r="F1243" s="41"/>
      <c r="G1243" s="64"/>
      <c r="H1243" s="64"/>
      <c r="I1243" s="64"/>
      <c r="J1243" s="64"/>
      <c r="K1243" s="64"/>
      <c r="L1243" s="64"/>
      <c r="M1243" s="53"/>
      <c r="N1243" s="64"/>
      <c r="O1243" s="64"/>
      <c r="P1243" s="64"/>
      <c r="Q1243" s="56">
        <f>noRDS2CLD_3*noHypo2CI_3</f>
        <v>0</v>
      </c>
      <c r="R1243" s="56"/>
      <c r="S1243" s="129"/>
      <c r="T1243" s="105"/>
      <c r="U1243" s="133"/>
      <c r="V1243" s="135">
        <v>0</v>
      </c>
      <c r="W1243" s="133"/>
      <c r="X1243" s="133"/>
      <c r="Y1243" s="133"/>
      <c r="Z1243" s="134">
        <f t="shared" si="120"/>
        <v>0</v>
      </c>
      <c r="AA1243" s="6">
        <f t="shared" si="119"/>
        <v>0</v>
      </c>
    </row>
    <row r="1244" spans="1:27" x14ac:dyDescent="0.3">
      <c r="A1244" s="10"/>
      <c r="B1244" s="10"/>
      <c r="C1244" s="10"/>
      <c r="D1244" s="10"/>
      <c r="E1244" s="10"/>
      <c r="F1244" s="41"/>
      <c r="G1244" s="64"/>
      <c r="H1244" s="64"/>
      <c r="I1244" s="64"/>
      <c r="J1244" s="64"/>
      <c r="K1244" s="64"/>
      <c r="L1244" s="64"/>
      <c r="M1244" s="44"/>
      <c r="N1244" s="64"/>
      <c r="O1244" s="64"/>
      <c r="P1244" s="64"/>
      <c r="Q1244" s="57">
        <f>c_cog+c_lung+c_hosp_fu+c_CSG</f>
        <v>58348.510902399998</v>
      </c>
      <c r="R1244" s="57"/>
      <c r="S1244" s="129"/>
      <c r="T1244" s="105"/>
      <c r="U1244" s="133"/>
      <c r="V1244" s="133"/>
      <c r="W1244" s="133"/>
      <c r="X1244" s="133"/>
      <c r="Y1244" s="133"/>
      <c r="Z1244" s="134">
        <f t="shared" si="120"/>
        <v>0</v>
      </c>
      <c r="AA1244" s="6">
        <f t="shared" si="119"/>
        <v>0</v>
      </c>
    </row>
    <row r="1245" spans="1:27" x14ac:dyDescent="0.3">
      <c r="A1245" s="10"/>
      <c r="B1245" s="10"/>
      <c r="C1245" s="10"/>
      <c r="D1245" s="10"/>
      <c r="E1245" s="10"/>
      <c r="F1245" s="41"/>
      <c r="G1245" s="64"/>
      <c r="H1245" s="64"/>
      <c r="I1245" s="64"/>
      <c r="J1245" s="64"/>
      <c r="K1245" s="64"/>
      <c r="L1245" s="64"/>
      <c r="M1245" s="65"/>
      <c r="N1245" s="64"/>
      <c r="O1245" s="64"/>
      <c r="P1245" s="64"/>
      <c r="Q1245" s="54" t="s">
        <v>370</v>
      </c>
      <c r="R1245" s="54"/>
      <c r="T1245" s="105"/>
      <c r="U1245" s="133">
        <f>$K$1213*$I$1202*$G$1170*$E$1207*$C$1053*$A$1008*$M$1228*$O$1240*$Q$1237</f>
        <v>0</v>
      </c>
      <c r="V1245" s="133"/>
      <c r="W1245" s="134">
        <f>$K$1214+$I$1203+$G$1171+$E$1208+$C$1054+$A$1009+$M$1229+$O$1241+Q1247</f>
        <v>213231.76559999998</v>
      </c>
      <c r="X1245" s="133">
        <f>u_Healthy</f>
        <v>0</v>
      </c>
      <c r="Y1245" s="133"/>
      <c r="Z1245" s="134">
        <f t="shared" si="120"/>
        <v>0</v>
      </c>
      <c r="AA1245" s="6">
        <f t="shared" si="119"/>
        <v>0</v>
      </c>
    </row>
    <row r="1246" spans="1:27" x14ac:dyDescent="0.3">
      <c r="A1246" s="10"/>
      <c r="B1246" s="10"/>
      <c r="C1246" s="10"/>
      <c r="D1246" s="10"/>
      <c r="E1246" s="10"/>
      <c r="F1246" s="41"/>
      <c r="G1246" s="64"/>
      <c r="H1246" s="64"/>
      <c r="I1246" s="64"/>
      <c r="J1246" s="64"/>
      <c r="K1246" s="64"/>
      <c r="L1246" s="64"/>
      <c r="M1246" s="65"/>
      <c r="N1246" s="44"/>
      <c r="O1246" s="64"/>
      <c r="P1246" s="64"/>
      <c r="Q1246" s="56">
        <f>1-Q1243-Q1240-Q1237</f>
        <v>0.9669144234632383</v>
      </c>
      <c r="R1246" s="56"/>
      <c r="S1246" s="129"/>
      <c r="T1246" s="105"/>
      <c r="U1246" s="133"/>
      <c r="V1246" s="135">
        <v>0</v>
      </c>
      <c r="W1246" s="133"/>
      <c r="X1246" s="133"/>
      <c r="Y1246" s="133"/>
      <c r="Z1246" s="134">
        <f t="shared" si="120"/>
        <v>0</v>
      </c>
      <c r="AA1246" s="6">
        <f t="shared" si="119"/>
        <v>0</v>
      </c>
    </row>
    <row r="1247" spans="1:27" x14ac:dyDescent="0.3">
      <c r="A1247" s="10"/>
      <c r="B1247" s="10"/>
      <c r="C1247" s="10"/>
      <c r="D1247" s="10"/>
      <c r="E1247" s="10"/>
      <c r="F1247" s="41"/>
      <c r="G1247" s="64"/>
      <c r="H1247" s="64"/>
      <c r="I1247" s="64"/>
      <c r="J1247" s="64"/>
      <c r="K1247" s="64"/>
      <c r="L1247" s="64"/>
      <c r="M1247" s="65"/>
      <c r="N1247" s="64"/>
      <c r="O1247" s="64"/>
      <c r="P1247" s="64"/>
      <c r="Q1247" s="57">
        <f>c_clinic_fu+c_CSG</f>
        <v>14403</v>
      </c>
      <c r="R1247" s="57"/>
      <c r="T1247" s="105"/>
      <c r="U1247" s="133"/>
      <c r="V1247" s="133"/>
      <c r="W1247" s="133"/>
      <c r="X1247" s="133"/>
      <c r="Y1247" s="133"/>
      <c r="Z1247" s="134">
        <f t="shared" si="120"/>
        <v>0</v>
      </c>
      <c r="AA1247" s="6">
        <f t="shared" si="119"/>
        <v>0</v>
      </c>
    </row>
    <row r="1248" spans="1:27" x14ac:dyDescent="0.3">
      <c r="A1248" s="10"/>
      <c r="B1248" s="10"/>
      <c r="C1248" s="10"/>
      <c r="D1248" s="10"/>
      <c r="E1248" s="10"/>
      <c r="F1248" s="41"/>
      <c r="G1248" s="64"/>
      <c r="H1248" s="64"/>
      <c r="I1248" s="64"/>
      <c r="J1248" s="64"/>
      <c r="K1248" s="64"/>
      <c r="L1248" s="64"/>
      <c r="M1248" s="65"/>
      <c r="N1248" s="64"/>
      <c r="O1248" s="64"/>
      <c r="P1248" s="64"/>
      <c r="Q1248" s="65"/>
      <c r="R1248" s="65"/>
      <c r="T1248" s="105"/>
      <c r="U1248" s="133"/>
      <c r="V1248" s="133"/>
      <c r="W1248" s="133"/>
      <c r="X1248" s="133"/>
      <c r="Y1248" s="133"/>
      <c r="Z1248" s="134">
        <f t="shared" si="120"/>
        <v>0</v>
      </c>
      <c r="AA1248" s="6">
        <f t="shared" si="119"/>
        <v>0</v>
      </c>
    </row>
    <row r="1249" spans="1:27" x14ac:dyDescent="0.3">
      <c r="A1249" s="10"/>
      <c r="B1249" s="10"/>
      <c r="C1249" s="10"/>
      <c r="D1249" s="10"/>
      <c r="E1249" s="10"/>
      <c r="F1249" s="41"/>
      <c r="G1249" s="64"/>
      <c r="H1249" s="64"/>
      <c r="I1249" s="64"/>
      <c r="J1249" s="64"/>
      <c r="K1249" s="54" t="s">
        <v>165</v>
      </c>
      <c r="L1249" s="54"/>
      <c r="M1249" s="54"/>
      <c r="N1249" s="54"/>
      <c r="O1249" s="54"/>
      <c r="P1249" s="54"/>
      <c r="Q1249" s="54"/>
      <c r="R1249" s="54"/>
      <c r="S1249" s="129"/>
      <c r="T1249" s="105"/>
      <c r="U1249" s="133">
        <f>$K$1250*$I$1258*$G$1279*$E$1207*$C$1053*$A$1008</f>
        <v>1.1031630754367548E-3</v>
      </c>
      <c r="V1249" s="133">
        <v>1.1031630754367548E-3</v>
      </c>
      <c r="W1249" s="134">
        <f>$K$1251+$I$1259+$G$1280+$E$1208+$C$1054+$A$1009</f>
        <v>5067.88</v>
      </c>
      <c r="X1249" s="133">
        <f>u_Death</f>
        <v>19.181538114427529</v>
      </c>
      <c r="Y1249" s="133"/>
      <c r="Z1249" s="134">
        <f t="shared" si="120"/>
        <v>5.5906980867444211</v>
      </c>
      <c r="AA1249" s="6">
        <f t="shared" si="119"/>
        <v>2.1160364577919203E-2</v>
      </c>
    </row>
    <row r="1250" spans="1:27" x14ac:dyDescent="0.3">
      <c r="A1250" s="10"/>
      <c r="B1250" s="10"/>
      <c r="C1250" s="10"/>
      <c r="D1250" s="10"/>
      <c r="E1250" s="10"/>
      <c r="F1250" s="41"/>
      <c r="G1250" s="64"/>
      <c r="H1250" s="64"/>
      <c r="I1250" s="64"/>
      <c r="J1250" s="64"/>
      <c r="K1250" s="56">
        <f>SGA_term_2d_3</f>
        <v>1.3200000000000002E-2</v>
      </c>
      <c r="L1250" s="64"/>
      <c r="M1250" s="64"/>
      <c r="N1250" s="64"/>
      <c r="O1250" s="64"/>
      <c r="P1250" s="64"/>
      <c r="Q1250" s="64"/>
      <c r="R1250" s="64"/>
      <c r="S1250" s="129"/>
      <c r="T1250" s="105"/>
      <c r="U1250" s="133"/>
      <c r="V1250" s="133"/>
      <c r="W1250" s="133"/>
      <c r="X1250" s="133"/>
      <c r="Y1250" s="133"/>
      <c r="Z1250" s="134">
        <f t="shared" si="120"/>
        <v>0</v>
      </c>
      <c r="AA1250" s="6">
        <f t="shared" si="119"/>
        <v>0</v>
      </c>
    </row>
    <row r="1251" spans="1:27" x14ac:dyDescent="0.3">
      <c r="A1251" s="10"/>
      <c r="B1251" s="10"/>
      <c r="C1251" s="10"/>
      <c r="D1251" s="10"/>
      <c r="E1251" s="10"/>
      <c r="F1251" s="41"/>
      <c r="G1251" s="64"/>
      <c r="H1251" s="64"/>
      <c r="I1251" s="64"/>
      <c r="J1251" s="64"/>
      <c r="K1251" s="57">
        <f>c_SB</f>
        <v>1792</v>
      </c>
      <c r="L1251" s="64"/>
      <c r="M1251" s="64"/>
      <c r="N1251" s="64"/>
      <c r="O1251" s="64"/>
      <c r="P1251" s="64"/>
      <c r="Q1251" s="64"/>
      <c r="R1251" s="64"/>
      <c r="S1251" s="129"/>
      <c r="T1251" s="105"/>
      <c r="U1251" s="133"/>
      <c r="V1251" s="133"/>
      <c r="W1251" s="133"/>
      <c r="X1251" s="133"/>
      <c r="Y1251" s="133"/>
      <c r="Z1251" s="134">
        <f t="shared" si="120"/>
        <v>0</v>
      </c>
      <c r="AA1251" s="6">
        <f t="shared" si="119"/>
        <v>0</v>
      </c>
    </row>
    <row r="1252" spans="1:27" x14ac:dyDescent="0.3">
      <c r="A1252" s="10"/>
      <c r="B1252" s="10"/>
      <c r="C1252" s="10"/>
      <c r="D1252" s="10"/>
      <c r="E1252" s="10"/>
      <c r="F1252" s="41"/>
      <c r="G1252" s="64"/>
      <c r="H1252" s="64"/>
      <c r="I1252" s="53"/>
      <c r="J1252" s="53"/>
      <c r="K1252" s="53"/>
      <c r="L1252" s="53"/>
      <c r="M1252" s="53"/>
      <c r="N1252" s="53"/>
      <c r="O1252" s="53"/>
      <c r="P1252" s="53"/>
      <c r="Q1252" s="53"/>
      <c r="R1252" s="53"/>
      <c r="S1252" s="129"/>
      <c r="T1252" s="105"/>
      <c r="U1252" s="133"/>
      <c r="V1252" s="133"/>
      <c r="W1252" s="133"/>
      <c r="X1252" s="133"/>
      <c r="Y1252" s="133"/>
      <c r="Z1252" s="134">
        <f t="shared" si="120"/>
        <v>0</v>
      </c>
      <c r="AA1252" s="6">
        <f t="shared" si="119"/>
        <v>0</v>
      </c>
    </row>
    <row r="1253" spans="1:27" x14ac:dyDescent="0.3">
      <c r="A1253" s="10"/>
      <c r="B1253" s="10"/>
      <c r="C1253" s="10"/>
      <c r="D1253" s="10"/>
      <c r="E1253" s="10"/>
      <c r="F1253" s="41"/>
      <c r="G1253" s="64"/>
      <c r="H1253" s="64"/>
      <c r="I1253" s="53"/>
      <c r="J1253" s="53"/>
      <c r="K1253" s="53"/>
      <c r="L1253" s="53"/>
      <c r="M1253" s="53"/>
      <c r="N1253" s="53"/>
      <c r="O1253" s="53"/>
      <c r="P1253" s="53"/>
      <c r="Q1253" s="54" t="s">
        <v>368</v>
      </c>
      <c r="R1253" s="54"/>
      <c r="S1253" s="129"/>
      <c r="T1253" s="105"/>
      <c r="U1253" s="133">
        <f>$K$1269*$I$1258*$G$1279*$E$1207*$C$1053*$A$1008*$M$1264*$O$1259*Q1254</f>
        <v>0</v>
      </c>
      <c r="V1253" s="133"/>
      <c r="W1253" s="134">
        <f>$K$1270+$I$1259+$G$1280+$E$1208+$C$1054+$A$1009+$M$1265+$O$1260+Q1255</f>
        <v>91337.261450605642</v>
      </c>
      <c r="X1253" s="133">
        <f>u_ChronicResp</f>
        <v>0.53465956747782661</v>
      </c>
      <c r="Y1253" s="133"/>
      <c r="Z1253" s="134">
        <f t="shared" si="120"/>
        <v>0</v>
      </c>
      <c r="AA1253" s="6">
        <f t="shared" si="119"/>
        <v>0</v>
      </c>
    </row>
    <row r="1254" spans="1:27" x14ac:dyDescent="0.3">
      <c r="A1254" s="10"/>
      <c r="B1254" s="10"/>
      <c r="C1254" s="10"/>
      <c r="D1254" s="10"/>
      <c r="E1254" s="10"/>
      <c r="F1254" s="41"/>
      <c r="G1254" s="64"/>
      <c r="H1254" s="64"/>
      <c r="I1254" s="53"/>
      <c r="J1254" s="53"/>
      <c r="K1254" s="53"/>
      <c r="L1254" s="53"/>
      <c r="M1254" s="53"/>
      <c r="N1254" s="53"/>
      <c r="O1254" s="64"/>
      <c r="P1254" s="64"/>
      <c r="Q1254" s="56">
        <f>RDS2CLD_3-(Hypo2CI_3*RDS2CLD_3)</f>
        <v>0.34246866666666664</v>
      </c>
      <c r="R1254" s="56"/>
      <c r="S1254" s="129"/>
      <c r="T1254" s="105"/>
      <c r="U1254" s="133"/>
      <c r="V1254" s="133">
        <v>0</v>
      </c>
      <c r="W1254" s="133"/>
      <c r="X1254" s="133"/>
      <c r="Y1254" s="133"/>
      <c r="Z1254" s="134">
        <f t="shared" si="120"/>
        <v>0</v>
      </c>
      <c r="AA1254" s="6">
        <f t="shared" si="119"/>
        <v>0</v>
      </c>
    </row>
    <row r="1255" spans="1:27" x14ac:dyDescent="0.3">
      <c r="A1255" s="10"/>
      <c r="B1255" s="10"/>
      <c r="C1255" s="10"/>
      <c r="D1255" s="10"/>
      <c r="E1255" s="10"/>
      <c r="F1255" s="41"/>
      <c r="G1255" s="64"/>
      <c r="H1255" s="64"/>
      <c r="I1255" s="53"/>
      <c r="J1255" s="53"/>
      <c r="K1255" s="53"/>
      <c r="L1255" s="53"/>
      <c r="M1255" s="53"/>
      <c r="N1255" s="53"/>
      <c r="O1255" s="64"/>
      <c r="P1255" s="64"/>
      <c r="Q1255" s="57">
        <f>c_lung+c_hosp_fu+c_CSG</f>
        <v>54529.510902399998</v>
      </c>
      <c r="R1255" s="57"/>
      <c r="S1255" s="129"/>
      <c r="T1255" s="105"/>
      <c r="U1255" s="133"/>
      <c r="V1255" s="133"/>
      <c r="W1255" s="133"/>
      <c r="X1255" s="133"/>
      <c r="Y1255" s="133"/>
      <c r="Z1255" s="134">
        <f t="shared" si="120"/>
        <v>0</v>
      </c>
      <c r="AA1255" s="6">
        <f t="shared" si="119"/>
        <v>0</v>
      </c>
    </row>
    <row r="1256" spans="1:27" x14ac:dyDescent="0.3">
      <c r="A1256" s="10"/>
      <c r="B1256" s="10"/>
      <c r="C1256" s="10"/>
      <c r="D1256" s="10"/>
      <c r="E1256" s="10"/>
      <c r="F1256" s="41"/>
      <c r="G1256" s="64"/>
      <c r="H1256" s="64"/>
      <c r="I1256" s="53"/>
      <c r="J1256" s="53"/>
      <c r="K1256" s="53"/>
      <c r="L1256" s="53"/>
      <c r="M1256" s="53"/>
      <c r="N1256" s="53"/>
      <c r="O1256" s="64"/>
      <c r="P1256" s="64"/>
      <c r="Q1256" s="54" t="s">
        <v>226</v>
      </c>
      <c r="R1256" s="54"/>
      <c r="S1256" s="129"/>
      <c r="T1256" s="105"/>
      <c r="U1256" s="133">
        <f>$K$1269*$I$1258*$G$1279*$E$1207*$C$1053*$A$1008*$M$1264*$O$1259*Q1257</f>
        <v>0</v>
      </c>
      <c r="V1256" s="133"/>
      <c r="W1256" s="134">
        <f>$K$1270+$I$1259+$G$1280+$E$1208+$C$1054+$A$1009+$M$1265+$O$1260+Q1258</f>
        <v>52573.750548205637</v>
      </c>
      <c r="X1256" s="133">
        <f>u_CongnitiveImpairement</f>
        <v>17.270393127285455</v>
      </c>
      <c r="Y1256" s="133"/>
      <c r="Z1256" s="134">
        <f t="shared" si="120"/>
        <v>0</v>
      </c>
      <c r="AA1256" s="6">
        <f t="shared" si="119"/>
        <v>0</v>
      </c>
    </row>
    <row r="1257" spans="1:27" x14ac:dyDescent="0.3">
      <c r="A1257" s="10"/>
      <c r="B1257" s="10"/>
      <c r="C1257" s="10"/>
      <c r="D1257" s="10"/>
      <c r="E1257" s="10"/>
      <c r="F1257" s="41"/>
      <c r="G1257" s="64"/>
      <c r="H1257" s="64"/>
      <c r="I1257" s="54" t="s">
        <v>164</v>
      </c>
      <c r="J1257" s="64"/>
      <c r="K1257" s="64"/>
      <c r="L1257" s="64"/>
      <c r="M1257" s="64"/>
      <c r="N1257" s="64"/>
      <c r="O1257" s="64"/>
      <c r="P1257" s="64"/>
      <c r="Q1257" s="56">
        <f>Hypo2CI_3-(Hypo2CI_3*RDS2CLD_3)</f>
        <v>3.2801999999999998E-2</v>
      </c>
      <c r="R1257" s="56"/>
      <c r="S1257" s="129"/>
      <c r="T1257" s="105"/>
      <c r="U1257" s="133"/>
      <c r="V1257" s="133">
        <v>0</v>
      </c>
      <c r="W1257" s="133"/>
      <c r="X1257" s="133"/>
      <c r="Y1257" s="133"/>
      <c r="Z1257" s="134">
        <f t="shared" si="120"/>
        <v>0</v>
      </c>
      <c r="AA1257" s="6">
        <f t="shared" si="119"/>
        <v>0</v>
      </c>
    </row>
    <row r="1258" spans="1:27" x14ac:dyDescent="0.3">
      <c r="A1258" s="10"/>
      <c r="B1258" s="10"/>
      <c r="C1258" s="10"/>
      <c r="D1258" s="10"/>
      <c r="E1258" s="10"/>
      <c r="F1258" s="41"/>
      <c r="G1258" s="64"/>
      <c r="H1258" s="64"/>
      <c r="I1258" s="56">
        <f>NBW_term_2SGA_3</f>
        <v>0.18995639845107784</v>
      </c>
      <c r="J1258" s="64"/>
      <c r="K1258" s="64"/>
      <c r="L1258" s="64"/>
      <c r="M1258" s="64"/>
      <c r="N1258" s="64"/>
      <c r="O1258" s="54" t="s">
        <v>161</v>
      </c>
      <c r="P1258" s="64"/>
      <c r="Q1258" s="57">
        <f>c_cog+c_hosp_fu+c_CSG</f>
        <v>15766</v>
      </c>
      <c r="R1258" s="57"/>
      <c r="S1258" s="129"/>
      <c r="T1258" s="105"/>
      <c r="U1258" s="133"/>
      <c r="V1258" s="133"/>
      <c r="W1258" s="133"/>
      <c r="X1258" s="133"/>
      <c r="Y1258" s="133"/>
      <c r="Z1258" s="134">
        <f t="shared" si="120"/>
        <v>0</v>
      </c>
      <c r="AA1258" s="6">
        <f t="shared" si="119"/>
        <v>0</v>
      </c>
    </row>
    <row r="1259" spans="1:27" x14ac:dyDescent="0.3">
      <c r="A1259" s="10"/>
      <c r="B1259" s="10"/>
      <c r="C1259" s="10"/>
      <c r="D1259" s="10"/>
      <c r="E1259" s="10"/>
      <c r="F1259" s="41"/>
      <c r="G1259" s="64"/>
      <c r="H1259" s="64"/>
      <c r="I1259" s="57"/>
      <c r="J1259" s="64"/>
      <c r="K1259" s="64"/>
      <c r="L1259" s="64"/>
      <c r="M1259" s="64"/>
      <c r="N1259" s="64"/>
      <c r="O1259" s="56">
        <f>SGA_term_2hypoglycaemia_3</f>
        <v>0.26</v>
      </c>
      <c r="P1259" s="64"/>
      <c r="Q1259" s="54" t="s">
        <v>369</v>
      </c>
      <c r="R1259" s="54"/>
      <c r="S1259" s="129"/>
      <c r="T1259" s="105"/>
      <c r="U1259" s="133">
        <f>$K$1269*$I$1258*$G$1279*$E$1207*$C$1053*$A$1008*$M$1264*$O$1259*Q1260</f>
        <v>0</v>
      </c>
      <c r="V1259" s="133"/>
      <c r="W1259" s="134">
        <f>$K$1270+$I$1259+$G$1280+$E$1208+$C$1054+$A$1009+$M$1265+$O$1260+Q1261</f>
        <v>95156.261450605642</v>
      </c>
      <c r="X1259" s="133">
        <f>u_ChronicResp+u_CongnitiveImpairement</f>
        <v>17.805052694763283</v>
      </c>
      <c r="Y1259" s="133"/>
      <c r="Z1259" s="134">
        <f t="shared" si="120"/>
        <v>0</v>
      </c>
      <c r="AA1259" s="6">
        <f t="shared" si="119"/>
        <v>0</v>
      </c>
    </row>
    <row r="1260" spans="1:27" x14ac:dyDescent="0.3">
      <c r="A1260" s="10"/>
      <c r="B1260" s="10"/>
      <c r="C1260" s="10"/>
      <c r="D1260" s="10"/>
      <c r="E1260" s="10"/>
      <c r="F1260" s="41"/>
      <c r="G1260" s="64"/>
      <c r="H1260" s="64"/>
      <c r="I1260" s="64"/>
      <c r="J1260" s="64"/>
      <c r="K1260" s="64"/>
      <c r="L1260" s="64"/>
      <c r="M1260" s="64"/>
      <c r="N1260" s="64"/>
      <c r="O1260" s="57">
        <f>c_hypo</f>
        <v>2936.2604000000001</v>
      </c>
      <c r="P1260" s="64"/>
      <c r="Q1260" s="56">
        <f>Hypo2CI_3*RDS2CLD_3</f>
        <v>1.8531333333333334E-2</v>
      </c>
      <c r="R1260" s="56"/>
      <c r="S1260" s="129"/>
      <c r="T1260" s="105"/>
      <c r="U1260" s="133"/>
      <c r="V1260" s="133">
        <v>0</v>
      </c>
      <c r="W1260" s="133"/>
      <c r="X1260" s="133"/>
      <c r="Y1260" s="133"/>
      <c r="Z1260" s="134">
        <f t="shared" si="120"/>
        <v>0</v>
      </c>
      <c r="AA1260" s="6">
        <f t="shared" si="119"/>
        <v>0</v>
      </c>
    </row>
    <row r="1261" spans="1:27" x14ac:dyDescent="0.3">
      <c r="A1261" s="10"/>
      <c r="B1261" s="10"/>
      <c r="C1261" s="10"/>
      <c r="D1261" s="10"/>
      <c r="E1261" s="110"/>
      <c r="F1261" s="41"/>
      <c r="G1261" s="64"/>
      <c r="H1261" s="64"/>
      <c r="I1261" s="64"/>
      <c r="J1261" s="64"/>
      <c r="K1261" s="64"/>
      <c r="L1261" s="64"/>
      <c r="M1261" s="65"/>
      <c r="N1261" s="64"/>
      <c r="O1261" s="53"/>
      <c r="P1261" s="64"/>
      <c r="Q1261" s="57">
        <f>c_lung+c_cog+c_hosp_fu+c_CSG</f>
        <v>58348.510902399998</v>
      </c>
      <c r="R1261" s="57"/>
      <c r="S1261" s="129"/>
      <c r="T1261" s="105"/>
      <c r="U1261" s="133"/>
      <c r="V1261" s="133"/>
      <c r="W1261" s="133"/>
      <c r="X1261" s="133"/>
      <c r="Y1261" s="133"/>
      <c r="Z1261" s="134">
        <f t="shared" si="120"/>
        <v>0</v>
      </c>
      <c r="AA1261" s="6">
        <f t="shared" si="119"/>
        <v>0</v>
      </c>
    </row>
    <row r="1262" spans="1:27" x14ac:dyDescent="0.3">
      <c r="A1262" s="10"/>
      <c r="B1262" s="10"/>
      <c r="C1262" s="10"/>
      <c r="D1262" s="10"/>
      <c r="E1262" s="110"/>
      <c r="F1262" s="41"/>
      <c r="G1262" s="41"/>
      <c r="H1262" s="44"/>
      <c r="I1262" s="64"/>
      <c r="J1262" s="64"/>
      <c r="K1262" s="64"/>
      <c r="L1262" s="64"/>
      <c r="M1262" s="64"/>
      <c r="N1262" s="64"/>
      <c r="O1262" s="64"/>
      <c r="P1262" s="64"/>
      <c r="Q1262" s="54" t="s">
        <v>370</v>
      </c>
      <c r="R1262" s="54"/>
      <c r="S1262" s="129"/>
      <c r="T1262" s="105"/>
      <c r="U1262" s="133">
        <f>$K$1269*$I$1258*$G$1279*$E$1207*$C$1053*$A$1008*$M$1264*$O$1259*Q1263</f>
        <v>0</v>
      </c>
      <c r="V1262" s="133"/>
      <c r="W1262" s="134">
        <f>$K$1270+$I$1259+$G$1280+$E$1208+$C$1054+$A$1009+$M$1265+$O$1260+Q1264</f>
        <v>51210.750548205637</v>
      </c>
      <c r="X1262" s="133">
        <f>u_Healthy</f>
        <v>0</v>
      </c>
      <c r="Y1262" s="133"/>
      <c r="Z1262" s="134">
        <f t="shared" si="120"/>
        <v>0</v>
      </c>
      <c r="AA1262" s="6">
        <f t="shared" si="119"/>
        <v>0</v>
      </c>
    </row>
    <row r="1263" spans="1:27" x14ac:dyDescent="0.3">
      <c r="A1263" s="10"/>
      <c r="B1263" s="10"/>
      <c r="C1263" s="10"/>
      <c r="D1263" s="10"/>
      <c r="E1263" s="116"/>
      <c r="F1263" s="41"/>
      <c r="G1263" s="64"/>
      <c r="H1263" s="64"/>
      <c r="I1263" s="64"/>
      <c r="J1263" s="64"/>
      <c r="K1263" s="64"/>
      <c r="L1263" s="64"/>
      <c r="M1263" s="54" t="s">
        <v>9</v>
      </c>
      <c r="N1263" s="64"/>
      <c r="O1263" s="64"/>
      <c r="P1263" s="64"/>
      <c r="Q1263" s="56">
        <f>1-Q1254-Q1257-Q1260</f>
        <v>0.60619800000000001</v>
      </c>
      <c r="R1263" s="56"/>
      <c r="S1263" s="129"/>
      <c r="T1263" s="105"/>
      <c r="U1263" s="133"/>
      <c r="V1263" s="133">
        <v>0</v>
      </c>
      <c r="W1263" s="133"/>
      <c r="X1263" s="133"/>
      <c r="Y1263" s="133"/>
      <c r="Z1263" s="134">
        <f t="shared" si="120"/>
        <v>0</v>
      </c>
      <c r="AA1263" s="6">
        <f t="shared" si="119"/>
        <v>0</v>
      </c>
    </row>
    <row r="1264" spans="1:27" x14ac:dyDescent="0.3">
      <c r="A1264" s="10"/>
      <c r="B1264" s="10"/>
      <c r="C1264" s="10"/>
      <c r="D1264" s="10"/>
      <c r="E1264" s="10"/>
      <c r="F1264" s="41"/>
      <c r="G1264" s="64"/>
      <c r="H1264" s="64"/>
      <c r="I1264" s="64"/>
      <c r="J1264" s="64"/>
      <c r="K1264" s="65"/>
      <c r="L1264" s="64"/>
      <c r="M1264" s="56">
        <f>S_term_2RDS_3</f>
        <v>0</v>
      </c>
      <c r="N1264" s="64"/>
      <c r="O1264" s="64"/>
      <c r="P1264" s="64"/>
      <c r="Q1264" s="57">
        <f>c_clinic_fu+c_CSG</f>
        <v>14403</v>
      </c>
      <c r="R1264" s="57"/>
      <c r="S1264" s="129"/>
      <c r="T1264" s="105"/>
      <c r="U1264" s="133"/>
      <c r="V1264" s="133"/>
      <c r="W1264" s="133"/>
      <c r="X1264" s="133"/>
      <c r="Y1264" s="133"/>
      <c r="Z1264" s="134">
        <f t="shared" si="120"/>
        <v>0</v>
      </c>
      <c r="AA1264" s="6">
        <f t="shared" si="119"/>
        <v>0</v>
      </c>
    </row>
    <row r="1265" spans="1:27" x14ac:dyDescent="0.3">
      <c r="A1265" s="10"/>
      <c r="B1265" s="10"/>
      <c r="C1265" s="10"/>
      <c r="D1265" s="10"/>
      <c r="E1265" s="10"/>
      <c r="F1265" s="41"/>
      <c r="G1265" s="64"/>
      <c r="H1265" s="64"/>
      <c r="I1265" s="64"/>
      <c r="J1265" s="64"/>
      <c r="K1265" s="65"/>
      <c r="L1265" s="64"/>
      <c r="M1265" s="57">
        <f>c_RDS</f>
        <v>30595.610148205637</v>
      </c>
      <c r="N1265" s="64"/>
      <c r="O1265" s="64"/>
      <c r="P1265" s="64"/>
      <c r="Q1265" s="65"/>
      <c r="R1265" s="65"/>
      <c r="S1265" s="129"/>
      <c r="T1265" s="105"/>
      <c r="U1265" s="133"/>
      <c r="V1265" s="133"/>
      <c r="W1265" s="133"/>
      <c r="X1265" s="133"/>
      <c r="Y1265" s="133"/>
      <c r="Z1265" s="134">
        <f t="shared" si="120"/>
        <v>0</v>
      </c>
      <c r="AA1265" s="6">
        <f t="shared" si="119"/>
        <v>0</v>
      </c>
    </row>
    <row r="1266" spans="1:27" x14ac:dyDescent="0.3">
      <c r="A1266" s="10"/>
      <c r="B1266" s="10"/>
      <c r="C1266" s="10"/>
      <c r="D1266" s="10"/>
      <c r="E1266" s="10"/>
      <c r="F1266" s="41"/>
      <c r="G1266" s="53"/>
      <c r="H1266" s="64"/>
      <c r="I1266" s="64"/>
      <c r="J1266" s="64"/>
      <c r="K1266" s="64"/>
      <c r="L1266" s="64"/>
      <c r="M1266" s="64"/>
      <c r="N1266" s="64"/>
      <c r="O1266" s="64"/>
      <c r="P1266" s="64"/>
      <c r="Q1266" s="54" t="s">
        <v>368</v>
      </c>
      <c r="R1266" s="54"/>
      <c r="S1266" s="129"/>
      <c r="T1266" s="105"/>
      <c r="U1266" s="133">
        <f>$K$1269*$I$1258*$G$1279*$E$1207*$C$1053*$A$1008*$M$1264*$O$1269*Q1267</f>
        <v>0</v>
      </c>
      <c r="V1266" s="133"/>
      <c r="W1266" s="134">
        <f>$K$1270+$I$1259+$G$1280+$E$1208+$C$1054+$A$1009+$M$1265+$O$1270+Q1268</f>
        <v>88401.001050605642</v>
      </c>
      <c r="X1266" s="133">
        <f>u_ChronicResp</f>
        <v>0.53465956747782661</v>
      </c>
      <c r="Y1266" s="133"/>
      <c r="Z1266" s="134">
        <f t="shared" si="120"/>
        <v>0</v>
      </c>
      <c r="AA1266" s="6">
        <f t="shared" si="119"/>
        <v>0</v>
      </c>
    </row>
    <row r="1267" spans="1:27" x14ac:dyDescent="0.3">
      <c r="A1267" s="10"/>
      <c r="B1267" s="10"/>
      <c r="C1267" s="10"/>
      <c r="D1267" s="10"/>
      <c r="E1267" s="10"/>
      <c r="F1267" s="41"/>
      <c r="G1267" s="53"/>
      <c r="H1267" s="64"/>
      <c r="I1267" s="64"/>
      <c r="J1267" s="64"/>
      <c r="K1267" s="64"/>
      <c r="L1267" s="64"/>
      <c r="M1267" s="64"/>
      <c r="N1267" s="64"/>
      <c r="O1267" s="64"/>
      <c r="P1267" s="64"/>
      <c r="Q1267" s="56">
        <f>RDS2CLD_3-(RDS2CLD_3*noHypo2CI_3)</f>
        <v>0.34905610687022898</v>
      </c>
      <c r="R1267" s="56"/>
      <c r="S1267" s="129"/>
      <c r="T1267" s="105"/>
      <c r="U1267" s="133"/>
      <c r="V1267" s="133">
        <v>0</v>
      </c>
      <c r="W1267" s="133"/>
      <c r="X1267" s="133"/>
      <c r="Y1267" s="133"/>
      <c r="Z1267" s="134">
        <f t="shared" si="120"/>
        <v>0</v>
      </c>
      <c r="AA1267" s="6">
        <f t="shared" si="119"/>
        <v>0</v>
      </c>
    </row>
    <row r="1268" spans="1:27" x14ac:dyDescent="0.3">
      <c r="A1268" s="10"/>
      <c r="B1268" s="10"/>
      <c r="C1268" s="10"/>
      <c r="D1268" s="10"/>
      <c r="E1268" s="10"/>
      <c r="F1268" s="41"/>
      <c r="G1268" s="53"/>
      <c r="H1268" s="64"/>
      <c r="I1268" s="64"/>
      <c r="J1268" s="64"/>
      <c r="K1268" s="54" t="s">
        <v>37</v>
      </c>
      <c r="L1268" s="64"/>
      <c r="M1268" s="65"/>
      <c r="N1268" s="64"/>
      <c r="O1268" s="54" t="s">
        <v>371</v>
      </c>
      <c r="P1268" s="64"/>
      <c r="Q1268" s="57">
        <f>c_lung+c_hosp_fu+c_CSG</f>
        <v>54529.510902399998</v>
      </c>
      <c r="R1268" s="57"/>
      <c r="S1268" s="129"/>
      <c r="T1268" s="105"/>
      <c r="U1268" s="133"/>
      <c r="V1268" s="133"/>
      <c r="W1268" s="133"/>
      <c r="X1268" s="133"/>
      <c r="Y1268" s="133"/>
      <c r="Z1268" s="134">
        <f t="shared" si="120"/>
        <v>0</v>
      </c>
      <c r="AA1268" s="6">
        <f t="shared" si="119"/>
        <v>0</v>
      </c>
    </row>
    <row r="1269" spans="1:27" x14ac:dyDescent="0.3">
      <c r="A1269" s="10"/>
      <c r="B1269" s="10"/>
      <c r="C1269" s="10"/>
      <c r="D1269" s="10"/>
      <c r="E1269" s="10"/>
      <c r="F1269" s="41"/>
      <c r="G1269" s="53"/>
      <c r="H1269" s="64"/>
      <c r="I1269" s="64"/>
      <c r="J1269" s="64"/>
      <c r="K1269" s="56">
        <f>SGA_term_2s_3</f>
        <v>0.98680000000000001</v>
      </c>
      <c r="L1269" s="64"/>
      <c r="M1269" s="64"/>
      <c r="N1269" s="64"/>
      <c r="O1269" s="56">
        <f>SGA_term_2normoglycaemia_3</f>
        <v>0.74</v>
      </c>
      <c r="P1269" s="64"/>
      <c r="Q1269" s="54" t="s">
        <v>226</v>
      </c>
      <c r="R1269" s="54"/>
      <c r="S1269" s="129"/>
      <c r="T1269" s="105"/>
      <c r="U1269" s="133">
        <f>$K$1269*$I$1258*$G$1279*$E$1207*$C$1053*$A$1008*$M$1264*$O$1269*Q1270</f>
        <v>0</v>
      </c>
      <c r="V1269" s="133"/>
      <c r="W1269" s="134">
        <f>$K$1270+$I$1259+$G$1280+$E$1208+$C$1054+$A$1009+$M$1265+$O$1270+Q1271</f>
        <v>49637.490148205638</v>
      </c>
      <c r="X1269" s="133">
        <f>u_CongnitiveImpairement</f>
        <v>17.270393127285455</v>
      </c>
      <c r="Y1269" s="133"/>
      <c r="Z1269" s="134">
        <f t="shared" si="120"/>
        <v>0</v>
      </c>
      <c r="AA1269" s="6">
        <f t="shared" si="119"/>
        <v>0</v>
      </c>
    </row>
    <row r="1270" spans="1:27" x14ac:dyDescent="0.3">
      <c r="A1270" s="10"/>
      <c r="B1270" s="10"/>
      <c r="C1270" s="10"/>
      <c r="D1270" s="10"/>
      <c r="E1270" s="10"/>
      <c r="F1270" s="41"/>
      <c r="G1270" s="53"/>
      <c r="H1270" s="64"/>
      <c r="I1270" s="64"/>
      <c r="J1270" s="64"/>
      <c r="K1270" s="57"/>
      <c r="L1270" s="64"/>
      <c r="M1270" s="64"/>
      <c r="N1270" s="64"/>
      <c r="O1270" s="57"/>
      <c r="P1270" s="64"/>
      <c r="Q1270" s="56">
        <f>noHypo2CI_3-(RDS2CLD_3*noHypo2CI_3)</f>
        <v>2.1141683406990762E-2</v>
      </c>
      <c r="R1270" s="56"/>
      <c r="S1270" s="129"/>
      <c r="T1270" s="105"/>
      <c r="U1270" s="133"/>
      <c r="V1270" s="133">
        <v>0</v>
      </c>
      <c r="W1270" s="133"/>
      <c r="X1270" s="133"/>
      <c r="Y1270" s="133"/>
      <c r="Z1270" s="134">
        <f t="shared" si="120"/>
        <v>0</v>
      </c>
      <c r="AA1270" s="6">
        <f t="shared" si="119"/>
        <v>0</v>
      </c>
    </row>
    <row r="1271" spans="1:27" x14ac:dyDescent="0.3">
      <c r="A1271" s="10"/>
      <c r="B1271" s="10"/>
      <c r="C1271" s="10"/>
      <c r="D1271" s="10"/>
      <c r="E1271" s="10"/>
      <c r="F1271" s="41"/>
      <c r="G1271" s="64"/>
      <c r="H1271" s="64"/>
      <c r="I1271" s="64"/>
      <c r="J1271" s="64"/>
      <c r="K1271" s="64"/>
      <c r="L1271" s="64"/>
      <c r="M1271" s="64"/>
      <c r="N1271" s="64"/>
      <c r="O1271" s="53"/>
      <c r="P1271" s="64"/>
      <c r="Q1271" s="57">
        <f>c_cog+c_hosp_fu+c_CSG</f>
        <v>15766</v>
      </c>
      <c r="R1271" s="57"/>
      <c r="S1271" s="129"/>
      <c r="T1271" s="105"/>
      <c r="U1271" s="133"/>
      <c r="V1271" s="133"/>
      <c r="W1271" s="133"/>
      <c r="X1271" s="133"/>
      <c r="Y1271" s="133"/>
      <c r="Z1271" s="134">
        <f t="shared" si="120"/>
        <v>0</v>
      </c>
      <c r="AA1271" s="6">
        <f t="shared" si="119"/>
        <v>0</v>
      </c>
    </row>
    <row r="1272" spans="1:27" x14ac:dyDescent="0.3">
      <c r="A1272" s="10"/>
      <c r="B1272" s="10"/>
      <c r="C1272" s="10"/>
      <c r="D1272" s="10"/>
      <c r="E1272" s="10"/>
      <c r="F1272" s="41"/>
      <c r="G1272" s="64"/>
      <c r="H1272" s="64"/>
      <c r="I1272" s="64"/>
      <c r="J1272" s="64"/>
      <c r="K1272" s="64"/>
      <c r="L1272" s="64"/>
      <c r="M1272" s="64"/>
      <c r="N1272" s="64"/>
      <c r="O1272" s="53"/>
      <c r="P1272" s="64"/>
      <c r="Q1272" s="54" t="s">
        <v>369</v>
      </c>
      <c r="R1272" s="54"/>
      <c r="S1272" s="129"/>
      <c r="T1272" s="105"/>
      <c r="U1272" s="133">
        <f>$K$1269*$I$1258*$G$1279*$E$1207*$C$1053*$A$1008*$M$1264*$O$1269*Q1273</f>
        <v>0</v>
      </c>
      <c r="V1272" s="133"/>
      <c r="W1272" s="134">
        <f>$K$1270+$I$1259+$G$1280+$E$1208+$C$1054+$A$1009+$M$1265+$O$1270+Q1274</f>
        <v>92220.001050605642</v>
      </c>
      <c r="X1272" s="133">
        <f>u_ChronicResp+u_CongnitiveImpairement</f>
        <v>17.805052694763283</v>
      </c>
      <c r="Y1272" s="133"/>
      <c r="Z1272" s="134">
        <f t="shared" si="120"/>
        <v>0</v>
      </c>
      <c r="AA1272" s="6">
        <f t="shared" si="119"/>
        <v>0</v>
      </c>
    </row>
    <row r="1273" spans="1:27" x14ac:dyDescent="0.3">
      <c r="A1273" s="10"/>
      <c r="B1273" s="10"/>
      <c r="C1273" s="10"/>
      <c r="D1273" s="10"/>
      <c r="E1273" s="10"/>
      <c r="F1273" s="41"/>
      <c r="G1273" s="64"/>
      <c r="H1273" s="64"/>
      <c r="I1273" s="64"/>
      <c r="J1273" s="64"/>
      <c r="K1273" s="64"/>
      <c r="L1273" s="64"/>
      <c r="M1273" s="64"/>
      <c r="N1273" s="64"/>
      <c r="O1273" s="53"/>
      <c r="P1273" s="64"/>
      <c r="Q1273" s="56">
        <f>RDS2CLD_3*noHypo2CI_3</f>
        <v>1.1943893129770991E-2</v>
      </c>
      <c r="R1273" s="56"/>
      <c r="S1273" s="129"/>
      <c r="T1273" s="105"/>
      <c r="U1273" s="133"/>
      <c r="V1273" s="133">
        <v>0</v>
      </c>
      <c r="W1273" s="133"/>
      <c r="X1273" s="133"/>
      <c r="Y1273" s="133"/>
      <c r="Z1273" s="134">
        <f t="shared" si="120"/>
        <v>0</v>
      </c>
      <c r="AA1273" s="6">
        <f t="shared" si="119"/>
        <v>0</v>
      </c>
    </row>
    <row r="1274" spans="1:27" x14ac:dyDescent="0.3">
      <c r="A1274" s="10"/>
      <c r="B1274" s="10"/>
      <c r="C1274" s="10"/>
      <c r="D1274" s="10"/>
      <c r="E1274" s="10"/>
      <c r="F1274" s="41"/>
      <c r="G1274" s="64"/>
      <c r="H1274" s="64"/>
      <c r="I1274" s="64"/>
      <c r="J1274" s="64"/>
      <c r="K1274" s="64"/>
      <c r="L1274" s="64"/>
      <c r="M1274" s="64"/>
      <c r="N1274" s="64"/>
      <c r="O1274" s="53"/>
      <c r="P1274" s="64"/>
      <c r="Q1274" s="57">
        <f>c_cog+c_lung+c_hosp_fu+c_CSG</f>
        <v>58348.510902399998</v>
      </c>
      <c r="R1274" s="57"/>
      <c r="S1274" s="129"/>
      <c r="T1274" s="105"/>
      <c r="U1274" s="133"/>
      <c r="V1274" s="133"/>
      <c r="W1274" s="133"/>
      <c r="X1274" s="133"/>
      <c r="Y1274" s="133"/>
      <c r="Z1274" s="134">
        <f t="shared" si="120"/>
        <v>0</v>
      </c>
      <c r="AA1274" s="6">
        <f t="shared" si="119"/>
        <v>0</v>
      </c>
    </row>
    <row r="1275" spans="1:27" x14ac:dyDescent="0.3">
      <c r="A1275" s="10"/>
      <c r="B1275" s="10"/>
      <c r="C1275" s="10"/>
      <c r="D1275" s="10"/>
      <c r="E1275" s="10"/>
      <c r="F1275" s="41"/>
      <c r="G1275" s="64"/>
      <c r="H1275" s="64"/>
      <c r="I1275" s="64"/>
      <c r="J1275" s="64"/>
      <c r="K1275" s="64"/>
      <c r="L1275" s="64"/>
      <c r="M1275" s="64"/>
      <c r="N1275" s="64"/>
      <c r="O1275" s="53"/>
      <c r="P1275" s="64"/>
      <c r="Q1275" s="54" t="s">
        <v>370</v>
      </c>
      <c r="R1275" s="54"/>
      <c r="T1275" s="105"/>
      <c r="U1275" s="133">
        <f>$K$1269*$I$1258*$G$1279*$E$1207*$C$1053*$A$1008*$M$1264*$O$1269*Q1276</f>
        <v>0</v>
      </c>
      <c r="V1275" s="133"/>
      <c r="W1275" s="134">
        <f>$K$1270+$I$1259+$G$1280+$E$1208+$C$1054+$A$1009+$M$1265+$O$1270+Q1277</f>
        <v>48274.490148205638</v>
      </c>
      <c r="X1275" s="133">
        <f>u_Healthy</f>
        <v>0</v>
      </c>
      <c r="Y1275" s="133"/>
      <c r="Z1275" s="134">
        <f t="shared" si="120"/>
        <v>0</v>
      </c>
      <c r="AA1275" s="6">
        <f t="shared" si="119"/>
        <v>0</v>
      </c>
    </row>
    <row r="1276" spans="1:27" x14ac:dyDescent="0.3">
      <c r="A1276" s="10"/>
      <c r="B1276" s="10"/>
      <c r="C1276" s="10"/>
      <c r="D1276" s="10"/>
      <c r="E1276" s="10"/>
      <c r="F1276" s="41"/>
      <c r="G1276" s="64"/>
      <c r="H1276" s="64"/>
      <c r="I1276" s="64"/>
      <c r="J1276" s="64"/>
      <c r="K1276" s="64"/>
      <c r="L1276" s="64"/>
      <c r="M1276" s="64"/>
      <c r="N1276" s="64"/>
      <c r="O1276" s="53"/>
      <c r="P1276" s="64"/>
      <c r="Q1276" s="56">
        <f>1-Q1273-Q1270-Q1267</f>
        <v>0.61785831659300938</v>
      </c>
      <c r="R1276" s="56"/>
      <c r="S1276" s="129"/>
      <c r="T1276" s="105"/>
      <c r="U1276" s="133"/>
      <c r="V1276" s="133">
        <v>0</v>
      </c>
      <c r="W1276" s="133"/>
      <c r="X1276" s="133"/>
      <c r="Y1276" s="133"/>
      <c r="Z1276" s="134">
        <f t="shared" si="120"/>
        <v>0</v>
      </c>
      <c r="AA1276" s="6">
        <f t="shared" si="119"/>
        <v>0</v>
      </c>
    </row>
    <row r="1277" spans="1:27" x14ac:dyDescent="0.3">
      <c r="A1277" s="10"/>
      <c r="B1277" s="10"/>
      <c r="C1277" s="10"/>
      <c r="D1277" s="10"/>
      <c r="E1277" s="10"/>
      <c r="F1277" s="41"/>
      <c r="G1277" s="64"/>
      <c r="H1277" s="64"/>
      <c r="I1277" s="64"/>
      <c r="J1277" s="64"/>
      <c r="K1277" s="64"/>
      <c r="L1277" s="64"/>
      <c r="M1277" s="64"/>
      <c r="N1277" s="64"/>
      <c r="O1277" s="64"/>
      <c r="P1277" s="64"/>
      <c r="Q1277" s="57">
        <f>c_clinic_fu+c_CSG</f>
        <v>14403</v>
      </c>
      <c r="R1277" s="57"/>
      <c r="S1277" s="129"/>
      <c r="T1277" s="105"/>
      <c r="U1277" s="133"/>
      <c r="V1277" s="133"/>
      <c r="W1277" s="133"/>
      <c r="X1277" s="133"/>
      <c r="Y1277" s="133"/>
      <c r="Z1277" s="134">
        <f t="shared" si="120"/>
        <v>0</v>
      </c>
      <c r="AA1277" s="6">
        <f t="shared" si="119"/>
        <v>0</v>
      </c>
    </row>
    <row r="1278" spans="1:27" x14ac:dyDescent="0.3">
      <c r="A1278" s="10"/>
      <c r="B1278" s="10"/>
      <c r="C1278" s="10"/>
      <c r="D1278" s="10"/>
      <c r="E1278" s="10"/>
      <c r="F1278" s="41"/>
      <c r="G1278" s="54" t="s">
        <v>372</v>
      </c>
      <c r="H1278" s="64"/>
      <c r="I1278" s="64"/>
      <c r="J1278" s="64"/>
      <c r="K1278" s="64"/>
      <c r="L1278" s="64"/>
      <c r="M1278" s="64"/>
      <c r="N1278" s="64"/>
      <c r="O1278" s="64"/>
      <c r="P1278" s="64"/>
      <c r="Q1278" s="65"/>
      <c r="R1278" s="65"/>
      <c r="S1278" s="129"/>
      <c r="T1278" s="105"/>
      <c r="U1278" s="133"/>
      <c r="V1278" s="133"/>
      <c r="W1278" s="133"/>
      <c r="X1278" s="133"/>
      <c r="Y1278" s="133"/>
      <c r="Z1278" s="134">
        <f t="shared" si="120"/>
        <v>0</v>
      </c>
      <c r="AA1278" s="6">
        <f t="shared" si="119"/>
        <v>0</v>
      </c>
    </row>
    <row r="1279" spans="1:27" x14ac:dyDescent="0.3">
      <c r="A1279" s="10"/>
      <c r="B1279" s="10"/>
      <c r="C1279" s="10"/>
      <c r="D1279" s="10"/>
      <c r="E1279" s="10"/>
      <c r="F1279" s="41"/>
      <c r="G1279" s="56">
        <f>Term2NBW_3</f>
        <v>0.65230769230769226</v>
      </c>
      <c r="H1279" s="64"/>
      <c r="I1279" s="64"/>
      <c r="J1279" s="64"/>
      <c r="K1279" s="64"/>
      <c r="L1279" s="64"/>
      <c r="M1279" s="64"/>
      <c r="N1279" s="64"/>
      <c r="O1279" s="64"/>
      <c r="P1279" s="64"/>
      <c r="Q1279" s="54" t="s">
        <v>368</v>
      </c>
      <c r="R1279" s="54"/>
      <c r="S1279" s="129"/>
      <c r="T1279" s="105"/>
      <c r="U1279" s="133">
        <f>$K$1269*$I$1258*$G$1279*$E$1207*$C$1053*$A$1008*$M$1284*$O$1282*Q1280</f>
        <v>0</v>
      </c>
      <c r="V1279" s="133"/>
      <c r="W1279" s="134">
        <f>$K$1270+$I$1259+$G$1280+$E$1208+$C$1054+$A$1009+$M$1285+$O$1283+Q1281</f>
        <v>60741.651302400001</v>
      </c>
      <c r="X1279" s="133">
        <f>u_ChronicResp</f>
        <v>0.53465956747782661</v>
      </c>
      <c r="Y1279" s="133"/>
      <c r="Z1279" s="134">
        <f t="shared" si="120"/>
        <v>0</v>
      </c>
      <c r="AA1279" s="6">
        <f t="shared" si="119"/>
        <v>0</v>
      </c>
    </row>
    <row r="1280" spans="1:27" x14ac:dyDescent="0.3">
      <c r="A1280" s="10"/>
      <c r="B1280" s="10"/>
      <c r="C1280" s="10"/>
      <c r="D1280" s="10"/>
      <c r="E1280" s="10"/>
      <c r="F1280" s="41"/>
      <c r="G1280" s="57">
        <f>c_NICU_NBW</f>
        <v>3098.88</v>
      </c>
      <c r="H1280" s="64"/>
      <c r="I1280" s="64"/>
      <c r="J1280" s="64"/>
      <c r="K1280" s="64"/>
      <c r="L1280" s="64"/>
      <c r="M1280" s="64"/>
      <c r="N1280" s="64"/>
      <c r="O1280" s="64"/>
      <c r="P1280" s="64"/>
      <c r="Q1280" s="56">
        <f>noRDS2CLD_3-(Hypo2CI_3*noRDS2CLD_3)</f>
        <v>0</v>
      </c>
      <c r="R1280" s="56"/>
      <c r="S1280" s="129"/>
      <c r="T1280" s="105"/>
      <c r="U1280" s="133"/>
      <c r="V1280" s="133">
        <v>0</v>
      </c>
      <c r="W1280" s="133"/>
      <c r="X1280" s="133"/>
      <c r="Y1280" s="133"/>
      <c r="Z1280" s="134">
        <f t="shared" si="120"/>
        <v>0</v>
      </c>
      <c r="AA1280" s="6">
        <f t="shared" si="119"/>
        <v>0</v>
      </c>
    </row>
    <row r="1281" spans="1:27" x14ac:dyDescent="0.3">
      <c r="A1281" s="10"/>
      <c r="B1281" s="10"/>
      <c r="C1281" s="10"/>
      <c r="D1281" s="10"/>
      <c r="E1281" s="10"/>
      <c r="F1281" s="41"/>
      <c r="G1281" s="64"/>
      <c r="H1281" s="64"/>
      <c r="I1281" s="64"/>
      <c r="J1281" s="64"/>
      <c r="K1281" s="64"/>
      <c r="L1281" s="64"/>
      <c r="M1281" s="64"/>
      <c r="N1281" s="64"/>
      <c r="O1281" s="54" t="s">
        <v>161</v>
      </c>
      <c r="P1281" s="64"/>
      <c r="Q1281" s="57">
        <f>c_lung+c_hosp_fu+c_CSG</f>
        <v>54529.510902399998</v>
      </c>
      <c r="R1281" s="57"/>
      <c r="S1281" s="129"/>
      <c r="T1281" s="105"/>
      <c r="U1281" s="133"/>
      <c r="V1281" s="133"/>
      <c r="W1281" s="133"/>
      <c r="X1281" s="133"/>
      <c r="Y1281" s="133"/>
      <c r="Z1281" s="134">
        <f t="shared" si="120"/>
        <v>0</v>
      </c>
      <c r="AA1281" s="6">
        <f t="shared" si="119"/>
        <v>0</v>
      </c>
    </row>
    <row r="1282" spans="1:27" x14ac:dyDescent="0.3">
      <c r="A1282" s="10"/>
      <c r="B1282" s="10"/>
      <c r="C1282" s="10"/>
      <c r="D1282" s="10"/>
      <c r="E1282" s="10"/>
      <c r="F1282" s="41"/>
      <c r="G1282" s="64"/>
      <c r="H1282" s="64"/>
      <c r="I1282" s="64"/>
      <c r="J1282" s="64"/>
      <c r="K1282" s="64"/>
      <c r="L1282" s="64"/>
      <c r="M1282" s="64"/>
      <c r="N1282" s="64"/>
      <c r="O1282" s="56">
        <f>SGA_term_2hypoglycaemia_3</f>
        <v>0.26</v>
      </c>
      <c r="P1282" s="64"/>
      <c r="Q1282" s="54" t="s">
        <v>226</v>
      </c>
      <c r="R1282" s="54"/>
      <c r="S1282" s="129"/>
      <c r="T1282" s="105"/>
      <c r="U1282" s="133">
        <f>$K$1269*$I$1258*$G$1279*$E$1207*$C$1053*$A$1008*$M$1284*$O$1282*Q1283</f>
        <v>1.1006968930947784E-3</v>
      </c>
      <c r="V1282" s="133">
        <v>1.1006968930947784E-3</v>
      </c>
      <c r="W1282" s="134">
        <f>$K$1270+$I$1259+$G$1280+$E$1208+$C$1054+$A$1009+$M$1285+$O$1283+Q1284</f>
        <v>21978.1404</v>
      </c>
      <c r="X1282" s="133">
        <f>u_CongnitiveImpairement</f>
        <v>17.270393127285455</v>
      </c>
      <c r="Y1282" s="133"/>
      <c r="Z1282" s="134">
        <f t="shared" si="120"/>
        <v>24.19127085428083</v>
      </c>
      <c r="AA1282" s="6">
        <f t="shared" si="119"/>
        <v>1.9009468057728515E-2</v>
      </c>
    </row>
    <row r="1283" spans="1:27" x14ac:dyDescent="0.3">
      <c r="A1283" s="10"/>
      <c r="B1283" s="10"/>
      <c r="C1283" s="10"/>
      <c r="D1283" s="10"/>
      <c r="E1283" s="10"/>
      <c r="F1283" s="41"/>
      <c r="G1283" s="64"/>
      <c r="H1283" s="64"/>
      <c r="I1283" s="64"/>
      <c r="J1283" s="64"/>
      <c r="K1283" s="64"/>
      <c r="L1283" s="64"/>
      <c r="M1283" s="54" t="s">
        <v>203</v>
      </c>
      <c r="N1283" s="64"/>
      <c r="O1283" s="57">
        <f>c_hypo</f>
        <v>2936.2604000000001</v>
      </c>
      <c r="P1283" s="64"/>
      <c r="Q1283" s="56">
        <f>Hypo2CI_3-(Hypo2CI_3*noRDS2CLD_3)</f>
        <v>5.1333333333333335E-2</v>
      </c>
      <c r="R1283" s="56"/>
      <c r="S1283" s="129"/>
      <c r="T1283" s="105"/>
      <c r="U1283" s="133"/>
      <c r="V1283" s="133"/>
      <c r="W1283" s="133"/>
      <c r="X1283" s="133"/>
      <c r="Y1283" s="133"/>
      <c r="Z1283" s="134">
        <f t="shared" si="120"/>
        <v>0</v>
      </c>
      <c r="AA1283" s="6">
        <f t="shared" si="119"/>
        <v>0</v>
      </c>
    </row>
    <row r="1284" spans="1:27" x14ac:dyDescent="0.3">
      <c r="A1284" s="10"/>
      <c r="B1284" s="10"/>
      <c r="C1284" s="10"/>
      <c r="D1284" s="10"/>
      <c r="E1284" s="10"/>
      <c r="F1284" s="41"/>
      <c r="G1284" s="64"/>
      <c r="H1284" s="64"/>
      <c r="I1284" s="64"/>
      <c r="J1284" s="64"/>
      <c r="K1284" s="64"/>
      <c r="L1284" s="64"/>
      <c r="M1284" s="56">
        <f>S_term_2noRDS_3</f>
        <v>1</v>
      </c>
      <c r="N1284" s="64"/>
      <c r="O1284" s="53"/>
      <c r="P1284" s="64"/>
      <c r="Q1284" s="57">
        <f>c_cog+c_hosp_fu+c_CSG</f>
        <v>15766</v>
      </c>
      <c r="R1284" s="57"/>
      <c r="S1284" s="129"/>
      <c r="T1284" s="105"/>
      <c r="U1284" s="133"/>
      <c r="V1284" s="133"/>
      <c r="W1284" s="133"/>
      <c r="X1284" s="133"/>
      <c r="Y1284" s="133"/>
      <c r="Z1284" s="134">
        <f t="shared" si="120"/>
        <v>0</v>
      </c>
      <c r="AA1284" s="6">
        <f t="shared" si="119"/>
        <v>0</v>
      </c>
    </row>
    <row r="1285" spans="1:27" x14ac:dyDescent="0.3">
      <c r="A1285" s="110"/>
      <c r="B1285" s="10"/>
      <c r="C1285" s="10"/>
      <c r="D1285" s="10"/>
      <c r="E1285" s="10"/>
      <c r="F1285" s="41"/>
      <c r="G1285" s="65"/>
      <c r="H1285" s="64"/>
      <c r="I1285" s="64"/>
      <c r="J1285" s="64"/>
      <c r="K1285" s="64"/>
      <c r="L1285" s="64"/>
      <c r="M1285" s="57"/>
      <c r="N1285" s="64"/>
      <c r="O1285" s="65"/>
      <c r="P1285" s="64"/>
      <c r="Q1285" s="54" t="s">
        <v>369</v>
      </c>
      <c r="R1285" s="54"/>
      <c r="S1285" s="129"/>
      <c r="T1285" s="105"/>
      <c r="U1285" s="133">
        <f>$K$1269*$I$1258*$G$1279*$E$1207*$C$1053*$A$1008*$M$1284*$O$1282*Q1286</f>
        <v>0</v>
      </c>
      <c r="V1285" s="133">
        <v>0</v>
      </c>
      <c r="W1285" s="134">
        <f>$K$1270+$I$1259+$G$1280+$E$1208+$C$1054+$A$1009+$M$1285+$O$1283+Q1287</f>
        <v>64560.651302400001</v>
      </c>
      <c r="X1285" s="133">
        <f>u_ChronicResp+u_CongnitiveImpairement</f>
        <v>17.805052694763283</v>
      </c>
      <c r="Y1285" s="133"/>
      <c r="Z1285" s="134">
        <f t="shared" si="120"/>
        <v>0</v>
      </c>
      <c r="AA1285" s="6">
        <f t="shared" si="119"/>
        <v>0</v>
      </c>
    </row>
    <row r="1286" spans="1:27" x14ac:dyDescent="0.3">
      <c r="A1286" s="110"/>
      <c r="B1286" s="10"/>
      <c r="C1286" s="10"/>
      <c r="D1286" s="10"/>
      <c r="E1286" s="10"/>
      <c r="F1286" s="41"/>
      <c r="G1286" s="64"/>
      <c r="H1286" s="64"/>
      <c r="I1286" s="64"/>
      <c r="J1286" s="64"/>
      <c r="K1286" s="64"/>
      <c r="L1286" s="64"/>
      <c r="M1286" s="65"/>
      <c r="N1286" s="64"/>
      <c r="O1286" s="41"/>
      <c r="P1286" s="64"/>
      <c r="Q1286" s="56">
        <f>noRDS2CLD_3*Hypo2CI_3</f>
        <v>0</v>
      </c>
      <c r="R1286" s="56"/>
      <c r="S1286" s="129"/>
      <c r="T1286" s="105"/>
      <c r="U1286" s="133"/>
      <c r="V1286" s="133"/>
      <c r="W1286" s="133"/>
      <c r="X1286" s="133"/>
      <c r="Y1286" s="133"/>
      <c r="Z1286" s="134">
        <f t="shared" si="120"/>
        <v>0</v>
      </c>
      <c r="AA1286" s="6">
        <f t="shared" si="119"/>
        <v>0</v>
      </c>
    </row>
    <row r="1287" spans="1:27" x14ac:dyDescent="0.3">
      <c r="A1287" s="116"/>
      <c r="B1287" s="10"/>
      <c r="C1287" s="10"/>
      <c r="D1287" s="10"/>
      <c r="E1287" s="10"/>
      <c r="F1287" s="41"/>
      <c r="G1287" s="64"/>
      <c r="H1287" s="64"/>
      <c r="I1287" s="64"/>
      <c r="J1287" s="64"/>
      <c r="K1287" s="64"/>
      <c r="L1287" s="64"/>
      <c r="M1287" s="65"/>
      <c r="N1287" s="64"/>
      <c r="O1287" s="41"/>
      <c r="P1287" s="64"/>
      <c r="Q1287" s="57">
        <f>c_lung+c_cog+c_hosp_fu+c_CSG</f>
        <v>58348.510902399998</v>
      </c>
      <c r="R1287" s="57"/>
      <c r="S1287" s="129"/>
      <c r="T1287" s="105"/>
      <c r="U1287" s="133"/>
      <c r="V1287" s="133"/>
      <c r="W1287" s="133"/>
      <c r="X1287" s="133"/>
      <c r="Y1287" s="133"/>
      <c r="Z1287" s="134">
        <f t="shared" si="120"/>
        <v>0</v>
      </c>
      <c r="AA1287" s="6">
        <f t="shared" si="119"/>
        <v>0</v>
      </c>
    </row>
    <row r="1288" spans="1:27" x14ac:dyDescent="0.3">
      <c r="A1288" s="10"/>
      <c r="B1288" s="10"/>
      <c r="C1288" s="10"/>
      <c r="D1288" s="10"/>
      <c r="E1288" s="10"/>
      <c r="F1288" s="41"/>
      <c r="G1288" s="64"/>
      <c r="H1288" s="64"/>
      <c r="I1288" s="64"/>
      <c r="J1288" s="64"/>
      <c r="K1288" s="64"/>
      <c r="L1288" s="64"/>
      <c r="M1288" s="65"/>
      <c r="N1288" s="64"/>
      <c r="O1288" s="41"/>
      <c r="P1288" s="64"/>
      <c r="Q1288" s="54" t="s">
        <v>370</v>
      </c>
      <c r="R1288" s="54"/>
      <c r="T1288" s="105"/>
      <c r="U1288" s="133">
        <f>$K$1269*$I$1258*$G$1279*$E$1207*$C$1053*$A$1008*$M$1284*$O$1282*Q1289</f>
        <v>2.0341450374985321E-2</v>
      </c>
      <c r="V1288" s="133">
        <v>2.0341450374985321E-2</v>
      </c>
      <c r="W1288" s="134">
        <f>$K$1270+$I$1259+$G$1280+$E$1208+$C$1054+$A$1009+$M$1285+$O$1283+Q1290</f>
        <v>20615.1404</v>
      </c>
      <c r="X1288" s="133">
        <f>u_Healthy</f>
        <v>0</v>
      </c>
      <c r="Y1288" s="133"/>
      <c r="Z1288" s="134">
        <f t="shared" si="120"/>
        <v>419.34185541995504</v>
      </c>
      <c r="AA1288" s="6">
        <f t="shared" si="119"/>
        <v>0</v>
      </c>
    </row>
    <row r="1289" spans="1:27" x14ac:dyDescent="0.3">
      <c r="A1289" s="10"/>
      <c r="B1289" s="10"/>
      <c r="C1289" s="10"/>
      <c r="D1289" s="10"/>
      <c r="E1289" s="10"/>
      <c r="F1289" s="41"/>
      <c r="G1289" s="64"/>
      <c r="H1289" s="64"/>
      <c r="I1289" s="64"/>
      <c r="J1289" s="64"/>
      <c r="K1289" s="64"/>
      <c r="L1289" s="64"/>
      <c r="M1289" s="65"/>
      <c r="N1289" s="64"/>
      <c r="O1289" s="65"/>
      <c r="P1289" s="64"/>
      <c r="Q1289" s="56">
        <f>1-Q1286-Q1283-Q1280</f>
        <v>0.94866666666666666</v>
      </c>
      <c r="R1289" s="56"/>
      <c r="S1289" s="129"/>
      <c r="T1289" s="105"/>
      <c r="U1289" s="133"/>
      <c r="V1289" s="133"/>
      <c r="W1289" s="133"/>
      <c r="X1289" s="133"/>
      <c r="Y1289" s="133"/>
      <c r="Z1289" s="134">
        <f t="shared" si="120"/>
        <v>0</v>
      </c>
      <c r="AA1289" s="6">
        <f t="shared" si="119"/>
        <v>0</v>
      </c>
    </row>
    <row r="1290" spans="1:27" x14ac:dyDescent="0.3">
      <c r="A1290" s="10"/>
      <c r="B1290" s="10"/>
      <c r="C1290" s="10"/>
      <c r="D1290" s="10"/>
      <c r="E1290" s="10"/>
      <c r="F1290" s="41"/>
      <c r="G1290" s="64"/>
      <c r="H1290" s="64"/>
      <c r="I1290" s="64"/>
      <c r="J1290" s="64"/>
      <c r="K1290" s="64"/>
      <c r="L1290" s="64"/>
      <c r="M1290" s="65"/>
      <c r="N1290" s="64"/>
      <c r="O1290" s="64"/>
      <c r="P1290" s="64"/>
      <c r="Q1290" s="57">
        <f>c_clinic_fu+c_CSG</f>
        <v>14403</v>
      </c>
      <c r="R1290" s="57"/>
      <c r="S1290" s="130"/>
      <c r="T1290" s="105"/>
      <c r="U1290" s="133"/>
      <c r="V1290" s="133"/>
      <c r="W1290" s="133"/>
      <c r="X1290" s="133"/>
      <c r="Y1290" s="133"/>
      <c r="Z1290" s="134">
        <f t="shared" si="120"/>
        <v>0</v>
      </c>
      <c r="AA1290" s="6">
        <f t="shared" si="119"/>
        <v>0</v>
      </c>
    </row>
    <row r="1291" spans="1:27" x14ac:dyDescent="0.3">
      <c r="A1291" s="10"/>
      <c r="B1291" s="10"/>
      <c r="C1291" s="10"/>
      <c r="D1291" s="10"/>
      <c r="E1291" s="10"/>
      <c r="F1291" s="41"/>
      <c r="G1291" s="64"/>
      <c r="H1291" s="64"/>
      <c r="I1291" s="64"/>
      <c r="J1291" s="64"/>
      <c r="K1291" s="64"/>
      <c r="L1291" s="64"/>
      <c r="M1291" s="65"/>
      <c r="N1291" s="64"/>
      <c r="O1291" s="64"/>
      <c r="P1291" s="64"/>
      <c r="Q1291" s="65"/>
      <c r="R1291" s="65"/>
      <c r="S1291" s="129"/>
      <c r="T1291" s="105"/>
      <c r="U1291" s="133"/>
      <c r="V1291" s="133"/>
      <c r="W1291" s="133"/>
      <c r="X1291" s="133"/>
      <c r="Y1291" s="133"/>
      <c r="Z1291" s="134">
        <f t="shared" si="120"/>
        <v>0</v>
      </c>
      <c r="AA1291" s="6">
        <f t="shared" si="119"/>
        <v>0</v>
      </c>
    </row>
    <row r="1292" spans="1:27" x14ac:dyDescent="0.3">
      <c r="A1292" s="10"/>
      <c r="B1292" s="10"/>
      <c r="C1292" s="10"/>
      <c r="D1292" s="10"/>
      <c r="E1292" s="10"/>
      <c r="F1292" s="41"/>
      <c r="G1292" s="64"/>
      <c r="H1292" s="64"/>
      <c r="I1292" s="64"/>
      <c r="J1292" s="64"/>
      <c r="K1292" s="64"/>
      <c r="L1292" s="64"/>
      <c r="M1292" s="65"/>
      <c r="N1292" s="64"/>
      <c r="O1292" s="64"/>
      <c r="P1292" s="64"/>
      <c r="Q1292" s="54" t="s">
        <v>368</v>
      </c>
      <c r="R1292" s="54"/>
      <c r="S1292" s="129"/>
      <c r="T1292" s="105"/>
      <c r="U1292" s="133">
        <f>$K$1269*$I$1258*$G$1279*$E$1207*$C$1053*$A$1008*$M$1284*$O$1296*Q1293</f>
        <v>0</v>
      </c>
      <c r="V1292" s="133">
        <v>0</v>
      </c>
      <c r="W1292" s="134">
        <f>$K$1270+$I$1259+$G$1280+$E$1208+$C$1054+$A$1009+$M$1285+$O$1297+Q1294</f>
        <v>59834.651302399994</v>
      </c>
      <c r="X1292" s="133">
        <f>u_ChronicResp</f>
        <v>0.53465956747782661</v>
      </c>
      <c r="Y1292" s="133"/>
      <c r="Z1292" s="134">
        <f t="shared" si="120"/>
        <v>0</v>
      </c>
      <c r="AA1292" s="6">
        <f t="shared" si="119"/>
        <v>0</v>
      </c>
    </row>
    <row r="1293" spans="1:27" x14ac:dyDescent="0.3">
      <c r="A1293" s="10"/>
      <c r="B1293" s="10"/>
      <c r="C1293" s="10"/>
      <c r="D1293" s="10"/>
      <c r="E1293" s="10"/>
      <c r="F1293" s="41"/>
      <c r="G1293" s="64"/>
      <c r="H1293" s="64"/>
      <c r="I1293" s="64"/>
      <c r="J1293" s="64"/>
      <c r="K1293" s="64"/>
      <c r="L1293" s="64"/>
      <c r="M1293" s="65"/>
      <c r="N1293" s="64"/>
      <c r="O1293" s="64"/>
      <c r="P1293" s="64"/>
      <c r="Q1293" s="56">
        <f>noRDS2CLD_3-(noRDS2CLD_3*noHypo2CI_3)</f>
        <v>0</v>
      </c>
      <c r="R1293" s="56"/>
      <c r="S1293" s="129"/>
      <c r="T1293" s="105"/>
      <c r="U1293" s="133"/>
      <c r="V1293" s="133"/>
      <c r="W1293" s="133"/>
      <c r="X1293" s="133"/>
      <c r="Y1293" s="133"/>
      <c r="Z1293" s="134">
        <f t="shared" si="120"/>
        <v>0</v>
      </c>
      <c r="AA1293" s="6">
        <f t="shared" ref="AA1293:AA1356" si="121">U1293*X1293</f>
        <v>0</v>
      </c>
    </row>
    <row r="1294" spans="1:27" x14ac:dyDescent="0.3">
      <c r="A1294" s="10"/>
      <c r="B1294" s="10"/>
      <c r="C1294" s="10"/>
      <c r="D1294" s="10"/>
      <c r="E1294" s="10"/>
      <c r="F1294" s="41"/>
      <c r="G1294" s="64"/>
      <c r="H1294" s="64"/>
      <c r="I1294" s="64"/>
      <c r="J1294" s="64"/>
      <c r="K1294" s="64"/>
      <c r="L1294" s="64"/>
      <c r="M1294" s="65"/>
      <c r="N1294" s="64"/>
      <c r="O1294" s="64"/>
      <c r="P1294" s="64"/>
      <c r="Q1294" s="57">
        <f>c_lung+c_hypo+c_CSG</f>
        <v>56558.771302399997</v>
      </c>
      <c r="R1294" s="57"/>
      <c r="S1294" s="129"/>
      <c r="T1294" s="105"/>
      <c r="U1294" s="133"/>
      <c r="V1294" s="133"/>
      <c r="W1294" s="133"/>
      <c r="X1294" s="133"/>
      <c r="Y1294" s="133"/>
      <c r="Z1294" s="134">
        <f t="shared" si="120"/>
        <v>0</v>
      </c>
      <c r="AA1294" s="6">
        <f t="shared" si="121"/>
        <v>0</v>
      </c>
    </row>
    <row r="1295" spans="1:27" x14ac:dyDescent="0.3">
      <c r="A1295" s="10"/>
      <c r="B1295" s="10"/>
      <c r="C1295" s="10"/>
      <c r="D1295" s="10"/>
      <c r="E1295" s="10"/>
      <c r="F1295" s="41"/>
      <c r="G1295" s="64"/>
      <c r="H1295" s="64"/>
      <c r="I1295" s="64"/>
      <c r="J1295" s="64"/>
      <c r="K1295" s="64"/>
      <c r="L1295" s="64"/>
      <c r="M1295" s="65"/>
      <c r="N1295" s="64"/>
      <c r="O1295" s="54" t="s">
        <v>371</v>
      </c>
      <c r="P1295" s="64"/>
      <c r="Q1295" s="54" t="s">
        <v>226</v>
      </c>
      <c r="R1295" s="54"/>
      <c r="S1295" s="129"/>
      <c r="T1295" s="105"/>
      <c r="U1295" s="133">
        <f>$K$1269*$I$1258*$G$1279*$E$1207*$C$1053*$A$1008*$M$1284*$O$1296*Q1296</f>
        <v>2.0191349821824228E-3</v>
      </c>
      <c r="V1295" s="133">
        <v>2.0191349821824228E-3</v>
      </c>
      <c r="W1295" s="134">
        <f>$K$1270+$I$1259+$G$1280+$E$1208+$C$1054+$A$1009+$M$1285+$O$1297+Q1297</f>
        <v>19041.88</v>
      </c>
      <c r="X1295" s="133">
        <f>u_CongnitiveImpairement</f>
        <v>17.270393127285455</v>
      </c>
      <c r="Y1295" s="133"/>
      <c r="Z1295" s="134">
        <f t="shared" ref="Z1295:Z1358" si="122">U1295*W1295</f>
        <v>38.448126034519831</v>
      </c>
      <c r="AA1295" s="6">
        <f t="shared" si="121"/>
        <v>3.4871254919344952E-2</v>
      </c>
    </row>
    <row r="1296" spans="1:27" x14ac:dyDescent="0.3">
      <c r="A1296" s="10"/>
      <c r="B1296" s="10"/>
      <c r="C1296" s="10"/>
      <c r="D1296" s="10"/>
      <c r="E1296" s="10"/>
      <c r="F1296" s="41"/>
      <c r="G1296" s="64"/>
      <c r="H1296" s="64"/>
      <c r="I1296" s="64"/>
      <c r="J1296" s="64"/>
      <c r="K1296" s="64"/>
      <c r="L1296" s="64"/>
      <c r="M1296" s="65"/>
      <c r="N1296" s="64"/>
      <c r="O1296" s="56">
        <f>SGA_term_2normoglycaemia_3</f>
        <v>0.74</v>
      </c>
      <c r="P1296" s="64"/>
      <c r="Q1296" s="56">
        <f>noHypo2CI_3</f>
        <v>3.3085576536761752E-2</v>
      </c>
      <c r="R1296" s="56"/>
      <c r="S1296" s="129"/>
      <c r="T1296" s="105"/>
      <c r="U1296" s="133"/>
      <c r="V1296" s="133"/>
      <c r="W1296" s="133"/>
      <c r="X1296" s="133"/>
      <c r="Y1296" s="133"/>
      <c r="Z1296" s="134">
        <f t="shared" si="122"/>
        <v>0</v>
      </c>
      <c r="AA1296" s="6">
        <f t="shared" si="121"/>
        <v>0</v>
      </c>
    </row>
    <row r="1297" spans="1:27" x14ac:dyDescent="0.3">
      <c r="A1297" s="10"/>
      <c r="B1297" s="10"/>
      <c r="C1297" s="10"/>
      <c r="D1297" s="10"/>
      <c r="E1297" s="10"/>
      <c r="F1297" s="41"/>
      <c r="G1297" s="64"/>
      <c r="H1297" s="64"/>
      <c r="I1297" s="64"/>
      <c r="J1297" s="64"/>
      <c r="K1297" s="64"/>
      <c r="L1297" s="64"/>
      <c r="M1297" s="65"/>
      <c r="N1297" s="64"/>
      <c r="O1297" s="57"/>
      <c r="P1297" s="64"/>
      <c r="Q1297" s="57">
        <f>c_cog+c_hosp_fu+c_CSG</f>
        <v>15766</v>
      </c>
      <c r="R1297" s="57"/>
      <c r="S1297" s="129"/>
      <c r="T1297" s="105"/>
      <c r="U1297" s="133"/>
      <c r="V1297" s="133"/>
      <c r="W1297" s="133"/>
      <c r="X1297" s="133"/>
      <c r="Y1297" s="133"/>
      <c r="Z1297" s="134">
        <f t="shared" si="122"/>
        <v>0</v>
      </c>
      <c r="AA1297" s="6">
        <f t="shared" si="121"/>
        <v>0</v>
      </c>
    </row>
    <row r="1298" spans="1:27" x14ac:dyDescent="0.3">
      <c r="A1298" s="10"/>
      <c r="B1298" s="10"/>
      <c r="C1298" s="10"/>
      <c r="D1298" s="10"/>
      <c r="E1298" s="10"/>
      <c r="F1298" s="41"/>
      <c r="G1298" s="64"/>
      <c r="H1298" s="64"/>
      <c r="I1298" s="64"/>
      <c r="J1298" s="64"/>
      <c r="K1298" s="64"/>
      <c r="L1298" s="64"/>
      <c r="M1298" s="65"/>
      <c r="N1298" s="64"/>
      <c r="O1298" s="64"/>
      <c r="P1298" s="64"/>
      <c r="Q1298" s="54" t="s">
        <v>369</v>
      </c>
      <c r="R1298" s="54"/>
      <c r="S1298" s="129"/>
      <c r="T1298" s="105"/>
      <c r="U1298" s="133">
        <f>$K$1269*$I$1258*$G$1279*$E$1207*$C$1053*$A$1008*$M$1284*$O$1296*Q1299</f>
        <v>0</v>
      </c>
      <c r="V1298" s="133">
        <v>0</v>
      </c>
      <c r="W1298" s="134">
        <f>$K$1270+$I$1259+$G$1280+$E$1208+$C$1054+$A$1009+$M$1285+$O$1297+Q1300</f>
        <v>61624.390902399995</v>
      </c>
      <c r="X1298" s="133">
        <f>u_ChronicResp+u_CongnitiveImpairement</f>
        <v>17.805052694763283</v>
      </c>
      <c r="Y1298" s="133"/>
      <c r="Z1298" s="134">
        <f t="shared" si="122"/>
        <v>0</v>
      </c>
      <c r="AA1298" s="6">
        <f t="shared" si="121"/>
        <v>0</v>
      </c>
    </row>
    <row r="1299" spans="1:27" x14ac:dyDescent="0.3">
      <c r="A1299" s="10"/>
      <c r="B1299" s="10"/>
      <c r="C1299" s="10"/>
      <c r="D1299" s="10"/>
      <c r="E1299" s="10"/>
      <c r="F1299" s="41"/>
      <c r="G1299" s="64"/>
      <c r="H1299" s="64"/>
      <c r="I1299" s="64"/>
      <c r="J1299" s="64"/>
      <c r="K1299" s="64"/>
      <c r="L1299" s="64"/>
      <c r="M1299" s="65"/>
      <c r="N1299" s="64"/>
      <c r="O1299" s="64"/>
      <c r="P1299" s="64"/>
      <c r="Q1299" s="56">
        <f>noRDS2CLD_3*noHypo2CI_3</f>
        <v>0</v>
      </c>
      <c r="R1299" s="56"/>
      <c r="S1299" s="129"/>
      <c r="T1299" s="105"/>
      <c r="U1299" s="133"/>
      <c r="V1299" s="133"/>
      <c r="W1299" s="133"/>
      <c r="X1299" s="133"/>
      <c r="Y1299" s="133"/>
      <c r="Z1299" s="134">
        <f t="shared" si="122"/>
        <v>0</v>
      </c>
      <c r="AA1299" s="6">
        <f t="shared" si="121"/>
        <v>0</v>
      </c>
    </row>
    <row r="1300" spans="1:27" x14ac:dyDescent="0.3">
      <c r="A1300" s="10"/>
      <c r="B1300" s="10"/>
      <c r="C1300" s="10"/>
      <c r="D1300" s="10"/>
      <c r="E1300" s="10"/>
      <c r="F1300" s="41"/>
      <c r="G1300" s="64"/>
      <c r="H1300" s="64"/>
      <c r="I1300" s="64"/>
      <c r="J1300" s="64"/>
      <c r="K1300" s="64"/>
      <c r="L1300" s="64"/>
      <c r="M1300" s="65"/>
      <c r="N1300" s="64"/>
      <c r="O1300" s="64"/>
      <c r="P1300" s="64"/>
      <c r="Q1300" s="57">
        <f>c_cog+c_lung+c_hosp_fu+c_CSG</f>
        <v>58348.510902399998</v>
      </c>
      <c r="R1300" s="57"/>
      <c r="S1300" s="129"/>
      <c r="T1300" s="105"/>
      <c r="U1300" s="133"/>
      <c r="V1300" s="133"/>
      <c r="W1300" s="133"/>
      <c r="X1300" s="133"/>
      <c r="Y1300" s="133"/>
      <c r="Z1300" s="134">
        <f t="shared" si="122"/>
        <v>0</v>
      </c>
      <c r="AA1300" s="6">
        <f t="shared" si="121"/>
        <v>0</v>
      </c>
    </row>
    <row r="1301" spans="1:27" x14ac:dyDescent="0.3">
      <c r="A1301" s="10"/>
      <c r="B1301" s="10"/>
      <c r="C1301" s="10"/>
      <c r="D1301" s="10"/>
      <c r="E1301" s="10"/>
      <c r="F1301" s="41"/>
      <c r="G1301" s="64"/>
      <c r="H1301" s="64"/>
      <c r="I1301" s="64"/>
      <c r="J1301" s="64"/>
      <c r="K1301" s="64"/>
      <c r="L1301" s="64"/>
      <c r="M1301" s="65"/>
      <c r="N1301" s="64"/>
      <c r="O1301" s="64"/>
      <c r="P1301" s="64"/>
      <c r="Q1301" s="54" t="s">
        <v>370</v>
      </c>
      <c r="R1301" s="54"/>
      <c r="T1301" s="105"/>
      <c r="U1301" s="133">
        <f>$K$1269*$I$1258*$G$1279*$E$1207*$C$1053*$A$1008*$M$1284*$O$1296*Q1302</f>
        <v>5.9008514934660937E-2</v>
      </c>
      <c r="V1301" s="133">
        <v>5.9008514934660937E-2</v>
      </c>
      <c r="W1301" s="134">
        <f>$K$1270+$I$1259+$G$1280+$E$1208+$C$1054+$A$1009+$M$1285+$O$1297+Q1303</f>
        <v>17678.88</v>
      </c>
      <c r="X1301" s="133">
        <f>u_Healthy</f>
        <v>0</v>
      </c>
      <c r="Y1301" s="133"/>
      <c r="Z1301" s="134">
        <f t="shared" si="122"/>
        <v>1043.2044545080787</v>
      </c>
      <c r="AA1301" s="6">
        <f t="shared" si="121"/>
        <v>0</v>
      </c>
    </row>
    <row r="1302" spans="1:27" x14ac:dyDescent="0.3">
      <c r="A1302" s="10"/>
      <c r="B1302" s="10"/>
      <c r="C1302" s="10"/>
      <c r="D1302" s="10"/>
      <c r="E1302" s="10"/>
      <c r="F1302" s="41"/>
      <c r="G1302" s="64"/>
      <c r="H1302" s="64"/>
      <c r="I1302" s="64"/>
      <c r="J1302" s="64"/>
      <c r="K1302" s="64"/>
      <c r="L1302" s="64"/>
      <c r="M1302" s="65"/>
      <c r="N1302" s="64"/>
      <c r="O1302" s="64"/>
      <c r="P1302" s="64"/>
      <c r="Q1302" s="56">
        <f>1-Q1299-Q1296-Q1293</f>
        <v>0.9669144234632383</v>
      </c>
      <c r="R1302" s="56"/>
      <c r="S1302" s="129"/>
      <c r="T1302" s="105"/>
      <c r="U1302" s="133"/>
      <c r="V1302" s="133"/>
      <c r="W1302" s="133"/>
      <c r="X1302" s="133"/>
      <c r="Y1302" s="133"/>
      <c r="Z1302" s="134">
        <f t="shared" si="122"/>
        <v>0</v>
      </c>
      <c r="AA1302" s="6">
        <f t="shared" si="121"/>
        <v>0</v>
      </c>
    </row>
    <row r="1303" spans="1:27" x14ac:dyDescent="0.3">
      <c r="A1303" s="10"/>
      <c r="B1303" s="10"/>
      <c r="C1303" s="10"/>
      <c r="D1303" s="10"/>
      <c r="E1303" s="10"/>
      <c r="F1303" s="41"/>
      <c r="G1303" s="64"/>
      <c r="H1303" s="64"/>
      <c r="I1303" s="64"/>
      <c r="J1303" s="64"/>
      <c r="K1303" s="64"/>
      <c r="L1303" s="64"/>
      <c r="M1303" s="65"/>
      <c r="N1303" s="64"/>
      <c r="O1303" s="64"/>
      <c r="P1303" s="64"/>
      <c r="Q1303" s="57">
        <f>c_clinic_fu+c_CSG</f>
        <v>14403</v>
      </c>
      <c r="R1303" s="57"/>
      <c r="S1303" s="129"/>
      <c r="T1303" s="105"/>
      <c r="U1303" s="133"/>
      <c r="V1303" s="133"/>
      <c r="W1303" s="133"/>
      <c r="X1303" s="133"/>
      <c r="Y1303" s="133"/>
      <c r="Z1303" s="134">
        <f t="shared" si="122"/>
        <v>0</v>
      </c>
      <c r="AA1303" s="6">
        <f t="shared" si="121"/>
        <v>0</v>
      </c>
    </row>
    <row r="1304" spans="1:27" x14ac:dyDescent="0.3">
      <c r="A1304" s="10"/>
      <c r="B1304" s="10"/>
      <c r="C1304" s="10"/>
      <c r="D1304" s="10"/>
      <c r="E1304" s="10"/>
      <c r="F1304" s="41"/>
      <c r="G1304" s="64"/>
      <c r="H1304" s="64"/>
      <c r="I1304" s="64"/>
      <c r="J1304" s="64"/>
      <c r="K1304" s="64"/>
      <c r="L1304" s="64"/>
      <c r="M1304" s="65"/>
      <c r="N1304" s="64"/>
      <c r="O1304" s="64"/>
      <c r="P1304" s="64"/>
      <c r="Q1304" s="65"/>
      <c r="R1304" s="65"/>
      <c r="S1304" s="129"/>
      <c r="T1304" s="105"/>
      <c r="U1304" s="133"/>
      <c r="V1304" s="133"/>
      <c r="W1304" s="133"/>
      <c r="X1304" s="133"/>
      <c r="Y1304" s="133"/>
      <c r="Z1304" s="134">
        <f t="shared" si="122"/>
        <v>0</v>
      </c>
      <c r="AA1304" s="6">
        <f t="shared" si="121"/>
        <v>0</v>
      </c>
    </row>
    <row r="1305" spans="1:27" x14ac:dyDescent="0.3">
      <c r="A1305" s="10"/>
      <c r="B1305" s="10"/>
      <c r="C1305" s="10"/>
      <c r="D1305" s="10"/>
      <c r="E1305" s="10"/>
      <c r="F1305" s="41"/>
      <c r="G1305" s="64"/>
      <c r="H1305" s="64"/>
      <c r="I1305" s="64"/>
      <c r="J1305" s="64"/>
      <c r="K1305" s="54" t="s">
        <v>165</v>
      </c>
      <c r="L1305" s="54"/>
      <c r="M1305" s="54"/>
      <c r="N1305" s="54"/>
      <c r="O1305" s="54"/>
      <c r="P1305" s="54"/>
      <c r="Q1305" s="54"/>
      <c r="R1305" s="54"/>
      <c r="S1305" s="129"/>
      <c r="T1305" s="105"/>
      <c r="U1305" s="133">
        <f>$K$1306*$I$1314*$G$1279*$E$1207*$C$1053*$A$1008</f>
        <v>2.2214707875297863E-3</v>
      </c>
      <c r="V1305" s="133">
        <v>2.2214707875297863E-3</v>
      </c>
      <c r="W1305" s="134">
        <f>$K$1307+$I$1315+$G$1280+$E$1208+$C$1054+$A$1009</f>
        <v>5067.88</v>
      </c>
      <c r="X1305" s="133">
        <f>u_Death</f>
        <v>19.181538114427529</v>
      </c>
      <c r="Y1305" s="133"/>
      <c r="Z1305" s="134">
        <f t="shared" si="122"/>
        <v>11.258147374706454</v>
      </c>
      <c r="AA1305" s="6">
        <f t="shared" si="121"/>
        <v>4.2611226581089935E-2</v>
      </c>
    </row>
    <row r="1306" spans="1:27" x14ac:dyDescent="0.3">
      <c r="A1306" s="10"/>
      <c r="B1306" s="10"/>
      <c r="C1306" s="10"/>
      <c r="D1306" s="10"/>
      <c r="E1306" s="10"/>
      <c r="F1306" s="41"/>
      <c r="G1306" s="64"/>
      <c r="H1306" s="64"/>
      <c r="I1306" s="64"/>
      <c r="J1306" s="64"/>
      <c r="K1306" s="56">
        <f>AGA_term_2d_3</f>
        <v>6.2333333333333338E-3</v>
      </c>
      <c r="L1306" s="64"/>
      <c r="M1306" s="64"/>
      <c r="N1306" s="64"/>
      <c r="O1306" s="64"/>
      <c r="P1306" s="64"/>
      <c r="Q1306" s="64"/>
      <c r="R1306" s="64"/>
      <c r="S1306" s="129"/>
      <c r="T1306" s="105"/>
      <c r="U1306" s="133"/>
      <c r="V1306" s="133"/>
      <c r="W1306" s="133"/>
      <c r="X1306" s="133"/>
      <c r="Y1306" s="133"/>
      <c r="Z1306" s="134">
        <f t="shared" si="122"/>
        <v>0</v>
      </c>
      <c r="AA1306" s="6">
        <f t="shared" si="121"/>
        <v>0</v>
      </c>
    </row>
    <row r="1307" spans="1:27" x14ac:dyDescent="0.3">
      <c r="A1307" s="10"/>
      <c r="B1307" s="10"/>
      <c r="C1307" s="10"/>
      <c r="D1307" s="10"/>
      <c r="E1307" s="10"/>
      <c r="F1307" s="41"/>
      <c r="G1307" s="64"/>
      <c r="H1307" s="64"/>
      <c r="I1307" s="64"/>
      <c r="J1307" s="64"/>
      <c r="K1307" s="57">
        <f>c_SB</f>
        <v>1792</v>
      </c>
      <c r="L1307" s="64"/>
      <c r="M1307" s="64"/>
      <c r="N1307" s="64"/>
      <c r="O1307" s="64"/>
      <c r="P1307" s="64"/>
      <c r="Q1307" s="64"/>
      <c r="R1307" s="64"/>
      <c r="S1307" s="129"/>
      <c r="T1307" s="105"/>
      <c r="U1307" s="133"/>
      <c r="V1307" s="133"/>
      <c r="W1307" s="133"/>
      <c r="X1307" s="133"/>
      <c r="Y1307" s="133"/>
      <c r="Z1307" s="134">
        <f t="shared" si="122"/>
        <v>0</v>
      </c>
      <c r="AA1307" s="6">
        <f t="shared" si="121"/>
        <v>0</v>
      </c>
    </row>
    <row r="1308" spans="1:27" x14ac:dyDescent="0.3">
      <c r="A1308" s="10"/>
      <c r="B1308" s="10"/>
      <c r="C1308" s="10"/>
      <c r="D1308" s="10"/>
      <c r="E1308" s="10"/>
      <c r="F1308" s="41"/>
      <c r="G1308" s="64"/>
      <c r="H1308" s="64"/>
      <c r="I1308" s="64"/>
      <c r="J1308" s="64"/>
      <c r="K1308" s="53"/>
      <c r="L1308" s="53"/>
      <c r="M1308" s="53"/>
      <c r="N1308" s="53"/>
      <c r="O1308" s="53"/>
      <c r="P1308" s="53"/>
      <c r="Q1308" s="53"/>
      <c r="R1308" s="53"/>
      <c r="S1308" s="129"/>
      <c r="T1308" s="105"/>
      <c r="U1308" s="133"/>
      <c r="V1308" s="133"/>
      <c r="W1308" s="133"/>
      <c r="X1308" s="133"/>
      <c r="Y1308" s="133"/>
      <c r="Z1308" s="134">
        <f t="shared" si="122"/>
        <v>0</v>
      </c>
      <c r="AA1308" s="6">
        <f t="shared" si="121"/>
        <v>0</v>
      </c>
    </row>
    <row r="1309" spans="1:27" x14ac:dyDescent="0.3">
      <c r="A1309" s="10"/>
      <c r="B1309" s="10"/>
      <c r="C1309" s="10"/>
      <c r="D1309" s="10"/>
      <c r="E1309" s="10"/>
      <c r="F1309" s="41"/>
      <c r="G1309" s="64"/>
      <c r="H1309" s="64"/>
      <c r="I1309" s="64"/>
      <c r="J1309" s="64"/>
      <c r="K1309" s="53"/>
      <c r="L1309" s="53"/>
      <c r="M1309" s="53"/>
      <c r="N1309" s="53"/>
      <c r="O1309" s="53"/>
      <c r="P1309" s="53"/>
      <c r="Q1309" s="54" t="s">
        <v>368</v>
      </c>
      <c r="R1309" s="54"/>
      <c r="S1309" s="129"/>
      <c r="T1309" s="105"/>
      <c r="U1309" s="133">
        <f>$K$1325*$I$1314*$G$1279*$E$1207*$C$1053*$A$1008*$M$1320*$O$1315*Q1310</f>
        <v>0</v>
      </c>
      <c r="V1309" s="133"/>
      <c r="W1309" s="134">
        <f>$K$1326+$I$1315+$G$1280+$E$1208+$C$1054+$A$1009+$M$1321+$O$1316+Q1311</f>
        <v>91337.261450605642</v>
      </c>
      <c r="X1309" s="133">
        <f>u_ChronicResp</f>
        <v>0.53465956747782661</v>
      </c>
      <c r="Y1309" s="133"/>
      <c r="Z1309" s="134">
        <f t="shared" si="122"/>
        <v>0</v>
      </c>
      <c r="AA1309" s="6">
        <f t="shared" si="121"/>
        <v>0</v>
      </c>
    </row>
    <row r="1310" spans="1:27" x14ac:dyDescent="0.3">
      <c r="A1310" s="10"/>
      <c r="B1310" s="10"/>
      <c r="C1310" s="10"/>
      <c r="D1310" s="10"/>
      <c r="E1310" s="10"/>
      <c r="F1310" s="41"/>
      <c r="G1310" s="64"/>
      <c r="H1310" s="64"/>
      <c r="I1310" s="64"/>
      <c r="J1310" s="64"/>
      <c r="K1310" s="53"/>
      <c r="L1310" s="53"/>
      <c r="M1310" s="53"/>
      <c r="N1310" s="53"/>
      <c r="O1310" s="64"/>
      <c r="P1310" s="64"/>
      <c r="Q1310" s="56">
        <f>RDS2CLD_3-(Hypo2CI_3*RDS2CLD_3)</f>
        <v>0.34246866666666664</v>
      </c>
      <c r="R1310" s="56"/>
      <c r="S1310" s="129"/>
      <c r="T1310" s="105"/>
      <c r="U1310" s="133"/>
      <c r="V1310" s="133">
        <v>0</v>
      </c>
      <c r="W1310" s="133"/>
      <c r="X1310" s="133"/>
      <c r="Y1310" s="133"/>
      <c r="Z1310" s="134">
        <f t="shared" si="122"/>
        <v>0</v>
      </c>
      <c r="AA1310" s="6">
        <f t="shared" si="121"/>
        <v>0</v>
      </c>
    </row>
    <row r="1311" spans="1:27" x14ac:dyDescent="0.3">
      <c r="A1311" s="10"/>
      <c r="B1311" s="10"/>
      <c r="C1311" s="10"/>
      <c r="D1311" s="10"/>
      <c r="E1311" s="10"/>
      <c r="F1311" s="41"/>
      <c r="G1311" s="64"/>
      <c r="H1311" s="64"/>
      <c r="I1311" s="64"/>
      <c r="J1311" s="64"/>
      <c r="K1311" s="53"/>
      <c r="L1311" s="53"/>
      <c r="M1311" s="53"/>
      <c r="N1311" s="53"/>
      <c r="O1311" s="64"/>
      <c r="P1311" s="64"/>
      <c r="Q1311" s="57">
        <f>c_lung+c_hosp_fu+c_CSG</f>
        <v>54529.510902399998</v>
      </c>
      <c r="R1311" s="57"/>
      <c r="S1311" s="129"/>
      <c r="T1311" s="105"/>
      <c r="U1311" s="133"/>
      <c r="V1311" s="133"/>
      <c r="W1311" s="133"/>
      <c r="X1311" s="133"/>
      <c r="Y1311" s="133"/>
      <c r="Z1311" s="134">
        <f t="shared" si="122"/>
        <v>0</v>
      </c>
      <c r="AA1311" s="6">
        <f t="shared" si="121"/>
        <v>0</v>
      </c>
    </row>
    <row r="1312" spans="1:27" x14ac:dyDescent="0.3">
      <c r="A1312" s="10"/>
      <c r="B1312" s="10"/>
      <c r="C1312" s="10"/>
      <c r="D1312" s="10"/>
      <c r="E1312" s="10"/>
      <c r="F1312" s="41"/>
      <c r="G1312" s="64"/>
      <c r="H1312" s="64"/>
      <c r="I1312" s="64"/>
      <c r="J1312" s="64"/>
      <c r="K1312" s="53"/>
      <c r="L1312" s="53"/>
      <c r="M1312" s="53"/>
      <c r="N1312" s="53"/>
      <c r="O1312" s="64"/>
      <c r="P1312" s="64"/>
      <c r="Q1312" s="54" t="s">
        <v>226</v>
      </c>
      <c r="R1312" s="54"/>
      <c r="S1312" s="129"/>
      <c r="T1312" s="105"/>
      <c r="U1312" s="133">
        <f>$K$1325*$I$1314*$G$1279*$E$1207*$C$1053*$A$1008*$M$1320*$O$1315*Q1313</f>
        <v>0</v>
      </c>
      <c r="V1312" s="133"/>
      <c r="W1312" s="134">
        <f>$K$1326+$I$1315+$G$1280+$E$1208+$C$1054+$A$1009+$M$1321+$O$1316+Q1314</f>
        <v>52573.750548205637</v>
      </c>
      <c r="X1312" s="133">
        <f>u_CongnitiveImpairement</f>
        <v>17.270393127285455</v>
      </c>
      <c r="Y1312" s="133"/>
      <c r="Z1312" s="134">
        <f t="shared" si="122"/>
        <v>0</v>
      </c>
      <c r="AA1312" s="6">
        <f t="shared" si="121"/>
        <v>0</v>
      </c>
    </row>
    <row r="1313" spans="1:27" x14ac:dyDescent="0.3">
      <c r="A1313" s="10"/>
      <c r="B1313" s="10"/>
      <c r="C1313" s="10"/>
      <c r="D1313" s="10"/>
      <c r="E1313" s="10"/>
      <c r="F1313" s="41"/>
      <c r="G1313" s="64"/>
      <c r="H1313" s="64"/>
      <c r="I1313" s="54" t="s">
        <v>425</v>
      </c>
      <c r="J1313" s="64"/>
      <c r="K1313" s="64"/>
      <c r="L1313" s="64"/>
      <c r="M1313" s="64"/>
      <c r="N1313" s="64"/>
      <c r="O1313" s="64"/>
      <c r="P1313" s="64"/>
      <c r="Q1313" s="56">
        <f>Hypo2CI_3-(Hypo2CI_3*RDS2CLD_3)</f>
        <v>3.2801999999999998E-2</v>
      </c>
      <c r="R1313" s="56"/>
      <c r="S1313" s="129"/>
      <c r="T1313" s="105"/>
      <c r="U1313" s="133"/>
      <c r="V1313" s="133">
        <v>0</v>
      </c>
      <c r="W1313" s="133"/>
      <c r="X1313" s="133"/>
      <c r="Y1313" s="133"/>
      <c r="Z1313" s="134">
        <f t="shared" si="122"/>
        <v>0</v>
      </c>
      <c r="AA1313" s="6">
        <f t="shared" si="121"/>
        <v>0</v>
      </c>
    </row>
    <row r="1314" spans="1:27" x14ac:dyDescent="0.3">
      <c r="A1314" s="10"/>
      <c r="B1314" s="10"/>
      <c r="C1314" s="10"/>
      <c r="D1314" s="10"/>
      <c r="E1314" s="10"/>
      <c r="F1314" s="41"/>
      <c r="G1314" s="64"/>
      <c r="H1314" s="64"/>
      <c r="I1314" s="56">
        <f>NBW_term_2AGA_3</f>
        <v>0.81004360154892219</v>
      </c>
      <c r="J1314" s="64"/>
      <c r="K1314" s="64"/>
      <c r="L1314" s="64"/>
      <c r="M1314" s="64"/>
      <c r="N1314" s="64"/>
      <c r="O1314" s="54" t="s">
        <v>161</v>
      </c>
      <c r="P1314" s="64"/>
      <c r="Q1314" s="57">
        <f>c_cog+c_hosp_fu+c_CSG</f>
        <v>15766</v>
      </c>
      <c r="R1314" s="57"/>
      <c r="S1314" s="129"/>
      <c r="T1314" s="105"/>
      <c r="U1314" s="133"/>
      <c r="V1314" s="133"/>
      <c r="W1314" s="133"/>
      <c r="X1314" s="133"/>
      <c r="Y1314" s="133"/>
      <c r="Z1314" s="134">
        <f t="shared" si="122"/>
        <v>0</v>
      </c>
      <c r="AA1314" s="6">
        <f t="shared" si="121"/>
        <v>0</v>
      </c>
    </row>
    <row r="1315" spans="1:27" x14ac:dyDescent="0.3">
      <c r="A1315" s="10"/>
      <c r="B1315" s="10"/>
      <c r="C1315" s="10"/>
      <c r="D1315" s="10"/>
      <c r="E1315" s="10"/>
      <c r="F1315" s="41"/>
      <c r="G1315" s="64"/>
      <c r="H1315" s="64"/>
      <c r="I1315" s="57"/>
      <c r="J1315" s="64"/>
      <c r="K1315" s="64"/>
      <c r="L1315" s="64"/>
      <c r="M1315" s="64"/>
      <c r="N1315" s="64"/>
      <c r="O1315" s="56">
        <f>AGA_term_2hypoglycaemia_3</f>
        <v>0</v>
      </c>
      <c r="P1315" s="64"/>
      <c r="Q1315" s="54" t="s">
        <v>369</v>
      </c>
      <c r="R1315" s="54"/>
      <c r="S1315" s="129"/>
      <c r="T1315" s="105"/>
      <c r="U1315" s="133">
        <f>$K$1325*$I$1314*$G$1279*$E$1207*$C$1053*$A$1008*$M$1320*$O$1315*Q1316</f>
        <v>0</v>
      </c>
      <c r="V1315" s="133"/>
      <c r="W1315" s="134">
        <f>$K$1326+$I$1315+$G$1280+$E$1208+$C$1054+$A$1009+$M$1321+$O$1316+Q1317</f>
        <v>95156.261450605642</v>
      </c>
      <c r="X1315" s="133">
        <f>u_ChronicResp+u_CongnitiveImpairement</f>
        <v>17.805052694763283</v>
      </c>
      <c r="Y1315" s="133"/>
      <c r="Z1315" s="134">
        <f t="shared" si="122"/>
        <v>0</v>
      </c>
      <c r="AA1315" s="6">
        <f t="shared" si="121"/>
        <v>0</v>
      </c>
    </row>
    <row r="1316" spans="1:27" x14ac:dyDescent="0.3">
      <c r="A1316" s="10"/>
      <c r="B1316" s="10"/>
      <c r="C1316" s="10"/>
      <c r="D1316" s="10"/>
      <c r="E1316" s="10"/>
      <c r="F1316" s="41"/>
      <c r="G1316" s="64"/>
      <c r="H1316" s="64"/>
      <c r="I1316" s="64"/>
      <c r="J1316" s="64"/>
      <c r="K1316" s="64"/>
      <c r="L1316" s="64"/>
      <c r="M1316" s="64"/>
      <c r="N1316" s="64"/>
      <c r="O1316" s="57">
        <f>c_hypo</f>
        <v>2936.2604000000001</v>
      </c>
      <c r="P1316" s="64"/>
      <c r="Q1316" s="56">
        <f>Hypo2CI_3*RDS2CLD_3</f>
        <v>1.8531333333333334E-2</v>
      </c>
      <c r="R1316" s="56"/>
      <c r="S1316" s="129"/>
      <c r="T1316" s="105"/>
      <c r="U1316" s="133"/>
      <c r="V1316" s="133">
        <v>0</v>
      </c>
      <c r="W1316" s="133"/>
      <c r="X1316" s="133"/>
      <c r="Y1316" s="133"/>
      <c r="Z1316" s="134">
        <f t="shared" si="122"/>
        <v>0</v>
      </c>
      <c r="AA1316" s="6">
        <f t="shared" si="121"/>
        <v>0</v>
      </c>
    </row>
    <row r="1317" spans="1:27" x14ac:dyDescent="0.3">
      <c r="A1317" s="10"/>
      <c r="B1317" s="10"/>
      <c r="C1317" s="10"/>
      <c r="D1317" s="10"/>
      <c r="E1317" s="10"/>
      <c r="F1317" s="41"/>
      <c r="G1317" s="64"/>
      <c r="H1317" s="64"/>
      <c r="I1317" s="64"/>
      <c r="J1317" s="64"/>
      <c r="K1317" s="64"/>
      <c r="L1317" s="64"/>
      <c r="M1317" s="65"/>
      <c r="N1317" s="64"/>
      <c r="O1317" s="53"/>
      <c r="P1317" s="64"/>
      <c r="Q1317" s="57">
        <f>c_lung+c_cog+c_hosp_fu+c_CSG</f>
        <v>58348.510902399998</v>
      </c>
      <c r="R1317" s="57"/>
      <c r="S1317" s="129"/>
      <c r="T1317" s="105"/>
      <c r="U1317" s="133"/>
      <c r="V1317" s="133"/>
      <c r="W1317" s="133"/>
      <c r="X1317" s="133"/>
      <c r="Y1317" s="133"/>
      <c r="Z1317" s="134">
        <f t="shared" si="122"/>
        <v>0</v>
      </c>
      <c r="AA1317" s="6">
        <f t="shared" si="121"/>
        <v>0</v>
      </c>
    </row>
    <row r="1318" spans="1:27" x14ac:dyDescent="0.3">
      <c r="A1318" s="10"/>
      <c r="B1318" s="10"/>
      <c r="C1318" s="10"/>
      <c r="D1318" s="10"/>
      <c r="E1318" s="10"/>
      <c r="F1318" s="41"/>
      <c r="G1318" s="64"/>
      <c r="H1318" s="64"/>
      <c r="I1318" s="64"/>
      <c r="J1318" s="64"/>
      <c r="K1318" s="64"/>
      <c r="L1318" s="64"/>
      <c r="M1318" s="64"/>
      <c r="N1318" s="64"/>
      <c r="O1318" s="64"/>
      <c r="P1318" s="64"/>
      <c r="Q1318" s="54" t="s">
        <v>370</v>
      </c>
      <c r="R1318" s="54"/>
      <c r="S1318" s="129"/>
      <c r="T1318" s="105"/>
      <c r="U1318" s="133">
        <f>$K$1325*$I$1314*$G$1279*$E$1207*$C$1053*$A$1008*$M$1320*$O$1315*Q1319</f>
        <v>0</v>
      </c>
      <c r="V1318" s="133"/>
      <c r="W1318" s="134">
        <f>$K$1326+$I$1315+$G$1280+$E$1208+$C$1054+$A$1009+$M$1321+$O$1316+Q1320</f>
        <v>51210.750548205637</v>
      </c>
      <c r="X1318" s="133">
        <f>u_Healthy</f>
        <v>0</v>
      </c>
      <c r="Y1318" s="133"/>
      <c r="Z1318" s="134">
        <f t="shared" si="122"/>
        <v>0</v>
      </c>
      <c r="AA1318" s="6">
        <f t="shared" si="121"/>
        <v>0</v>
      </c>
    </row>
    <row r="1319" spans="1:27" x14ac:dyDescent="0.3">
      <c r="A1319" s="10"/>
      <c r="B1319" s="10"/>
      <c r="C1319" s="10"/>
      <c r="D1319" s="10"/>
      <c r="E1319" s="10"/>
      <c r="F1319" s="41"/>
      <c r="G1319" s="64"/>
      <c r="H1319" s="64"/>
      <c r="I1319" s="64"/>
      <c r="J1319" s="64"/>
      <c r="K1319" s="64"/>
      <c r="L1319" s="64"/>
      <c r="M1319" s="54" t="s">
        <v>9</v>
      </c>
      <c r="N1319" s="64"/>
      <c r="O1319" s="64"/>
      <c r="P1319" s="64"/>
      <c r="Q1319" s="56">
        <f>1-Q1310-Q1313-Q1316</f>
        <v>0.60619800000000001</v>
      </c>
      <c r="R1319" s="56"/>
      <c r="S1319" s="129"/>
      <c r="T1319" s="105"/>
      <c r="U1319" s="133"/>
      <c r="V1319" s="133">
        <v>0</v>
      </c>
      <c r="W1319" s="133"/>
      <c r="X1319" s="133"/>
      <c r="Y1319" s="133"/>
      <c r="Z1319" s="134">
        <f t="shared" si="122"/>
        <v>0</v>
      </c>
      <c r="AA1319" s="6">
        <f t="shared" si="121"/>
        <v>0</v>
      </c>
    </row>
    <row r="1320" spans="1:27" x14ac:dyDescent="0.3">
      <c r="A1320" s="10"/>
      <c r="B1320" s="10"/>
      <c r="C1320" s="10"/>
      <c r="D1320" s="10"/>
      <c r="E1320" s="10"/>
      <c r="F1320" s="41"/>
      <c r="G1320" s="64"/>
      <c r="H1320" s="64"/>
      <c r="I1320" s="64"/>
      <c r="J1320" s="64"/>
      <c r="K1320" s="65"/>
      <c r="L1320" s="64"/>
      <c r="M1320" s="56">
        <f>S_term_2RDS_3</f>
        <v>0</v>
      </c>
      <c r="N1320" s="64"/>
      <c r="O1320" s="64"/>
      <c r="P1320" s="64"/>
      <c r="Q1320" s="57">
        <f>c_clinic_fu+c_CSG</f>
        <v>14403</v>
      </c>
      <c r="R1320" s="57"/>
      <c r="S1320" s="129"/>
      <c r="T1320" s="105"/>
      <c r="U1320" s="133"/>
      <c r="V1320" s="133"/>
      <c r="W1320" s="133"/>
      <c r="X1320" s="133"/>
      <c r="Y1320" s="133"/>
      <c r="Z1320" s="134">
        <f t="shared" si="122"/>
        <v>0</v>
      </c>
      <c r="AA1320" s="6">
        <f t="shared" si="121"/>
        <v>0</v>
      </c>
    </row>
    <row r="1321" spans="1:27" x14ac:dyDescent="0.3">
      <c r="A1321" s="10"/>
      <c r="B1321" s="10"/>
      <c r="C1321" s="10"/>
      <c r="D1321" s="10"/>
      <c r="E1321" s="10"/>
      <c r="F1321" s="41"/>
      <c r="G1321" s="64"/>
      <c r="H1321" s="64"/>
      <c r="I1321" s="64"/>
      <c r="J1321" s="64"/>
      <c r="K1321" s="65"/>
      <c r="L1321" s="64"/>
      <c r="M1321" s="57">
        <f>c_RDS</f>
        <v>30595.610148205637</v>
      </c>
      <c r="N1321" s="64"/>
      <c r="O1321" s="64"/>
      <c r="P1321" s="64"/>
      <c r="Q1321" s="65"/>
      <c r="R1321" s="65"/>
      <c r="S1321" s="129"/>
      <c r="T1321" s="105"/>
      <c r="U1321" s="133"/>
      <c r="V1321" s="133"/>
      <c r="W1321" s="133"/>
      <c r="X1321" s="133"/>
      <c r="Y1321" s="133"/>
      <c r="Z1321" s="134">
        <f t="shared" si="122"/>
        <v>0</v>
      </c>
      <c r="AA1321" s="6">
        <f t="shared" si="121"/>
        <v>0</v>
      </c>
    </row>
    <row r="1322" spans="1:27" x14ac:dyDescent="0.3">
      <c r="A1322" s="10"/>
      <c r="B1322" s="10"/>
      <c r="C1322" s="10"/>
      <c r="D1322" s="10"/>
      <c r="E1322" s="10"/>
      <c r="F1322" s="41"/>
      <c r="G1322" s="64"/>
      <c r="H1322" s="64"/>
      <c r="I1322" s="64"/>
      <c r="J1322" s="64"/>
      <c r="K1322" s="64"/>
      <c r="L1322" s="64"/>
      <c r="M1322" s="64"/>
      <c r="N1322" s="64"/>
      <c r="O1322" s="64"/>
      <c r="P1322" s="64"/>
      <c r="Q1322" s="54" t="s">
        <v>368</v>
      </c>
      <c r="R1322" s="54"/>
      <c r="S1322" s="129"/>
      <c r="T1322" s="105"/>
      <c r="U1322" s="133">
        <f>$K$1325*$I$1314*$G$1279*$E$1207*$C$1053*$A$1008*$M$1320*$O$1325*Q1323</f>
        <v>0</v>
      </c>
      <c r="V1322" s="133"/>
      <c r="W1322" s="134">
        <f>$K$1326+$I$1315+$G$1280+$E$1208+$C$1054+$A$1009+$M$1321+$O$1326+Q1324</f>
        <v>88401.001050605642</v>
      </c>
      <c r="X1322" s="133">
        <f>u_ChronicResp</f>
        <v>0.53465956747782661</v>
      </c>
      <c r="Y1322" s="133"/>
      <c r="Z1322" s="134">
        <f t="shared" si="122"/>
        <v>0</v>
      </c>
      <c r="AA1322" s="6">
        <f t="shared" si="121"/>
        <v>0</v>
      </c>
    </row>
    <row r="1323" spans="1:27" x14ac:dyDescent="0.3">
      <c r="A1323" s="10"/>
      <c r="B1323" s="10"/>
      <c r="C1323" s="10"/>
      <c r="D1323" s="10"/>
      <c r="E1323" s="10"/>
      <c r="F1323" s="41"/>
      <c r="G1323" s="64"/>
      <c r="H1323" s="64"/>
      <c r="I1323" s="64"/>
      <c r="J1323" s="64"/>
      <c r="K1323" s="64"/>
      <c r="L1323" s="64"/>
      <c r="M1323" s="64"/>
      <c r="N1323" s="64"/>
      <c r="O1323" s="64"/>
      <c r="P1323" s="64"/>
      <c r="Q1323" s="56">
        <f>RDS2CLD_3-(RDS2CLD_3*noHypo2CI_3)</f>
        <v>0.34905610687022898</v>
      </c>
      <c r="R1323" s="56"/>
      <c r="S1323" s="129"/>
      <c r="T1323" s="105"/>
      <c r="U1323" s="133"/>
      <c r="V1323" s="133">
        <v>0</v>
      </c>
      <c r="W1323" s="133"/>
      <c r="X1323" s="133"/>
      <c r="Y1323" s="133"/>
      <c r="Z1323" s="134">
        <f t="shared" si="122"/>
        <v>0</v>
      </c>
      <c r="AA1323" s="6">
        <f t="shared" si="121"/>
        <v>0</v>
      </c>
    </row>
    <row r="1324" spans="1:27" x14ac:dyDescent="0.3">
      <c r="A1324" s="10"/>
      <c r="B1324" s="10"/>
      <c r="C1324" s="10"/>
      <c r="D1324" s="10"/>
      <c r="E1324" s="10"/>
      <c r="F1324" s="41"/>
      <c r="G1324" s="64"/>
      <c r="H1324" s="64"/>
      <c r="I1324" s="64"/>
      <c r="J1324" s="64"/>
      <c r="K1324" s="54" t="s">
        <v>37</v>
      </c>
      <c r="L1324" s="64"/>
      <c r="M1324" s="65"/>
      <c r="N1324" s="64"/>
      <c r="O1324" s="54" t="s">
        <v>371</v>
      </c>
      <c r="P1324" s="64"/>
      <c r="Q1324" s="57">
        <f>c_lung+c_hosp_fu+c_CSG</f>
        <v>54529.510902399998</v>
      </c>
      <c r="R1324" s="57"/>
      <c r="S1324" s="129"/>
      <c r="T1324" s="105"/>
      <c r="U1324" s="133"/>
      <c r="V1324" s="133"/>
      <c r="W1324" s="133"/>
      <c r="X1324" s="133"/>
      <c r="Y1324" s="133"/>
      <c r="Z1324" s="134">
        <f t="shared" si="122"/>
        <v>0</v>
      </c>
      <c r="AA1324" s="6">
        <f t="shared" si="121"/>
        <v>0</v>
      </c>
    </row>
    <row r="1325" spans="1:27" x14ac:dyDescent="0.3">
      <c r="A1325" s="10"/>
      <c r="B1325" s="10"/>
      <c r="C1325" s="10"/>
      <c r="D1325" s="10"/>
      <c r="E1325" s="10"/>
      <c r="F1325" s="41"/>
      <c r="G1325" s="64"/>
      <c r="H1325" s="64"/>
      <c r="I1325" s="64"/>
      <c r="J1325" s="64"/>
      <c r="K1325" s="56">
        <f>AGA_term_2s_3</f>
        <v>0.99376666666666669</v>
      </c>
      <c r="L1325" s="64"/>
      <c r="M1325" s="64"/>
      <c r="N1325" s="64"/>
      <c r="O1325" s="56">
        <f>AGA_term_2normoglycaemia_3</f>
        <v>1</v>
      </c>
      <c r="P1325" s="64"/>
      <c r="Q1325" s="54" t="s">
        <v>226</v>
      </c>
      <c r="R1325" s="54"/>
      <c r="S1325" s="129"/>
      <c r="T1325" s="105"/>
      <c r="U1325" s="133">
        <f>$K$1325*$I$1314*$G$1279*$E$1207*$C$1053*$A$1008*$M$1320*$O$1325*Q1326</f>
        <v>0</v>
      </c>
      <c r="V1325" s="133"/>
      <c r="W1325" s="134">
        <f>$K$1326+$I$1315+$G$1280+$E$1208+$C$1054+$A$1009+$M$1321+$O$1326+Q1327</f>
        <v>49637.490148205638</v>
      </c>
      <c r="X1325" s="133">
        <f>u_CongnitiveImpairement</f>
        <v>17.270393127285455</v>
      </c>
      <c r="Y1325" s="133"/>
      <c r="Z1325" s="134">
        <f t="shared" si="122"/>
        <v>0</v>
      </c>
      <c r="AA1325" s="6">
        <f t="shared" si="121"/>
        <v>0</v>
      </c>
    </row>
    <row r="1326" spans="1:27" x14ac:dyDescent="0.3">
      <c r="A1326" s="10"/>
      <c r="B1326" s="10"/>
      <c r="C1326" s="10"/>
      <c r="D1326" s="10"/>
      <c r="E1326" s="10"/>
      <c r="F1326" s="41"/>
      <c r="G1326" s="64"/>
      <c r="H1326" s="64"/>
      <c r="I1326" s="64"/>
      <c r="J1326" s="64"/>
      <c r="K1326" s="57"/>
      <c r="L1326" s="64"/>
      <c r="M1326" s="64"/>
      <c r="N1326" s="64"/>
      <c r="O1326" s="57"/>
      <c r="P1326" s="64"/>
      <c r="Q1326" s="56">
        <f>noHypo2CI_3-(RDS2CLD_3*noHypo2CI_3)</f>
        <v>2.1141683406990762E-2</v>
      </c>
      <c r="R1326" s="56"/>
      <c r="S1326" s="129"/>
      <c r="T1326" s="105"/>
      <c r="U1326" s="133"/>
      <c r="V1326" s="133">
        <v>0</v>
      </c>
      <c r="W1326" s="133"/>
      <c r="X1326" s="133"/>
      <c r="Y1326" s="133"/>
      <c r="Z1326" s="134">
        <f t="shared" si="122"/>
        <v>0</v>
      </c>
      <c r="AA1326" s="6">
        <f t="shared" si="121"/>
        <v>0</v>
      </c>
    </row>
    <row r="1327" spans="1:27" x14ac:dyDescent="0.3">
      <c r="A1327" s="10"/>
      <c r="B1327" s="10"/>
      <c r="C1327" s="10"/>
      <c r="D1327" s="10"/>
      <c r="E1327" s="10"/>
      <c r="F1327" s="41"/>
      <c r="G1327" s="64"/>
      <c r="H1327" s="64"/>
      <c r="I1327" s="64"/>
      <c r="J1327" s="64"/>
      <c r="K1327" s="64"/>
      <c r="L1327" s="64"/>
      <c r="M1327" s="64"/>
      <c r="N1327" s="64"/>
      <c r="O1327" s="53"/>
      <c r="P1327" s="64"/>
      <c r="Q1327" s="57">
        <f>c_cog+c_hosp_fu+c_CSG</f>
        <v>15766</v>
      </c>
      <c r="R1327" s="57"/>
      <c r="S1327" s="129"/>
      <c r="T1327" s="105"/>
      <c r="U1327" s="133"/>
      <c r="V1327" s="133"/>
      <c r="W1327" s="133"/>
      <c r="X1327" s="133"/>
      <c r="Y1327" s="133"/>
      <c r="Z1327" s="134">
        <f t="shared" si="122"/>
        <v>0</v>
      </c>
      <c r="AA1327" s="6">
        <f t="shared" si="121"/>
        <v>0</v>
      </c>
    </row>
    <row r="1328" spans="1:27" x14ac:dyDescent="0.3">
      <c r="A1328" s="10"/>
      <c r="B1328" s="10"/>
      <c r="C1328" s="10"/>
      <c r="D1328" s="10"/>
      <c r="E1328" s="10"/>
      <c r="F1328" s="41"/>
      <c r="G1328" s="64"/>
      <c r="H1328" s="64"/>
      <c r="I1328" s="64"/>
      <c r="J1328" s="64"/>
      <c r="K1328" s="64"/>
      <c r="L1328" s="64"/>
      <c r="M1328" s="64"/>
      <c r="N1328" s="64"/>
      <c r="O1328" s="53"/>
      <c r="P1328" s="64"/>
      <c r="Q1328" s="54" t="s">
        <v>369</v>
      </c>
      <c r="R1328" s="54"/>
      <c r="S1328" s="129"/>
      <c r="T1328" s="105"/>
      <c r="U1328" s="133">
        <f>$K$1325*$I$1314*$G$1279*$E$1207*$C$1053*$A$1008*$M$1320*$O$1325*Q1329</f>
        <v>0</v>
      </c>
      <c r="V1328" s="133"/>
      <c r="W1328" s="134">
        <f>$K$1326+$I$1315+$G$1280+$E$1208+$C$1054+$A$1009+$M$1321+$O$1326+Q1330</f>
        <v>92220.001050605642</v>
      </c>
      <c r="X1328" s="133">
        <f>u_ChronicResp+u_CongnitiveImpairement</f>
        <v>17.805052694763283</v>
      </c>
      <c r="Y1328" s="133"/>
      <c r="Z1328" s="134">
        <f t="shared" si="122"/>
        <v>0</v>
      </c>
      <c r="AA1328" s="6">
        <f t="shared" si="121"/>
        <v>0</v>
      </c>
    </row>
    <row r="1329" spans="1:27" x14ac:dyDescent="0.3">
      <c r="A1329" s="10"/>
      <c r="B1329" s="10"/>
      <c r="C1329" s="10"/>
      <c r="D1329" s="10"/>
      <c r="E1329" s="10"/>
      <c r="F1329" s="41"/>
      <c r="G1329" s="64"/>
      <c r="H1329" s="64"/>
      <c r="I1329" s="64"/>
      <c r="J1329" s="64"/>
      <c r="K1329" s="64"/>
      <c r="L1329" s="64"/>
      <c r="M1329" s="64"/>
      <c r="N1329" s="64"/>
      <c r="O1329" s="53"/>
      <c r="P1329" s="64"/>
      <c r="Q1329" s="56">
        <f>RDS2CLD_3*noHypo2CI_3</f>
        <v>1.1943893129770991E-2</v>
      </c>
      <c r="R1329" s="56"/>
      <c r="S1329" s="129"/>
      <c r="T1329" s="105"/>
      <c r="U1329" s="133"/>
      <c r="V1329" s="133">
        <v>0</v>
      </c>
      <c r="W1329" s="133"/>
      <c r="X1329" s="133"/>
      <c r="Y1329" s="133"/>
      <c r="Z1329" s="134">
        <f t="shared" si="122"/>
        <v>0</v>
      </c>
      <c r="AA1329" s="6">
        <f t="shared" si="121"/>
        <v>0</v>
      </c>
    </row>
    <row r="1330" spans="1:27" x14ac:dyDescent="0.3">
      <c r="A1330" s="10"/>
      <c r="B1330" s="10"/>
      <c r="C1330" s="110"/>
      <c r="D1330" s="10"/>
      <c r="E1330" s="10"/>
      <c r="F1330" s="41"/>
      <c r="G1330" s="64"/>
      <c r="H1330" s="64"/>
      <c r="I1330" s="64"/>
      <c r="J1330" s="64"/>
      <c r="K1330" s="64"/>
      <c r="L1330" s="64"/>
      <c r="M1330" s="64"/>
      <c r="N1330" s="64"/>
      <c r="O1330" s="53"/>
      <c r="P1330" s="64"/>
      <c r="Q1330" s="57">
        <f>c_cog+c_lung+c_hosp_fu+c_CSG</f>
        <v>58348.510902399998</v>
      </c>
      <c r="R1330" s="57"/>
      <c r="S1330" s="129"/>
      <c r="T1330" s="105"/>
      <c r="U1330" s="133"/>
      <c r="V1330" s="133"/>
      <c r="W1330" s="133"/>
      <c r="X1330" s="133"/>
      <c r="Y1330" s="133"/>
      <c r="Z1330" s="134">
        <f t="shared" si="122"/>
        <v>0</v>
      </c>
      <c r="AA1330" s="6">
        <f t="shared" si="121"/>
        <v>0</v>
      </c>
    </row>
    <row r="1331" spans="1:27" x14ac:dyDescent="0.3">
      <c r="A1331" s="10"/>
      <c r="B1331" s="10"/>
      <c r="C1331" s="110"/>
      <c r="D1331" s="10"/>
      <c r="E1331" s="10"/>
      <c r="F1331" s="41"/>
      <c r="G1331" s="64"/>
      <c r="H1331" s="64"/>
      <c r="I1331" s="64"/>
      <c r="J1331" s="64"/>
      <c r="K1331" s="64"/>
      <c r="L1331" s="64"/>
      <c r="M1331" s="64"/>
      <c r="N1331" s="64"/>
      <c r="O1331" s="53"/>
      <c r="P1331" s="64"/>
      <c r="Q1331" s="54" t="s">
        <v>370</v>
      </c>
      <c r="R1331" s="54"/>
      <c r="T1331" s="105"/>
      <c r="U1331" s="133">
        <f>$K$1325*$I$1314*$G$1279*$E$1207*$C$1053*$A$1008*$M$1320*$O$1325*Q1332</f>
        <v>0</v>
      </c>
      <c r="V1331" s="133"/>
      <c r="W1331" s="134">
        <f>$K$1326+$I$1315+$G$1280+$E$1208+$C$1054+$A$1009+$M$1321+$O$1326+Q1333</f>
        <v>48274.490148205638</v>
      </c>
      <c r="X1331" s="133">
        <f>u_Healthy</f>
        <v>0</v>
      </c>
      <c r="Y1331" s="133"/>
      <c r="Z1331" s="134">
        <f t="shared" si="122"/>
        <v>0</v>
      </c>
      <c r="AA1331" s="6">
        <f t="shared" si="121"/>
        <v>0</v>
      </c>
    </row>
    <row r="1332" spans="1:27" x14ac:dyDescent="0.3">
      <c r="A1332" s="10"/>
      <c r="B1332" s="10"/>
      <c r="C1332" s="116"/>
      <c r="D1332" s="10"/>
      <c r="E1332" s="10"/>
      <c r="F1332" s="41"/>
      <c r="G1332" s="64"/>
      <c r="H1332" s="64"/>
      <c r="I1332" s="64"/>
      <c r="J1332" s="64"/>
      <c r="K1332" s="64"/>
      <c r="L1332" s="64"/>
      <c r="M1332" s="64"/>
      <c r="N1332" s="64"/>
      <c r="O1332" s="53"/>
      <c r="P1332" s="64"/>
      <c r="Q1332" s="56">
        <f>1-Q1329-Q1326-Q1323</f>
        <v>0.61785831659300938</v>
      </c>
      <c r="R1332" s="56"/>
      <c r="S1332" s="129"/>
      <c r="T1332" s="105"/>
      <c r="U1332" s="133"/>
      <c r="V1332" s="133">
        <v>0</v>
      </c>
      <c r="W1332" s="133"/>
      <c r="X1332" s="133"/>
      <c r="Y1332" s="133"/>
      <c r="Z1332" s="134">
        <f t="shared" si="122"/>
        <v>0</v>
      </c>
      <c r="AA1332" s="6">
        <f t="shared" si="121"/>
        <v>0</v>
      </c>
    </row>
    <row r="1333" spans="1:27" x14ac:dyDescent="0.3">
      <c r="A1333" s="10"/>
      <c r="B1333" s="10"/>
      <c r="C1333" s="10"/>
      <c r="D1333" s="10"/>
      <c r="E1333" s="10"/>
      <c r="F1333" s="41"/>
      <c r="G1333" s="64"/>
      <c r="H1333" s="64"/>
      <c r="I1333" s="64"/>
      <c r="J1333" s="64"/>
      <c r="K1333" s="64"/>
      <c r="L1333" s="64"/>
      <c r="M1333" s="64"/>
      <c r="N1333" s="64"/>
      <c r="O1333" s="64"/>
      <c r="P1333" s="64"/>
      <c r="Q1333" s="57">
        <f>c_clinic_fu+c_CSG</f>
        <v>14403</v>
      </c>
      <c r="R1333" s="57"/>
      <c r="S1333" s="129"/>
      <c r="T1333" s="105"/>
      <c r="U1333" s="133"/>
      <c r="V1333" s="133"/>
      <c r="W1333" s="133"/>
      <c r="X1333" s="133"/>
      <c r="Y1333" s="133"/>
      <c r="Z1333" s="134">
        <f t="shared" si="122"/>
        <v>0</v>
      </c>
      <c r="AA1333" s="6">
        <f t="shared" si="121"/>
        <v>0</v>
      </c>
    </row>
    <row r="1334" spans="1:27" x14ac:dyDescent="0.3">
      <c r="A1334" s="10"/>
      <c r="B1334" s="10"/>
      <c r="C1334" s="10"/>
      <c r="D1334" s="10"/>
      <c r="E1334" s="10"/>
      <c r="F1334" s="41"/>
      <c r="G1334" s="64"/>
      <c r="H1334" s="64"/>
      <c r="I1334" s="64"/>
      <c r="J1334" s="64"/>
      <c r="K1334" s="64"/>
      <c r="L1334" s="64"/>
      <c r="M1334" s="64"/>
      <c r="N1334" s="64"/>
      <c r="O1334" s="64"/>
      <c r="P1334" s="64"/>
      <c r="Q1334" s="65"/>
      <c r="R1334" s="65"/>
      <c r="S1334" s="129"/>
      <c r="T1334" s="105"/>
      <c r="U1334" s="133"/>
      <c r="V1334" s="133"/>
      <c r="W1334" s="133"/>
      <c r="X1334" s="133"/>
      <c r="Y1334" s="133"/>
      <c r="Z1334" s="134">
        <f t="shared" si="122"/>
        <v>0</v>
      </c>
      <c r="AA1334" s="6">
        <f t="shared" si="121"/>
        <v>0</v>
      </c>
    </row>
    <row r="1335" spans="1:27" x14ac:dyDescent="0.3">
      <c r="A1335" s="10"/>
      <c r="B1335" s="10"/>
      <c r="C1335" s="10"/>
      <c r="D1335" s="10"/>
      <c r="E1335" s="10"/>
      <c r="F1335" s="41"/>
      <c r="G1335" s="53"/>
      <c r="H1335" s="64"/>
      <c r="I1335" s="64"/>
      <c r="J1335" s="64"/>
      <c r="K1335" s="64"/>
      <c r="L1335" s="64"/>
      <c r="M1335" s="64"/>
      <c r="N1335" s="64"/>
      <c r="O1335" s="64"/>
      <c r="P1335" s="64"/>
      <c r="Q1335" s="54" t="s">
        <v>368</v>
      </c>
      <c r="R1335" s="54"/>
      <c r="S1335" s="129"/>
      <c r="T1335" s="105"/>
      <c r="U1335" s="133">
        <f>$K$1325*$I$1314*$G$1279*$E$1207*$C$1053*$A$1008*$M$1340*$O$1338*Q1336</f>
        <v>0</v>
      </c>
      <c r="V1335" s="133"/>
      <c r="W1335" s="134">
        <f>$K$1326+$I$1315+$G$1280+$E$1208+$C$1054+$A$1009+$M$1341+$O$1339+Q1337</f>
        <v>60741.651302400001</v>
      </c>
      <c r="X1335" s="133">
        <f>u_ChronicResp</f>
        <v>0.53465956747782661</v>
      </c>
      <c r="Y1335" s="133"/>
      <c r="Z1335" s="134">
        <f t="shared" si="122"/>
        <v>0</v>
      </c>
      <c r="AA1335" s="6">
        <f t="shared" si="121"/>
        <v>0</v>
      </c>
    </row>
    <row r="1336" spans="1:27" x14ac:dyDescent="0.3">
      <c r="A1336" s="10"/>
      <c r="B1336" s="10"/>
      <c r="C1336" s="10"/>
      <c r="D1336" s="10"/>
      <c r="E1336" s="10"/>
      <c r="F1336" s="41"/>
      <c r="G1336" s="64"/>
      <c r="H1336" s="64"/>
      <c r="I1336" s="64"/>
      <c r="J1336" s="64"/>
      <c r="K1336" s="64"/>
      <c r="L1336" s="64"/>
      <c r="M1336" s="64"/>
      <c r="N1336" s="64"/>
      <c r="O1336" s="64"/>
      <c r="P1336" s="64"/>
      <c r="Q1336" s="56">
        <f>noRDS2CLD_3-(Hypo2CI_3*noRDS2CLD_3)</f>
        <v>0</v>
      </c>
      <c r="R1336" s="56"/>
      <c r="S1336" s="129"/>
      <c r="T1336" s="105"/>
      <c r="U1336" s="133"/>
      <c r="V1336" s="133">
        <v>0</v>
      </c>
      <c r="W1336" s="133"/>
      <c r="X1336" s="133"/>
      <c r="Y1336" s="133"/>
      <c r="Z1336" s="134">
        <f t="shared" si="122"/>
        <v>0</v>
      </c>
      <c r="AA1336" s="6">
        <f t="shared" si="121"/>
        <v>0</v>
      </c>
    </row>
    <row r="1337" spans="1:27" x14ac:dyDescent="0.3">
      <c r="A1337" s="10"/>
      <c r="B1337" s="10"/>
      <c r="C1337" s="10"/>
      <c r="D1337" s="10"/>
      <c r="E1337" s="10"/>
      <c r="F1337" s="41"/>
      <c r="G1337" s="64"/>
      <c r="H1337" s="64"/>
      <c r="I1337" s="64"/>
      <c r="J1337" s="64"/>
      <c r="K1337" s="64"/>
      <c r="L1337" s="64"/>
      <c r="M1337" s="64"/>
      <c r="N1337" s="64"/>
      <c r="O1337" s="54" t="s">
        <v>161</v>
      </c>
      <c r="P1337" s="64"/>
      <c r="Q1337" s="57">
        <f>c_lung+c_hosp_fu+c_CSG</f>
        <v>54529.510902399998</v>
      </c>
      <c r="R1337" s="57"/>
      <c r="S1337" s="129"/>
      <c r="T1337" s="105"/>
      <c r="U1337" s="133"/>
      <c r="V1337" s="133"/>
      <c r="W1337" s="133"/>
      <c r="X1337" s="133"/>
      <c r="Y1337" s="133"/>
      <c r="Z1337" s="134">
        <f t="shared" si="122"/>
        <v>0</v>
      </c>
      <c r="AA1337" s="6">
        <f t="shared" si="121"/>
        <v>0</v>
      </c>
    </row>
    <row r="1338" spans="1:27" x14ac:dyDescent="0.3">
      <c r="A1338" s="10"/>
      <c r="B1338" s="10"/>
      <c r="C1338" s="10"/>
      <c r="D1338" s="10"/>
      <c r="E1338" s="10"/>
      <c r="F1338" s="41"/>
      <c r="G1338" s="64"/>
      <c r="H1338" s="64"/>
      <c r="I1338" s="64"/>
      <c r="J1338" s="64"/>
      <c r="K1338" s="64"/>
      <c r="L1338" s="64"/>
      <c r="M1338" s="64"/>
      <c r="N1338" s="64"/>
      <c r="O1338" s="56">
        <f>AGA_term_2hypoglycaemia_3</f>
        <v>0</v>
      </c>
      <c r="P1338" s="64"/>
      <c r="Q1338" s="54" t="s">
        <v>226</v>
      </c>
      <c r="R1338" s="54"/>
      <c r="S1338" s="129"/>
      <c r="T1338" s="105"/>
      <c r="U1338" s="133">
        <f>$K$1325*$I$1314*$G$1279*$E$1207*$C$1053*$A$1008*$M$1340*$O$1338*Q1339</f>
        <v>0</v>
      </c>
      <c r="V1338" s="133"/>
      <c r="W1338" s="134">
        <f>$K$1326+$I$1315+$G$1280+$E$1208+$C$1054+$A$1009+$M$1341+$O$1339+Q1340</f>
        <v>21978.1404</v>
      </c>
      <c r="X1338" s="133">
        <f>u_CongnitiveImpairement</f>
        <v>17.270393127285455</v>
      </c>
      <c r="Y1338" s="133"/>
      <c r="Z1338" s="134">
        <f t="shared" si="122"/>
        <v>0</v>
      </c>
      <c r="AA1338" s="6">
        <f t="shared" si="121"/>
        <v>0</v>
      </c>
    </row>
    <row r="1339" spans="1:27" x14ac:dyDescent="0.3">
      <c r="A1339" s="10"/>
      <c r="B1339" s="10"/>
      <c r="C1339" s="10"/>
      <c r="D1339" s="10"/>
      <c r="E1339" s="10"/>
      <c r="F1339" s="41"/>
      <c r="G1339" s="64"/>
      <c r="H1339" s="64"/>
      <c r="I1339" s="64"/>
      <c r="J1339" s="64"/>
      <c r="K1339" s="64"/>
      <c r="L1339" s="64"/>
      <c r="M1339" s="54" t="s">
        <v>203</v>
      </c>
      <c r="N1339" s="64"/>
      <c r="O1339" s="57">
        <f>c_hypo</f>
        <v>2936.2604000000001</v>
      </c>
      <c r="P1339" s="64"/>
      <c r="Q1339" s="56">
        <f>Hypo2CI_3-(Hypo2CI_3*noRDS2CLD_3)</f>
        <v>5.1333333333333335E-2</v>
      </c>
      <c r="R1339" s="56"/>
      <c r="S1339" s="129"/>
      <c r="T1339" s="105"/>
      <c r="U1339" s="133"/>
      <c r="V1339" s="133">
        <v>0</v>
      </c>
      <c r="W1339" s="133"/>
      <c r="X1339" s="133"/>
      <c r="Y1339" s="133"/>
      <c r="Z1339" s="134">
        <f t="shared" si="122"/>
        <v>0</v>
      </c>
      <c r="AA1339" s="6">
        <f t="shared" si="121"/>
        <v>0</v>
      </c>
    </row>
    <row r="1340" spans="1:27" x14ac:dyDescent="0.3">
      <c r="A1340" s="10"/>
      <c r="B1340" s="10"/>
      <c r="C1340" s="10"/>
      <c r="D1340" s="10"/>
      <c r="E1340" s="10"/>
      <c r="F1340" s="41"/>
      <c r="G1340" s="64"/>
      <c r="H1340" s="64"/>
      <c r="I1340" s="64"/>
      <c r="J1340" s="64"/>
      <c r="K1340" s="64"/>
      <c r="L1340" s="64"/>
      <c r="M1340" s="56">
        <f>S_term_2noRDS_3</f>
        <v>1</v>
      </c>
      <c r="N1340" s="64"/>
      <c r="O1340" s="53"/>
      <c r="P1340" s="64"/>
      <c r="Q1340" s="57">
        <f>c_cog+c_hosp_fu+c_CSG</f>
        <v>15766</v>
      </c>
      <c r="R1340" s="57"/>
      <c r="S1340" s="129"/>
      <c r="T1340" s="105"/>
      <c r="U1340" s="133"/>
      <c r="V1340" s="133"/>
      <c r="W1340" s="133"/>
      <c r="X1340" s="133"/>
      <c r="Y1340" s="133"/>
      <c r="Z1340" s="134">
        <f t="shared" si="122"/>
        <v>0</v>
      </c>
      <c r="AA1340" s="6">
        <f t="shared" si="121"/>
        <v>0</v>
      </c>
    </row>
    <row r="1341" spans="1:27" x14ac:dyDescent="0.3">
      <c r="A1341" s="10"/>
      <c r="B1341" s="10"/>
      <c r="C1341" s="10"/>
      <c r="D1341" s="10"/>
      <c r="E1341" s="10"/>
      <c r="F1341" s="41"/>
      <c r="G1341" s="64"/>
      <c r="H1341" s="64"/>
      <c r="I1341" s="64"/>
      <c r="J1341" s="64"/>
      <c r="K1341" s="64"/>
      <c r="L1341" s="64"/>
      <c r="M1341" s="57"/>
      <c r="N1341" s="64"/>
      <c r="O1341" s="65"/>
      <c r="P1341" s="64"/>
      <c r="Q1341" s="54" t="s">
        <v>369</v>
      </c>
      <c r="R1341" s="54"/>
      <c r="S1341" s="129"/>
      <c r="T1341" s="105"/>
      <c r="U1341" s="133">
        <f>$K$1325*$I$1314*$G$1279*$E$1207*$C$1053*$A$1008*$M$1340*$O$1338*Q1342</f>
        <v>0</v>
      </c>
      <c r="V1341" s="133"/>
      <c r="W1341" s="134">
        <f>$K$1326+$I$1315+$G$1280+$E$1208+$C$1054+$A$1009+$M$1341+$O$1339+Q1343</f>
        <v>64560.651302400001</v>
      </c>
      <c r="X1341" s="133">
        <f>u_ChronicResp+u_CongnitiveImpairement</f>
        <v>17.805052694763283</v>
      </c>
      <c r="Y1341" s="133"/>
      <c r="Z1341" s="134">
        <f t="shared" si="122"/>
        <v>0</v>
      </c>
      <c r="AA1341" s="6">
        <f t="shared" si="121"/>
        <v>0</v>
      </c>
    </row>
    <row r="1342" spans="1:27" x14ac:dyDescent="0.3">
      <c r="A1342" s="10"/>
      <c r="B1342" s="10"/>
      <c r="C1342" s="10"/>
      <c r="D1342" s="10"/>
      <c r="E1342" s="10"/>
      <c r="F1342" s="41"/>
      <c r="G1342" s="64"/>
      <c r="H1342" s="64"/>
      <c r="I1342" s="53"/>
      <c r="J1342" s="53"/>
      <c r="K1342" s="64"/>
      <c r="L1342" s="64"/>
      <c r="M1342" s="65"/>
      <c r="N1342" s="64"/>
      <c r="O1342" s="41"/>
      <c r="P1342" s="64"/>
      <c r="Q1342" s="56">
        <f>noRDS2CLD_3*Hypo2CI_3</f>
        <v>0</v>
      </c>
      <c r="R1342" s="56"/>
      <c r="S1342" s="129"/>
      <c r="T1342" s="105"/>
      <c r="U1342" s="133"/>
      <c r="V1342" s="133">
        <v>0</v>
      </c>
      <c r="W1342" s="133"/>
      <c r="X1342" s="133"/>
      <c r="Y1342" s="133"/>
      <c r="Z1342" s="134">
        <f t="shared" si="122"/>
        <v>0</v>
      </c>
      <c r="AA1342" s="6">
        <f t="shared" si="121"/>
        <v>0</v>
      </c>
    </row>
    <row r="1343" spans="1:27" x14ac:dyDescent="0.3">
      <c r="A1343" s="10"/>
      <c r="B1343" s="10"/>
      <c r="C1343" s="10"/>
      <c r="D1343" s="10"/>
      <c r="E1343" s="10"/>
      <c r="F1343" s="41"/>
      <c r="G1343" s="64"/>
      <c r="H1343" s="64"/>
      <c r="I1343" s="53"/>
      <c r="J1343" s="53"/>
      <c r="K1343" s="64"/>
      <c r="L1343" s="64"/>
      <c r="M1343" s="65"/>
      <c r="N1343" s="64"/>
      <c r="O1343" s="41"/>
      <c r="P1343" s="64"/>
      <c r="Q1343" s="57">
        <f>c_lung+c_cog+c_hosp_fu+c_CSG</f>
        <v>58348.510902399998</v>
      </c>
      <c r="R1343" s="57"/>
      <c r="S1343" s="129"/>
      <c r="T1343" s="105"/>
      <c r="U1343" s="133"/>
      <c r="V1343" s="133"/>
      <c r="W1343" s="133"/>
      <c r="X1343" s="133"/>
      <c r="Y1343" s="133"/>
      <c r="Z1343" s="134">
        <f t="shared" si="122"/>
        <v>0</v>
      </c>
      <c r="AA1343" s="6">
        <f t="shared" si="121"/>
        <v>0</v>
      </c>
    </row>
    <row r="1344" spans="1:27" x14ac:dyDescent="0.3">
      <c r="A1344" s="10"/>
      <c r="B1344" s="10"/>
      <c r="C1344" s="10"/>
      <c r="D1344" s="10"/>
      <c r="E1344" s="10"/>
      <c r="F1344" s="41"/>
      <c r="G1344" s="64"/>
      <c r="H1344" s="64"/>
      <c r="I1344" s="53"/>
      <c r="J1344" s="53"/>
      <c r="K1344" s="64"/>
      <c r="L1344" s="64"/>
      <c r="M1344" s="65"/>
      <c r="N1344" s="64"/>
      <c r="O1344" s="41"/>
      <c r="P1344" s="64"/>
      <c r="Q1344" s="54" t="s">
        <v>370</v>
      </c>
      <c r="R1344" s="54"/>
      <c r="T1344" s="105"/>
      <c r="U1344" s="133">
        <f>$K$1325*$I$1314*$G$1279*$E$1207*$C$1053*$A$1008*$M$1340*$O$1338*Q1345</f>
        <v>0</v>
      </c>
      <c r="V1344" s="133"/>
      <c r="W1344" s="134">
        <f>$K$1326+$I$1315+$G$1280+$E$1208+$C$1054+$A$1009+$M$1341+$O$1339+Q1346</f>
        <v>20615.1404</v>
      </c>
      <c r="X1344" s="133">
        <f>u_Healthy</f>
        <v>0</v>
      </c>
      <c r="Y1344" s="133"/>
      <c r="Z1344" s="134">
        <f t="shared" si="122"/>
        <v>0</v>
      </c>
      <c r="AA1344" s="6">
        <f t="shared" si="121"/>
        <v>0</v>
      </c>
    </row>
    <row r="1345" spans="1:27" x14ac:dyDescent="0.3">
      <c r="A1345" s="10"/>
      <c r="B1345" s="10"/>
      <c r="C1345" s="10"/>
      <c r="D1345" s="10"/>
      <c r="E1345" s="10"/>
      <c r="F1345" s="41"/>
      <c r="G1345" s="64"/>
      <c r="H1345" s="64"/>
      <c r="I1345" s="53"/>
      <c r="J1345" s="53"/>
      <c r="K1345" s="64"/>
      <c r="L1345" s="64"/>
      <c r="M1345" s="65"/>
      <c r="N1345" s="64"/>
      <c r="O1345" s="65"/>
      <c r="P1345" s="64"/>
      <c r="Q1345" s="56">
        <f>1-Q1342-Q1339-Q1336</f>
        <v>0.94866666666666666</v>
      </c>
      <c r="R1345" s="56"/>
      <c r="S1345" s="129"/>
      <c r="T1345" s="105"/>
      <c r="U1345" s="133"/>
      <c r="V1345" s="133">
        <v>0</v>
      </c>
      <c r="W1345" s="133"/>
      <c r="X1345" s="133"/>
      <c r="Y1345" s="133"/>
      <c r="Z1345" s="134">
        <f t="shared" si="122"/>
        <v>0</v>
      </c>
      <c r="AA1345" s="6">
        <f t="shared" si="121"/>
        <v>0</v>
      </c>
    </row>
    <row r="1346" spans="1:27" x14ac:dyDescent="0.3">
      <c r="A1346" s="10"/>
      <c r="B1346" s="10"/>
      <c r="C1346" s="10"/>
      <c r="D1346" s="10"/>
      <c r="E1346" s="10"/>
      <c r="F1346" s="41"/>
      <c r="G1346" s="64"/>
      <c r="H1346" s="64"/>
      <c r="I1346" s="53"/>
      <c r="J1346" s="53"/>
      <c r="K1346" s="64"/>
      <c r="L1346" s="64"/>
      <c r="M1346" s="65"/>
      <c r="N1346" s="64"/>
      <c r="O1346" s="64"/>
      <c r="P1346" s="64"/>
      <c r="Q1346" s="57">
        <f>c_clinic_fu+c_CSG</f>
        <v>14403</v>
      </c>
      <c r="R1346" s="57"/>
      <c r="S1346" s="130"/>
      <c r="T1346" s="105"/>
      <c r="U1346" s="133"/>
      <c r="V1346" s="133"/>
      <c r="W1346" s="133"/>
      <c r="X1346" s="133"/>
      <c r="Y1346" s="133"/>
      <c r="Z1346" s="134">
        <f t="shared" si="122"/>
        <v>0</v>
      </c>
      <c r="AA1346" s="6">
        <f t="shared" si="121"/>
        <v>0</v>
      </c>
    </row>
    <row r="1347" spans="1:27" x14ac:dyDescent="0.3">
      <c r="A1347" s="10"/>
      <c r="B1347" s="10"/>
      <c r="C1347" s="10"/>
      <c r="D1347" s="10"/>
      <c r="E1347" s="10"/>
      <c r="F1347" s="41"/>
      <c r="G1347" s="64"/>
      <c r="H1347" s="64"/>
      <c r="I1347" s="41"/>
      <c r="J1347" s="64"/>
      <c r="K1347" s="64"/>
      <c r="L1347" s="64"/>
      <c r="M1347" s="65"/>
      <c r="N1347" s="64"/>
      <c r="O1347" s="64"/>
      <c r="P1347" s="64"/>
      <c r="Q1347" s="65"/>
      <c r="R1347" s="65"/>
      <c r="S1347" s="129"/>
      <c r="T1347" s="105"/>
      <c r="U1347" s="133"/>
      <c r="V1347" s="133"/>
      <c r="W1347" s="133"/>
      <c r="X1347" s="133"/>
      <c r="Y1347" s="133"/>
      <c r="Z1347" s="134">
        <f t="shared" si="122"/>
        <v>0</v>
      </c>
      <c r="AA1347" s="6">
        <f t="shared" si="121"/>
        <v>0</v>
      </c>
    </row>
    <row r="1348" spans="1:27" x14ac:dyDescent="0.3">
      <c r="A1348" s="10"/>
      <c r="B1348" s="10"/>
      <c r="C1348" s="10"/>
      <c r="D1348" s="10"/>
      <c r="E1348" s="10"/>
      <c r="F1348" s="41"/>
      <c r="G1348" s="64"/>
      <c r="H1348" s="64"/>
      <c r="I1348" s="41"/>
      <c r="J1348" s="64"/>
      <c r="K1348" s="64"/>
      <c r="L1348" s="64"/>
      <c r="M1348" s="65"/>
      <c r="N1348" s="64"/>
      <c r="O1348" s="64"/>
      <c r="P1348" s="64"/>
      <c r="Q1348" s="54" t="s">
        <v>368</v>
      </c>
      <c r="R1348" s="54"/>
      <c r="S1348" s="129"/>
      <c r="T1348" s="105"/>
      <c r="U1348" s="133">
        <f>$K$1325*$I$1314*$G$1279*$E$1207*$C$1053*$A$1008*$M$1340*$O$1352*Q1349</f>
        <v>0</v>
      </c>
      <c r="V1348" s="133"/>
      <c r="W1348" s="134">
        <f>$K$1326+$I$1315+$G$1280+$E$1208+$C$1054+$A$1009+$M$1341+$O$1353+Q1350</f>
        <v>59834.651302399994</v>
      </c>
      <c r="X1348" s="133">
        <f>u_ChronicResp</f>
        <v>0.53465956747782661</v>
      </c>
      <c r="Y1348" s="133"/>
      <c r="Z1348" s="134">
        <f t="shared" si="122"/>
        <v>0</v>
      </c>
      <c r="AA1348" s="6">
        <f t="shared" si="121"/>
        <v>0</v>
      </c>
    </row>
    <row r="1349" spans="1:27" x14ac:dyDescent="0.3">
      <c r="A1349" s="10"/>
      <c r="B1349" s="10"/>
      <c r="C1349" s="10"/>
      <c r="D1349" s="10"/>
      <c r="E1349" s="10"/>
      <c r="F1349" s="41"/>
      <c r="G1349" s="64"/>
      <c r="H1349" s="64"/>
      <c r="I1349" s="41"/>
      <c r="J1349" s="64"/>
      <c r="K1349" s="64"/>
      <c r="L1349" s="64"/>
      <c r="M1349" s="65"/>
      <c r="N1349" s="64"/>
      <c r="O1349" s="64"/>
      <c r="P1349" s="64"/>
      <c r="Q1349" s="56">
        <f>noRDS2CLD_3-(noRDS2CLD_3*noHypo2CI_3)</f>
        <v>0</v>
      </c>
      <c r="R1349" s="56"/>
      <c r="S1349" s="129"/>
      <c r="T1349" s="105"/>
      <c r="U1349" s="133"/>
      <c r="V1349" s="133">
        <v>0</v>
      </c>
      <c r="W1349" s="133"/>
      <c r="X1349" s="133"/>
      <c r="Y1349" s="133"/>
      <c r="Z1349" s="134">
        <f t="shared" si="122"/>
        <v>0</v>
      </c>
      <c r="AA1349" s="6">
        <f t="shared" si="121"/>
        <v>0</v>
      </c>
    </row>
    <row r="1350" spans="1:27" x14ac:dyDescent="0.3">
      <c r="A1350" s="10"/>
      <c r="B1350" s="10"/>
      <c r="C1350" s="10"/>
      <c r="D1350" s="10"/>
      <c r="E1350" s="10"/>
      <c r="F1350" s="41"/>
      <c r="G1350" s="64"/>
      <c r="H1350" s="64"/>
      <c r="I1350" s="64"/>
      <c r="J1350" s="64"/>
      <c r="K1350" s="64"/>
      <c r="L1350" s="64"/>
      <c r="M1350" s="65"/>
      <c r="N1350" s="64"/>
      <c r="O1350" s="64"/>
      <c r="P1350" s="64"/>
      <c r="Q1350" s="57">
        <f>c_lung+c_hypo+c_CSG</f>
        <v>56558.771302399997</v>
      </c>
      <c r="R1350" s="57"/>
      <c r="S1350" s="129"/>
      <c r="T1350" s="105"/>
      <c r="U1350" s="133"/>
      <c r="V1350" s="133"/>
      <c r="W1350" s="133"/>
      <c r="X1350" s="133"/>
      <c r="Y1350" s="133"/>
      <c r="Z1350" s="134">
        <f t="shared" si="122"/>
        <v>0</v>
      </c>
      <c r="AA1350" s="6">
        <f t="shared" si="121"/>
        <v>0</v>
      </c>
    </row>
    <row r="1351" spans="1:27" x14ac:dyDescent="0.3">
      <c r="A1351" s="10"/>
      <c r="B1351" s="10"/>
      <c r="C1351" s="10"/>
      <c r="D1351" s="10"/>
      <c r="E1351" s="10"/>
      <c r="F1351" s="41"/>
      <c r="G1351" s="64"/>
      <c r="H1351" s="64"/>
      <c r="I1351" s="64"/>
      <c r="J1351" s="64"/>
      <c r="K1351" s="64"/>
      <c r="L1351" s="64"/>
      <c r="M1351" s="65"/>
      <c r="N1351" s="64"/>
      <c r="O1351" s="54" t="s">
        <v>371</v>
      </c>
      <c r="P1351" s="64"/>
      <c r="Q1351" s="54" t="s">
        <v>226</v>
      </c>
      <c r="R1351" s="54"/>
      <c r="S1351" s="129"/>
      <c r="T1351" s="105"/>
      <c r="U1351" s="133">
        <f>$K$1325*$I$1314*$G$1279*$E$1207*$C$1053*$A$1008*$M$1340*$O$1352*Q1352</f>
        <v>1.1717727309838822E-2</v>
      </c>
      <c r="V1351" s="133">
        <v>1.1717727309838824E-2</v>
      </c>
      <c r="W1351" s="134">
        <f>$K$1326+$I$1315+$G$1280+$E$1208+$C$1054+$A$1009+$M$1341+$O$1353+Q1353</f>
        <v>19041.88</v>
      </c>
      <c r="X1351" s="133">
        <f>u_CongnitiveImpairement</f>
        <v>17.270393127285455</v>
      </c>
      <c r="Y1351" s="133"/>
      <c r="Z1351" s="134">
        <f t="shared" si="122"/>
        <v>223.12755730667368</v>
      </c>
      <c r="AA1351" s="6">
        <f t="shared" si="121"/>
        <v>0.20236975719924549</v>
      </c>
    </row>
    <row r="1352" spans="1:27" x14ac:dyDescent="0.3">
      <c r="A1352" s="10"/>
      <c r="B1352" s="10"/>
      <c r="C1352" s="10"/>
      <c r="D1352" s="10"/>
      <c r="E1352" s="10"/>
      <c r="F1352" s="41"/>
      <c r="G1352" s="64"/>
      <c r="H1352" s="64"/>
      <c r="I1352" s="64"/>
      <c r="J1352" s="64"/>
      <c r="K1352" s="64"/>
      <c r="L1352" s="64"/>
      <c r="M1352" s="65"/>
      <c r="N1352" s="64"/>
      <c r="O1352" s="56">
        <f>AGA_term_2normoglycaemia_3</f>
        <v>1</v>
      </c>
      <c r="P1352" s="64"/>
      <c r="Q1352" s="56">
        <f>noHypo2CI_3</f>
        <v>3.3085576536761752E-2</v>
      </c>
      <c r="R1352" s="56"/>
      <c r="S1352" s="129"/>
      <c r="T1352" s="105"/>
      <c r="U1352" s="133"/>
      <c r="V1352" s="133"/>
      <c r="W1352" s="133"/>
      <c r="X1352" s="133"/>
      <c r="Y1352" s="133"/>
      <c r="Z1352" s="134">
        <f t="shared" si="122"/>
        <v>0</v>
      </c>
      <c r="AA1352" s="6">
        <f t="shared" si="121"/>
        <v>0</v>
      </c>
    </row>
    <row r="1353" spans="1:27" x14ac:dyDescent="0.3">
      <c r="A1353" s="10"/>
      <c r="B1353" s="10"/>
      <c r="C1353" s="10"/>
      <c r="D1353" s="10"/>
      <c r="E1353" s="10"/>
      <c r="F1353" s="41"/>
      <c r="G1353" s="64"/>
      <c r="H1353" s="64"/>
      <c r="I1353" s="64"/>
      <c r="J1353" s="64"/>
      <c r="K1353" s="64"/>
      <c r="L1353" s="64"/>
      <c r="M1353" s="65"/>
      <c r="N1353" s="64"/>
      <c r="O1353" s="57"/>
      <c r="P1353" s="64"/>
      <c r="Q1353" s="57">
        <f>c_cog+c_hosp_fu+c_CSG</f>
        <v>15766</v>
      </c>
      <c r="R1353" s="57"/>
      <c r="S1353" s="129"/>
      <c r="T1353" s="105"/>
      <c r="U1353" s="133"/>
      <c r="V1353" s="133"/>
      <c r="W1353" s="133"/>
      <c r="X1353" s="133"/>
      <c r="Y1353" s="133"/>
      <c r="Z1353" s="134">
        <f t="shared" si="122"/>
        <v>0</v>
      </c>
      <c r="AA1353" s="6">
        <f t="shared" si="121"/>
        <v>0</v>
      </c>
    </row>
    <row r="1354" spans="1:27" x14ac:dyDescent="0.3">
      <c r="A1354" s="10"/>
      <c r="B1354" s="10"/>
      <c r="C1354" s="10"/>
      <c r="D1354" s="10"/>
      <c r="E1354" s="10"/>
      <c r="F1354" s="41"/>
      <c r="G1354" s="65"/>
      <c r="H1354" s="64"/>
      <c r="I1354" s="64"/>
      <c r="J1354" s="64"/>
      <c r="K1354" s="64"/>
      <c r="L1354" s="64"/>
      <c r="M1354" s="65"/>
      <c r="N1354" s="64"/>
      <c r="O1354" s="64"/>
      <c r="P1354" s="64"/>
      <c r="Q1354" s="54" t="s">
        <v>369</v>
      </c>
      <c r="R1354" s="54"/>
      <c r="S1354" s="129"/>
      <c r="T1354" s="105"/>
      <c r="U1354" s="133">
        <f>$K$1325*$I$1314*$G$1279*$E$1207*$C$1053*$A$1008*$M$1340*$O$1352*Q1355</f>
        <v>0</v>
      </c>
      <c r="V1354" s="133"/>
      <c r="W1354" s="134">
        <f>$K$1326+$I$1315+$G$1280+$E$1208+$C$1054+$A$1009+$M$1341+$O$1353+Q1356</f>
        <v>61624.390902399995</v>
      </c>
      <c r="X1354" s="133">
        <f>u_ChronicResp+u_CongnitiveImpairement</f>
        <v>17.805052694763283</v>
      </c>
      <c r="Y1354" s="133"/>
      <c r="Z1354" s="134">
        <f t="shared" si="122"/>
        <v>0</v>
      </c>
      <c r="AA1354" s="6">
        <f t="shared" si="121"/>
        <v>0</v>
      </c>
    </row>
    <row r="1355" spans="1:27" x14ac:dyDescent="0.3">
      <c r="A1355" s="10"/>
      <c r="B1355" s="10"/>
      <c r="C1355" s="10"/>
      <c r="D1355" s="10"/>
      <c r="E1355" s="10"/>
      <c r="F1355" s="41"/>
      <c r="G1355" s="64"/>
      <c r="H1355" s="64"/>
      <c r="I1355" s="64"/>
      <c r="J1355" s="64"/>
      <c r="K1355" s="64"/>
      <c r="L1355" s="64"/>
      <c r="M1355" s="53"/>
      <c r="N1355" s="64"/>
      <c r="O1355" s="64"/>
      <c r="P1355" s="64"/>
      <c r="Q1355" s="56">
        <f>noRDS2CLD_3*noHypo2CI_3</f>
        <v>0</v>
      </c>
      <c r="R1355" s="56"/>
      <c r="S1355" s="129"/>
      <c r="T1355" s="105"/>
      <c r="U1355" s="133"/>
      <c r="V1355" s="133">
        <v>0</v>
      </c>
      <c r="W1355" s="133"/>
      <c r="X1355" s="133"/>
      <c r="Y1355" s="133"/>
      <c r="Z1355" s="134">
        <f t="shared" si="122"/>
        <v>0</v>
      </c>
      <c r="AA1355" s="6">
        <f t="shared" si="121"/>
        <v>0</v>
      </c>
    </row>
    <row r="1356" spans="1:27" x14ac:dyDescent="0.3">
      <c r="A1356" s="10"/>
      <c r="B1356" s="10"/>
      <c r="C1356" s="10"/>
      <c r="D1356" s="10"/>
      <c r="E1356" s="10"/>
      <c r="F1356" s="41"/>
      <c r="G1356" s="64"/>
      <c r="H1356" s="64"/>
      <c r="I1356" s="64"/>
      <c r="J1356" s="64"/>
      <c r="K1356" s="64"/>
      <c r="L1356" s="64"/>
      <c r="M1356" s="44"/>
      <c r="N1356" s="64"/>
      <c r="O1356" s="64"/>
      <c r="P1356" s="64"/>
      <c r="Q1356" s="57">
        <f>c_cog+c_lung+c_hosp_fu+c_CSG</f>
        <v>58348.510902399998</v>
      </c>
      <c r="R1356" s="57"/>
      <c r="S1356" s="129"/>
      <c r="T1356" s="105"/>
      <c r="U1356" s="133"/>
      <c r="V1356" s="133"/>
      <c r="W1356" s="133"/>
      <c r="X1356" s="133"/>
      <c r="Y1356" s="133"/>
      <c r="Z1356" s="134">
        <f t="shared" si="122"/>
        <v>0</v>
      </c>
      <c r="AA1356" s="6">
        <f t="shared" si="121"/>
        <v>0</v>
      </c>
    </row>
    <row r="1357" spans="1:27" x14ac:dyDescent="0.3">
      <c r="A1357" s="10"/>
      <c r="B1357" s="10"/>
      <c r="C1357" s="10"/>
      <c r="D1357" s="10"/>
      <c r="E1357" s="10"/>
      <c r="F1357" s="41"/>
      <c r="G1357" s="64"/>
      <c r="H1357" s="64"/>
      <c r="I1357" s="64"/>
      <c r="J1357" s="64"/>
      <c r="K1357" s="64"/>
      <c r="L1357" s="64"/>
      <c r="M1357" s="65"/>
      <c r="N1357" s="64"/>
      <c r="O1357" s="64"/>
      <c r="P1357" s="64"/>
      <c r="Q1357" s="54" t="s">
        <v>370</v>
      </c>
      <c r="R1357" s="54"/>
      <c r="T1357" s="105"/>
      <c r="U1357" s="133">
        <f>$K$1325*$I$1314*$G$1279*$E$1207*$C$1053*$A$1008*$M$1340*$O$1352*Q1358</f>
        <v>0.34244648974163455</v>
      </c>
      <c r="V1357" s="133">
        <v>0.34244648974163461</v>
      </c>
      <c r="W1357" s="134">
        <f>$K$1326+$I$1315+$G$1280+$E$1208+$C$1054+$A$1009+$M$1341+$O$1353+Q1359</f>
        <v>17678.88</v>
      </c>
      <c r="X1357" s="133">
        <f>u_Healthy</f>
        <v>0</v>
      </c>
      <c r="Y1357" s="133"/>
      <c r="Z1357" s="134">
        <f t="shared" si="122"/>
        <v>6054.0703985635882</v>
      </c>
      <c r="AA1357" s="6">
        <f t="shared" ref="AA1357:AA1420" si="123">U1357*X1357</f>
        <v>0</v>
      </c>
    </row>
    <row r="1358" spans="1:27" x14ac:dyDescent="0.3">
      <c r="A1358" s="10"/>
      <c r="B1358" s="10"/>
      <c r="C1358" s="10"/>
      <c r="D1358" s="10"/>
      <c r="E1358" s="10"/>
      <c r="F1358" s="41"/>
      <c r="G1358" s="64"/>
      <c r="H1358" s="64"/>
      <c r="I1358" s="64"/>
      <c r="J1358" s="64"/>
      <c r="K1358" s="64"/>
      <c r="L1358" s="64"/>
      <c r="M1358" s="65"/>
      <c r="N1358" s="44"/>
      <c r="O1358" s="64"/>
      <c r="P1358" s="64"/>
      <c r="Q1358" s="56">
        <f>1-Q1355-Q1352-Q1349</f>
        <v>0.9669144234632383</v>
      </c>
      <c r="R1358" s="56"/>
      <c r="S1358" s="129"/>
      <c r="T1358" s="105"/>
      <c r="U1358" s="133"/>
      <c r="V1358" s="133"/>
      <c r="W1358" s="133"/>
      <c r="X1358" s="133"/>
      <c r="Y1358" s="133"/>
      <c r="Z1358" s="134">
        <f t="shared" si="122"/>
        <v>0</v>
      </c>
      <c r="AA1358" s="6">
        <f t="shared" si="123"/>
        <v>0</v>
      </c>
    </row>
    <row r="1359" spans="1:27" x14ac:dyDescent="0.3">
      <c r="A1359" s="10"/>
      <c r="B1359" s="10"/>
      <c r="C1359" s="10"/>
      <c r="D1359" s="10"/>
      <c r="E1359" s="10"/>
      <c r="F1359" s="41"/>
      <c r="G1359" s="64"/>
      <c r="H1359" s="64"/>
      <c r="I1359" s="64"/>
      <c r="J1359" s="64"/>
      <c r="K1359" s="64"/>
      <c r="L1359" s="64"/>
      <c r="M1359" s="65"/>
      <c r="N1359" s="64"/>
      <c r="O1359" s="64"/>
      <c r="P1359" s="64"/>
      <c r="Q1359" s="57">
        <f>c_clinic_fu+c_CSG</f>
        <v>14403</v>
      </c>
      <c r="R1359" s="57"/>
      <c r="S1359" s="131"/>
      <c r="T1359" s="105"/>
      <c r="U1359" s="133"/>
      <c r="V1359" s="133"/>
      <c r="W1359" s="133"/>
      <c r="X1359" s="133"/>
      <c r="Y1359" s="133"/>
      <c r="Z1359" s="134">
        <f t="shared" ref="Z1359:Z1422" si="124">U1359*W1359</f>
        <v>0</v>
      </c>
      <c r="AA1359" s="6">
        <f t="shared" si="123"/>
        <v>0</v>
      </c>
    </row>
    <row r="1360" spans="1:27" x14ac:dyDescent="0.3">
      <c r="A1360" s="115"/>
      <c r="B1360" s="115"/>
      <c r="C1360" s="115"/>
      <c r="D1360" s="115"/>
      <c r="E1360" s="115"/>
      <c r="F1360" s="111"/>
      <c r="G1360" s="112"/>
      <c r="H1360" s="112"/>
      <c r="I1360" s="112"/>
      <c r="J1360" s="112"/>
      <c r="K1360" s="112"/>
      <c r="L1360" s="112"/>
      <c r="M1360" s="117"/>
      <c r="N1360" s="112"/>
      <c r="O1360" s="112"/>
      <c r="P1360" s="112"/>
      <c r="Q1360" s="117"/>
      <c r="R1360" s="116"/>
      <c r="S1360" s="129"/>
      <c r="T1360" s="105"/>
      <c r="U1360" s="133"/>
      <c r="V1360" s="133"/>
      <c r="W1360" s="133"/>
      <c r="X1360" s="133"/>
      <c r="Y1360" s="133"/>
      <c r="Z1360" s="134">
        <f t="shared" si="124"/>
        <v>0</v>
      </c>
      <c r="AA1360" s="6">
        <f t="shared" si="123"/>
        <v>0</v>
      </c>
    </row>
    <row r="1361" spans="1:27" x14ac:dyDescent="0.3">
      <c r="A1361" s="41"/>
      <c r="B1361" s="41"/>
      <c r="C1361" s="54" t="s">
        <v>3</v>
      </c>
      <c r="D1361" s="54"/>
      <c r="E1361" s="54"/>
      <c r="F1361" s="54"/>
      <c r="G1361" s="54"/>
      <c r="H1361" s="54"/>
      <c r="I1361" s="54"/>
      <c r="J1361" s="54"/>
      <c r="K1361" s="54"/>
      <c r="L1361" s="54"/>
      <c r="M1361" s="54"/>
      <c r="N1361" s="54"/>
      <c r="O1361" s="54"/>
      <c r="P1361" s="54"/>
      <c r="Q1361" s="54"/>
      <c r="R1361" s="54"/>
      <c r="T1361" s="105"/>
      <c r="U1361" s="133">
        <f>C1362*A1460</f>
        <v>5.3341426403641888E-3</v>
      </c>
      <c r="V1361" s="133">
        <v>5.3341426403641888E-3</v>
      </c>
      <c r="W1361" s="134">
        <f>C1363+A1461</f>
        <v>1792</v>
      </c>
      <c r="X1361" s="133">
        <f>u_Death</f>
        <v>19.181538114427529</v>
      </c>
      <c r="Y1361" s="133"/>
      <c r="Z1361" s="134">
        <f t="shared" si="124"/>
        <v>9.5587836115326255</v>
      </c>
      <c r="AA1361" s="6">
        <f t="shared" si="123"/>
        <v>0.10231706036393878</v>
      </c>
    </row>
    <row r="1362" spans="1:27" x14ac:dyDescent="0.3">
      <c r="A1362" s="41"/>
      <c r="B1362" s="41"/>
      <c r="C1362" s="56">
        <f>NoANC2SB_4</f>
        <v>3.1562974203338388E-2</v>
      </c>
      <c r="D1362" s="41"/>
      <c r="E1362" s="41"/>
      <c r="F1362" s="41"/>
      <c r="G1362" s="41"/>
      <c r="H1362" s="41"/>
      <c r="I1362" s="41"/>
      <c r="J1362" s="41"/>
      <c r="K1362" s="41"/>
      <c r="L1362" s="41"/>
      <c r="M1362" s="41"/>
      <c r="N1362" s="41"/>
      <c r="O1362" s="41"/>
      <c r="P1362" s="41"/>
      <c r="Q1362" s="41"/>
      <c r="T1362" s="105"/>
      <c r="U1362" s="133"/>
      <c r="V1362" s="133"/>
      <c r="W1362" s="133"/>
      <c r="X1362" s="133"/>
      <c r="Y1362" s="133"/>
      <c r="Z1362" s="134">
        <f t="shared" si="124"/>
        <v>0</v>
      </c>
      <c r="AA1362" s="6">
        <f t="shared" si="123"/>
        <v>0</v>
      </c>
    </row>
    <row r="1363" spans="1:27" x14ac:dyDescent="0.3">
      <c r="A1363" s="41"/>
      <c r="B1363" s="41"/>
      <c r="C1363" s="57">
        <f>c_SB</f>
        <v>1792</v>
      </c>
      <c r="D1363" s="41"/>
      <c r="E1363" s="41"/>
      <c r="F1363" s="41"/>
      <c r="G1363" s="41"/>
      <c r="H1363" s="41"/>
      <c r="I1363" s="41"/>
      <c r="J1363" s="41"/>
      <c r="K1363" s="41"/>
      <c r="L1363" s="41"/>
      <c r="M1363" s="41"/>
      <c r="N1363" s="41"/>
      <c r="O1363" s="41"/>
      <c r="P1363" s="41"/>
      <c r="Q1363" s="41"/>
      <c r="T1363" s="105"/>
      <c r="U1363" s="133"/>
      <c r="V1363" s="133"/>
      <c r="W1363" s="133"/>
      <c r="X1363" s="133"/>
      <c r="Y1363" s="133"/>
      <c r="Z1363" s="134">
        <f t="shared" si="124"/>
        <v>0</v>
      </c>
      <c r="AA1363" s="6">
        <f t="shared" si="123"/>
        <v>0</v>
      </c>
    </row>
    <row r="1364" spans="1:27" s="41" customFormat="1" x14ac:dyDescent="0.3">
      <c r="C1364" s="57"/>
      <c r="S1364" s="129"/>
      <c r="T1364" s="105"/>
      <c r="U1364" s="133"/>
      <c r="V1364" s="133"/>
      <c r="W1364" s="133"/>
      <c r="X1364" s="133"/>
      <c r="Y1364" s="133"/>
      <c r="Z1364" s="134">
        <f t="shared" si="124"/>
        <v>0</v>
      </c>
      <c r="AA1364" s="6">
        <f t="shared" si="123"/>
        <v>0</v>
      </c>
    </row>
    <row r="1365" spans="1:27" x14ac:dyDescent="0.3">
      <c r="A1365" s="41"/>
      <c r="B1365" s="41"/>
      <c r="C1365" s="41"/>
      <c r="D1365" s="41"/>
      <c r="E1365" s="41"/>
      <c r="F1365" s="41"/>
      <c r="G1365" s="64"/>
      <c r="H1365" s="64"/>
      <c r="I1365" s="64"/>
      <c r="J1365" s="64"/>
      <c r="K1365" s="54" t="s">
        <v>165</v>
      </c>
      <c r="L1365" s="54"/>
      <c r="M1365" s="54"/>
      <c r="N1365" s="54"/>
      <c r="O1365" s="54"/>
      <c r="P1365" s="54"/>
      <c r="Q1365" s="54"/>
      <c r="R1365" s="54"/>
      <c r="S1365" s="129"/>
      <c r="T1365" s="105"/>
      <c r="U1365" s="133">
        <f>$K$1366*$I$1374*$G$1398*$E$1436*$C$1505*$A$1460</f>
        <v>7.2182412917313988E-4</v>
      </c>
      <c r="V1365" s="133">
        <v>7.2182412917313988E-4</v>
      </c>
      <c r="W1365" s="134">
        <f>$K$1367+$I$1375+$G$1399+$E$1437+$C$1506+$A$1461</f>
        <v>201021.6673081081</v>
      </c>
      <c r="X1365" s="133">
        <f>u_Death</f>
        <v>19.181538114427529</v>
      </c>
      <c r="Y1365" s="133"/>
      <c r="Z1365" s="134">
        <f t="shared" si="124"/>
        <v>145.10228994960778</v>
      </c>
      <c r="AA1365" s="6">
        <f t="shared" si="123"/>
        <v>1.3845697045648043E-2</v>
      </c>
    </row>
    <row r="1366" spans="1:27" x14ac:dyDescent="0.3">
      <c r="A1366" s="41"/>
      <c r="B1366" s="41"/>
      <c r="C1366" s="41"/>
      <c r="D1366" s="41"/>
      <c r="E1366" s="41"/>
      <c r="F1366" s="41"/>
      <c r="G1366" s="64"/>
      <c r="H1366" s="64"/>
      <c r="I1366" s="64"/>
      <c r="J1366" s="64"/>
      <c r="K1366" s="56">
        <f>SGA_prem_2d_4</f>
        <v>8.4066666666666665E-2</v>
      </c>
      <c r="L1366" s="64"/>
      <c r="M1366" s="64"/>
      <c r="N1366" s="64"/>
      <c r="O1366" s="64"/>
      <c r="P1366" s="64"/>
      <c r="Q1366" s="64"/>
      <c r="R1366" s="64"/>
      <c r="S1366" s="129"/>
      <c r="T1366" s="105"/>
      <c r="U1366" s="133"/>
      <c r="V1366" s="133"/>
      <c r="W1366" s="133"/>
      <c r="X1366" s="133"/>
      <c r="Y1366" s="133"/>
      <c r="Z1366" s="134">
        <f t="shared" si="124"/>
        <v>0</v>
      </c>
      <c r="AA1366" s="6">
        <f t="shared" si="123"/>
        <v>0</v>
      </c>
    </row>
    <row r="1367" spans="1:27" x14ac:dyDescent="0.3">
      <c r="A1367" s="41"/>
      <c r="B1367" s="41"/>
      <c r="C1367" s="41"/>
      <c r="D1367" s="41"/>
      <c r="E1367" s="41"/>
      <c r="F1367" s="41"/>
      <c r="G1367" s="64"/>
      <c r="H1367" s="64"/>
      <c r="I1367" s="64"/>
      <c r="J1367" s="64"/>
      <c r="K1367" s="57">
        <f>c_SB</f>
        <v>1792</v>
      </c>
      <c r="L1367" s="64"/>
      <c r="M1367" s="64"/>
      <c r="N1367" s="64"/>
      <c r="O1367" s="64"/>
      <c r="P1367" s="64"/>
      <c r="Q1367" s="64"/>
      <c r="R1367" s="64"/>
      <c r="S1367" s="129"/>
      <c r="T1367" s="105"/>
      <c r="U1367" s="133"/>
      <c r="V1367" s="133"/>
      <c r="W1367" s="133"/>
      <c r="X1367" s="133"/>
      <c r="Y1367" s="133"/>
      <c r="Z1367" s="134">
        <f t="shared" si="124"/>
        <v>0</v>
      </c>
      <c r="AA1367" s="6">
        <f t="shared" si="123"/>
        <v>0</v>
      </c>
    </row>
    <row r="1368" spans="1:27" x14ac:dyDescent="0.3">
      <c r="A1368" s="41"/>
      <c r="B1368" s="41"/>
      <c r="C1368" s="41"/>
      <c r="D1368" s="41"/>
      <c r="E1368" s="41"/>
      <c r="F1368" s="41"/>
      <c r="G1368" s="53"/>
      <c r="H1368" s="53"/>
      <c r="I1368" s="53"/>
      <c r="J1368" s="53"/>
      <c r="K1368" s="53"/>
      <c r="L1368" s="53"/>
      <c r="M1368" s="53"/>
      <c r="N1368" s="53"/>
      <c r="O1368" s="53"/>
      <c r="P1368" s="53"/>
      <c r="Q1368" s="53"/>
      <c r="R1368" s="53"/>
      <c r="S1368" s="129"/>
      <c r="T1368" s="105"/>
      <c r="U1368" s="133"/>
      <c r="V1368" s="133"/>
      <c r="W1368" s="133"/>
      <c r="X1368" s="133"/>
      <c r="Y1368" s="133"/>
      <c r="Z1368" s="134">
        <f t="shared" si="124"/>
        <v>0</v>
      </c>
      <c r="AA1368" s="6">
        <f t="shared" si="123"/>
        <v>0</v>
      </c>
    </row>
    <row r="1369" spans="1:27" x14ac:dyDescent="0.3">
      <c r="A1369" s="41"/>
      <c r="B1369" s="41"/>
      <c r="C1369" s="41"/>
      <c r="D1369" s="41"/>
      <c r="E1369" s="41"/>
      <c r="F1369" s="41"/>
      <c r="G1369" s="53"/>
      <c r="H1369" s="53"/>
      <c r="I1369" s="53"/>
      <c r="J1369" s="53"/>
      <c r="K1369" s="53"/>
      <c r="L1369" s="53"/>
      <c r="M1369" s="53"/>
      <c r="N1369" s="53"/>
      <c r="O1369" s="53"/>
      <c r="P1369" s="53"/>
      <c r="Q1369" s="54" t="s">
        <v>368</v>
      </c>
      <c r="R1369" s="54"/>
      <c r="S1369" s="129"/>
      <c r="T1369" s="105"/>
      <c r="U1369" s="133">
        <f>$K$1385*$I$1374*$G$1398*$E$1436*$C$1505*$A$1460*$M$1380*$O$1375*Q1370</f>
        <v>2.6118730470040626E-4</v>
      </c>
      <c r="V1369" s="133">
        <v>2.6118730470040626E-4</v>
      </c>
      <c r="W1369" s="134">
        <f>$K$1386+$I$1375+$G$1399+$E$1437+$C$1506+$A$1461+$M$1381+$O$1376+Q1371</f>
        <v>287291.0487587137</v>
      </c>
      <c r="X1369" s="133">
        <f>u_ChronicResp</f>
        <v>0.53465956747782661</v>
      </c>
      <c r="Y1369" s="133"/>
      <c r="Z1369" s="134">
        <f t="shared" si="124"/>
        <v>75.036774689841423</v>
      </c>
      <c r="AA1369" s="6">
        <f t="shared" si="123"/>
        <v>1.3964629136181851E-4</v>
      </c>
    </row>
    <row r="1370" spans="1:27" x14ac:dyDescent="0.3">
      <c r="A1370" s="41"/>
      <c r="B1370" s="41"/>
      <c r="C1370" s="41"/>
      <c r="D1370" s="41"/>
      <c r="E1370" s="41"/>
      <c r="F1370" s="41"/>
      <c r="G1370" s="53"/>
      <c r="H1370" s="53"/>
      <c r="I1370" s="53"/>
      <c r="J1370" s="53"/>
      <c r="K1370" s="53"/>
      <c r="L1370" s="53"/>
      <c r="M1370" s="53"/>
      <c r="N1370" s="53"/>
      <c r="O1370" s="64"/>
      <c r="P1370" s="64"/>
      <c r="Q1370" s="56">
        <f>RDS2CLD_4-(Hypo2CI_4*RDS2CLD_4)</f>
        <v>0.34246866666666664</v>
      </c>
      <c r="R1370" s="56"/>
      <c r="S1370" s="129"/>
      <c r="T1370" s="105"/>
      <c r="U1370" s="133"/>
      <c r="V1370" s="133"/>
      <c r="W1370" s="133"/>
      <c r="X1370" s="133"/>
      <c r="Y1370" s="133"/>
      <c r="Z1370" s="134">
        <f t="shared" si="124"/>
        <v>0</v>
      </c>
      <c r="AA1370" s="6">
        <f t="shared" si="123"/>
        <v>0</v>
      </c>
    </row>
    <row r="1371" spans="1:27" x14ac:dyDescent="0.3">
      <c r="A1371" s="41"/>
      <c r="B1371" s="41"/>
      <c r="C1371" s="41"/>
      <c r="D1371" s="41"/>
      <c r="E1371" s="41"/>
      <c r="F1371" s="41"/>
      <c r="G1371" s="53"/>
      <c r="H1371" s="53"/>
      <c r="I1371" s="53"/>
      <c r="J1371" s="53"/>
      <c r="K1371" s="53"/>
      <c r="L1371" s="53"/>
      <c r="M1371" s="53"/>
      <c r="N1371" s="53"/>
      <c r="O1371" s="64"/>
      <c r="P1371" s="64"/>
      <c r="Q1371" s="57">
        <f>c_lung+c_hosp_fu+c_CSG</f>
        <v>54529.510902399998</v>
      </c>
      <c r="R1371" s="57"/>
      <c r="S1371" s="129"/>
      <c r="T1371" s="105"/>
      <c r="U1371" s="133"/>
      <c r="V1371" s="133"/>
      <c r="W1371" s="133"/>
      <c r="X1371" s="133"/>
      <c r="Y1371" s="133"/>
      <c r="Z1371" s="134">
        <f t="shared" si="124"/>
        <v>0</v>
      </c>
      <c r="AA1371" s="6">
        <f t="shared" si="123"/>
        <v>0</v>
      </c>
    </row>
    <row r="1372" spans="1:27" x14ac:dyDescent="0.3">
      <c r="A1372" s="41"/>
      <c r="B1372" s="41"/>
      <c r="C1372" s="41"/>
      <c r="D1372" s="41"/>
      <c r="E1372" s="41"/>
      <c r="F1372" s="41"/>
      <c r="G1372" s="53"/>
      <c r="H1372" s="53"/>
      <c r="I1372" s="53"/>
      <c r="J1372" s="53"/>
      <c r="K1372" s="53"/>
      <c r="L1372" s="53"/>
      <c r="M1372" s="53"/>
      <c r="N1372" s="53"/>
      <c r="O1372" s="64"/>
      <c r="P1372" s="64"/>
      <c r="Q1372" s="54" t="s">
        <v>226</v>
      </c>
      <c r="R1372" s="54"/>
      <c r="S1372" s="129"/>
      <c r="T1372" s="105"/>
      <c r="U1372" s="133">
        <f>$K$1385*$I$1374*$G$1398*$E$1436*$C$1505*$A$1460*$M$1380*$O$1375*Q1373</f>
        <v>2.501678781937051E-5</v>
      </c>
      <c r="V1372" s="133">
        <v>2.501678781937051E-5</v>
      </c>
      <c r="W1372" s="134">
        <f>$K$1386+$I$1375+$G$1399+$E$1437+$C$1506+$A$1461+$M$1381+$O$1376+Q1374</f>
        <v>248527.53785631372</v>
      </c>
      <c r="X1372" s="133">
        <f>u_CongnitiveImpairement</f>
        <v>17.270393127285455</v>
      </c>
      <c r="Y1372" s="133"/>
      <c r="Z1372" s="134">
        <f t="shared" si="124"/>
        <v>6.2173606818219724</v>
      </c>
      <c r="AA1372" s="6">
        <f t="shared" si="123"/>
        <v>4.3204976042241497E-4</v>
      </c>
    </row>
    <row r="1373" spans="1:27" x14ac:dyDescent="0.3">
      <c r="A1373" s="41"/>
      <c r="B1373" s="41"/>
      <c r="C1373" s="41"/>
      <c r="D1373" s="41"/>
      <c r="E1373" s="41"/>
      <c r="F1373" s="41"/>
      <c r="G1373" s="64"/>
      <c r="H1373" s="64"/>
      <c r="I1373" s="54" t="s">
        <v>164</v>
      </c>
      <c r="J1373" s="64"/>
      <c r="K1373" s="64"/>
      <c r="L1373" s="64"/>
      <c r="M1373" s="64"/>
      <c r="N1373" s="64"/>
      <c r="O1373" s="64"/>
      <c r="P1373" s="64"/>
      <c r="Q1373" s="56">
        <f>Hypo2CI_4-(Hypo2CI_4*RDS2CLD_4)</f>
        <v>3.2801999999999998E-2</v>
      </c>
      <c r="R1373" s="56"/>
      <c r="S1373" s="129"/>
      <c r="T1373" s="105"/>
      <c r="U1373" s="133"/>
      <c r="V1373" s="133"/>
      <c r="W1373" s="133"/>
      <c r="X1373" s="133"/>
      <c r="Y1373" s="133"/>
      <c r="Z1373" s="134">
        <f t="shared" si="124"/>
        <v>0</v>
      </c>
      <c r="AA1373" s="6">
        <f t="shared" si="123"/>
        <v>0</v>
      </c>
    </row>
    <row r="1374" spans="1:27" x14ac:dyDescent="0.3">
      <c r="A1374" s="41"/>
      <c r="B1374" s="41"/>
      <c r="C1374" s="41"/>
      <c r="D1374" s="41"/>
      <c r="E1374" s="41"/>
      <c r="F1374" s="41"/>
      <c r="G1374" s="64"/>
      <c r="H1374" s="64"/>
      <c r="I1374" s="56">
        <f>LBW_prem_2SGA_4</f>
        <v>0.44409547738693467</v>
      </c>
      <c r="J1374" s="64"/>
      <c r="K1374" s="64"/>
      <c r="L1374" s="64"/>
      <c r="M1374" s="64"/>
      <c r="N1374" s="64"/>
      <c r="O1374" s="54" t="s">
        <v>161</v>
      </c>
      <c r="P1374" s="64"/>
      <c r="Q1374" s="57">
        <f>c_cog+c_hosp_fu+c_CSG</f>
        <v>15766</v>
      </c>
      <c r="R1374" s="57"/>
      <c r="S1374" s="129"/>
      <c r="T1374" s="105"/>
      <c r="U1374" s="133"/>
      <c r="V1374" s="133"/>
      <c r="W1374" s="133"/>
      <c r="X1374" s="133"/>
      <c r="Y1374" s="133"/>
      <c r="Z1374" s="134">
        <f t="shared" si="124"/>
        <v>0</v>
      </c>
      <c r="AA1374" s="6">
        <f t="shared" si="123"/>
        <v>0</v>
      </c>
    </row>
    <row r="1375" spans="1:27" x14ac:dyDescent="0.3">
      <c r="A1375" s="41"/>
      <c r="B1375" s="41"/>
      <c r="C1375" s="41"/>
      <c r="D1375" s="41"/>
      <c r="E1375" s="41"/>
      <c r="F1375" s="41"/>
      <c r="G1375" s="64"/>
      <c r="H1375" s="64"/>
      <c r="I1375" s="57"/>
      <c r="J1375" s="64"/>
      <c r="K1375" s="64"/>
      <c r="L1375" s="64"/>
      <c r="M1375" s="64"/>
      <c r="N1375" s="64"/>
      <c r="O1375" s="56">
        <f>SGA_prem_2hypoglycaemia_4</f>
        <v>0.2155</v>
      </c>
      <c r="P1375" s="64"/>
      <c r="Q1375" s="54" t="s">
        <v>369</v>
      </c>
      <c r="R1375" s="54"/>
      <c r="S1375" s="129"/>
      <c r="T1375" s="105"/>
      <c r="U1375" s="133">
        <f>$K$1385*$I$1374*$G$1398*$E$1436*$C$1505*$A$1460*$M$1380*$O$1375*Q1376</f>
        <v>1.4133114871350164E-5</v>
      </c>
      <c r="V1375" s="133">
        <v>1.4133114871350164E-5</v>
      </c>
      <c r="W1375" s="134">
        <f>$K$1386+$I$1375+$G$1399+$E$1437+$C$1506+$A$1461+$M$1381+$O$1376+Q1377</f>
        <v>291110.0487587137</v>
      </c>
      <c r="X1375" s="133">
        <f>u_ChronicResp+u_CongnitiveImpairement</f>
        <v>17.805052694763283</v>
      </c>
      <c r="Y1375" s="133"/>
      <c r="Z1375" s="134">
        <f t="shared" si="124"/>
        <v>4.1142917593112482</v>
      </c>
      <c r="AA1375" s="6">
        <f t="shared" si="123"/>
        <v>2.5164085502553228E-4</v>
      </c>
    </row>
    <row r="1376" spans="1:27" x14ac:dyDescent="0.3">
      <c r="A1376" s="41"/>
      <c r="B1376" s="41"/>
      <c r="C1376" s="41"/>
      <c r="D1376" s="41"/>
      <c r="E1376" s="41"/>
      <c r="F1376" s="41"/>
      <c r="G1376" s="64"/>
      <c r="H1376" s="64"/>
      <c r="I1376" s="64"/>
      <c r="J1376" s="64"/>
      <c r="K1376" s="64"/>
      <c r="L1376" s="64"/>
      <c r="M1376" s="64"/>
      <c r="N1376" s="64"/>
      <c r="O1376" s="57">
        <f>c_hypo</f>
        <v>2936.2604000000001</v>
      </c>
      <c r="P1376" s="64"/>
      <c r="Q1376" s="56">
        <f>Hypo2CI_4*RDS2CLD_4</f>
        <v>1.8531333333333334E-2</v>
      </c>
      <c r="R1376" s="56"/>
      <c r="S1376" s="129"/>
      <c r="T1376" s="105"/>
      <c r="U1376" s="133"/>
      <c r="V1376" s="133"/>
      <c r="W1376" s="133"/>
      <c r="X1376" s="133"/>
      <c r="Y1376" s="133"/>
      <c r="Z1376" s="134">
        <f t="shared" si="124"/>
        <v>0</v>
      </c>
      <c r="AA1376" s="6">
        <f t="shared" si="123"/>
        <v>0</v>
      </c>
    </row>
    <row r="1377" spans="1:27" x14ac:dyDescent="0.3">
      <c r="A1377" s="41"/>
      <c r="B1377" s="41"/>
      <c r="C1377" s="41"/>
      <c r="D1377" s="41"/>
      <c r="E1377" s="41"/>
      <c r="F1377" s="41"/>
      <c r="G1377" s="64"/>
      <c r="H1377" s="64"/>
      <c r="I1377" s="64"/>
      <c r="J1377" s="64"/>
      <c r="K1377" s="64"/>
      <c r="L1377" s="64"/>
      <c r="M1377" s="65"/>
      <c r="N1377" s="64"/>
      <c r="O1377" s="53"/>
      <c r="P1377" s="64"/>
      <c r="Q1377" s="57">
        <f>c_lung+c_cog+c_hosp_fu+c_CSG</f>
        <v>58348.510902399998</v>
      </c>
      <c r="R1377" s="57"/>
      <c r="S1377" s="129"/>
      <c r="T1377" s="105"/>
      <c r="U1377" s="133"/>
      <c r="V1377" s="133"/>
      <c r="W1377" s="133"/>
      <c r="X1377" s="133"/>
      <c r="Y1377" s="133"/>
      <c r="Z1377" s="134">
        <f t="shared" si="124"/>
        <v>0</v>
      </c>
      <c r="AA1377" s="6">
        <f t="shared" si="123"/>
        <v>0</v>
      </c>
    </row>
    <row r="1378" spans="1:27" x14ac:dyDescent="0.3">
      <c r="A1378" s="41"/>
      <c r="B1378" s="41"/>
      <c r="C1378" s="41"/>
      <c r="D1378" s="41"/>
      <c r="E1378" s="41"/>
      <c r="F1378" s="41"/>
      <c r="G1378" s="64"/>
      <c r="H1378" s="64"/>
      <c r="I1378" s="64"/>
      <c r="J1378" s="64"/>
      <c r="K1378" s="64"/>
      <c r="L1378" s="64"/>
      <c r="M1378" s="64"/>
      <c r="N1378" s="64"/>
      <c r="O1378" s="64"/>
      <c r="P1378" s="64"/>
      <c r="Q1378" s="54" t="s">
        <v>370</v>
      </c>
      <c r="R1378" s="54"/>
      <c r="S1378" s="129"/>
      <c r="T1378" s="105"/>
      <c r="U1378" s="133">
        <f>$K$1385*$I$1374*$G$1398*$E$1436*$C$1505*$A$1460*$M$1380*$O$1375*Q1379</f>
        <v>4.623232346358992E-4</v>
      </c>
      <c r="V1378" s="133">
        <v>4.623232346358992E-4</v>
      </c>
      <c r="W1378" s="134">
        <f>$K$1386+$I$1375+$G$1399+$E$1437+$C$1506+$A$1461+$M$1381+$O$1376+Q1380</f>
        <v>247164.53785631372</v>
      </c>
      <c r="X1378" s="133">
        <f>u_Healthy</f>
        <v>0</v>
      </c>
      <c r="Y1378" s="133"/>
      <c r="Z1378" s="134">
        <f t="shared" si="124"/>
        <v>114.26990862901812</v>
      </c>
      <c r="AA1378" s="6">
        <f t="shared" si="123"/>
        <v>0</v>
      </c>
    </row>
    <row r="1379" spans="1:27" x14ac:dyDescent="0.3">
      <c r="A1379" s="41"/>
      <c r="B1379" s="41"/>
      <c r="C1379" s="41"/>
      <c r="D1379" s="41"/>
      <c r="E1379" s="41"/>
      <c r="F1379" s="41"/>
      <c r="G1379" s="64"/>
      <c r="H1379" s="64"/>
      <c r="I1379" s="64"/>
      <c r="J1379" s="64"/>
      <c r="K1379" s="64"/>
      <c r="L1379" s="64"/>
      <c r="M1379" s="54" t="s">
        <v>9</v>
      </c>
      <c r="N1379" s="64"/>
      <c r="O1379" s="64"/>
      <c r="P1379" s="64"/>
      <c r="Q1379" s="56">
        <f>1-Q1370-Q1373-Q1376</f>
        <v>0.60619800000000001</v>
      </c>
      <c r="R1379" s="56"/>
      <c r="S1379" s="129"/>
      <c r="T1379" s="105"/>
      <c r="U1379" s="133"/>
      <c r="V1379" s="133"/>
      <c r="W1379" s="133"/>
      <c r="X1379" s="133"/>
      <c r="Y1379" s="133"/>
      <c r="Z1379" s="134">
        <f t="shared" si="124"/>
        <v>0</v>
      </c>
      <c r="AA1379" s="6">
        <f t="shared" si="123"/>
        <v>0</v>
      </c>
    </row>
    <row r="1380" spans="1:27" x14ac:dyDescent="0.3">
      <c r="A1380" s="41"/>
      <c r="B1380" s="41"/>
      <c r="C1380" s="41"/>
      <c r="D1380" s="41"/>
      <c r="E1380" s="41"/>
      <c r="F1380" s="41"/>
      <c r="G1380" s="64"/>
      <c r="H1380" s="64"/>
      <c r="I1380" s="64"/>
      <c r="J1380" s="64"/>
      <c r="K1380" s="65"/>
      <c r="L1380" s="64"/>
      <c r="M1380" s="56">
        <f>S_prem_2RDS_4</f>
        <v>0.45</v>
      </c>
      <c r="N1380" s="64"/>
      <c r="O1380" s="64"/>
      <c r="P1380" s="64"/>
      <c r="Q1380" s="57">
        <f>c_clinic_fu+c_CSG</f>
        <v>14403</v>
      </c>
      <c r="R1380" s="57"/>
      <c r="S1380" s="129"/>
      <c r="T1380" s="105"/>
      <c r="U1380" s="133"/>
      <c r="V1380" s="133"/>
      <c r="W1380" s="133"/>
      <c r="X1380" s="133"/>
      <c r="Y1380" s="133"/>
      <c r="Z1380" s="134">
        <f t="shared" si="124"/>
        <v>0</v>
      </c>
      <c r="AA1380" s="6">
        <f t="shared" si="123"/>
        <v>0</v>
      </c>
    </row>
    <row r="1381" spans="1:27" x14ac:dyDescent="0.3">
      <c r="A1381" s="41"/>
      <c r="B1381" s="41"/>
      <c r="C1381" s="41"/>
      <c r="D1381" s="41"/>
      <c r="E1381" s="41"/>
      <c r="F1381" s="41"/>
      <c r="G1381" s="64"/>
      <c r="H1381" s="64"/>
      <c r="I1381" s="64"/>
      <c r="J1381" s="64"/>
      <c r="K1381" s="65"/>
      <c r="L1381" s="64"/>
      <c r="M1381" s="57">
        <f>c_RDS</f>
        <v>30595.610148205637</v>
      </c>
      <c r="N1381" s="64"/>
      <c r="O1381" s="64"/>
      <c r="P1381" s="64"/>
      <c r="Q1381" s="65"/>
      <c r="R1381" s="65"/>
      <c r="S1381" s="129"/>
      <c r="T1381" s="105"/>
      <c r="U1381" s="133"/>
      <c r="V1381" s="133"/>
      <c r="W1381" s="133"/>
      <c r="X1381" s="133"/>
      <c r="Y1381" s="133"/>
      <c r="Z1381" s="134">
        <f t="shared" si="124"/>
        <v>0</v>
      </c>
      <c r="AA1381" s="6">
        <f t="shared" si="123"/>
        <v>0</v>
      </c>
    </row>
    <row r="1382" spans="1:27" x14ac:dyDescent="0.3">
      <c r="A1382" s="41"/>
      <c r="B1382" s="41"/>
      <c r="C1382" s="41"/>
      <c r="D1382" s="41"/>
      <c r="E1382" s="41"/>
      <c r="F1382" s="41"/>
      <c r="G1382" s="64"/>
      <c r="H1382" s="64"/>
      <c r="I1382" s="64"/>
      <c r="J1382" s="64"/>
      <c r="K1382" s="64"/>
      <c r="L1382" s="64"/>
      <c r="M1382" s="64"/>
      <c r="N1382" s="64"/>
      <c r="O1382" s="64"/>
      <c r="P1382" s="64"/>
      <c r="Q1382" s="54" t="s">
        <v>368</v>
      </c>
      <c r="R1382" s="54"/>
      <c r="S1382" s="129"/>
      <c r="T1382" s="105"/>
      <c r="U1382" s="133">
        <f>$K$1385*$I$1374*$G$1398*$E$1436*$C$1505*$A$1460*$M$1380*$O$1385*Q1383</f>
        <v>9.6910790205363435E-4</v>
      </c>
      <c r="V1382" s="133">
        <v>9.6910790205363435E-4</v>
      </c>
      <c r="W1382" s="134">
        <f>$K$1386+$I$1375+$G$1399+$E$1437+$C$1506+$A$1461+$M$1381+$O$1386+Q1384</f>
        <v>284354.78835871373</v>
      </c>
      <c r="X1382" s="133">
        <f>u_ChronicResp</f>
        <v>0.53465956747782661</v>
      </c>
      <c r="Y1382" s="133"/>
      <c r="Z1382" s="134">
        <f t="shared" si="124"/>
        <v>275.5704723852183</v>
      </c>
      <c r="AA1382" s="6">
        <f t="shared" si="123"/>
        <v>5.1814281175134006E-4</v>
      </c>
    </row>
    <row r="1383" spans="1:27" x14ac:dyDescent="0.3">
      <c r="A1383" s="41"/>
      <c r="B1383" s="41"/>
      <c r="C1383" s="41"/>
      <c r="D1383" s="41"/>
      <c r="E1383" s="41"/>
      <c r="F1383" s="41"/>
      <c r="G1383" s="64"/>
      <c r="H1383" s="64"/>
      <c r="I1383" s="64"/>
      <c r="J1383" s="64"/>
      <c r="K1383" s="64"/>
      <c r="L1383" s="64"/>
      <c r="M1383" s="64"/>
      <c r="N1383" s="64"/>
      <c r="O1383" s="64"/>
      <c r="P1383" s="64"/>
      <c r="Q1383" s="56">
        <f>RDS2CLD_4-(RDS2CLD_4*noHypo2CI_4)</f>
        <v>0.34905610687022898</v>
      </c>
      <c r="R1383" s="56"/>
      <c r="S1383" s="129"/>
      <c r="T1383" s="105"/>
      <c r="U1383" s="133"/>
      <c r="V1383" s="133"/>
      <c r="W1383" s="133"/>
      <c r="X1383" s="133"/>
      <c r="Y1383" s="133"/>
      <c r="Z1383" s="134">
        <f t="shared" si="124"/>
        <v>0</v>
      </c>
      <c r="AA1383" s="6">
        <f t="shared" si="123"/>
        <v>0</v>
      </c>
    </row>
    <row r="1384" spans="1:27" x14ac:dyDescent="0.3">
      <c r="A1384" s="41"/>
      <c r="B1384" s="41"/>
      <c r="C1384" s="41"/>
      <c r="D1384" s="41"/>
      <c r="E1384" s="41"/>
      <c r="F1384" s="41"/>
      <c r="G1384" s="64"/>
      <c r="H1384" s="64"/>
      <c r="I1384" s="64"/>
      <c r="J1384" s="64"/>
      <c r="K1384" s="54" t="s">
        <v>37</v>
      </c>
      <c r="L1384" s="64"/>
      <c r="M1384" s="65"/>
      <c r="N1384" s="64"/>
      <c r="O1384" s="54" t="s">
        <v>371</v>
      </c>
      <c r="P1384" s="64"/>
      <c r="Q1384" s="57">
        <f>c_lung+c_hosp_fu+c_CSG</f>
        <v>54529.510902399998</v>
      </c>
      <c r="R1384" s="57"/>
      <c r="S1384" s="129"/>
      <c r="T1384" s="105"/>
      <c r="U1384" s="133"/>
      <c r="V1384" s="133"/>
      <c r="W1384" s="133"/>
      <c r="X1384" s="133"/>
      <c r="Y1384" s="133"/>
      <c r="Z1384" s="134">
        <f t="shared" si="124"/>
        <v>0</v>
      </c>
      <c r="AA1384" s="6">
        <f t="shared" si="123"/>
        <v>0</v>
      </c>
    </row>
    <row r="1385" spans="1:27" x14ac:dyDescent="0.3">
      <c r="A1385" s="41"/>
      <c r="B1385" s="41"/>
      <c r="C1385" s="41"/>
      <c r="D1385" s="41"/>
      <c r="E1385" s="41"/>
      <c r="F1385" s="41"/>
      <c r="G1385" s="64"/>
      <c r="H1385" s="64"/>
      <c r="I1385" s="64"/>
      <c r="J1385" s="64"/>
      <c r="K1385" s="56">
        <f>SGA_prem_2s_4</f>
        <v>0.91593333333333338</v>
      </c>
      <c r="L1385" s="64"/>
      <c r="M1385" s="64"/>
      <c r="N1385" s="64"/>
      <c r="O1385" s="56">
        <f>SGA_prem_2normoglycaemia_4</f>
        <v>0.78449999999999998</v>
      </c>
      <c r="P1385" s="64"/>
      <c r="Q1385" s="54" t="s">
        <v>226</v>
      </c>
      <c r="R1385" s="54"/>
      <c r="S1385" s="129"/>
      <c r="T1385" s="105"/>
      <c r="U1385" s="133">
        <f>$K$1385*$I$1374*$G$1398*$E$1436*$C$1505*$A$1460*$M$1380*$O$1385*Q1386</f>
        <v>5.8697074909072222E-5</v>
      </c>
      <c r="V1385" s="133">
        <v>5.8697074909072222E-5</v>
      </c>
      <c r="W1385" s="134">
        <f>$K$1386+$I$1375+$G$1399+$E$1437+$C$1506+$A$1461+$M$1381+$O$1386+Q1387</f>
        <v>245591.27745631372</v>
      </c>
      <c r="X1385" s="133">
        <f>u_CongnitiveImpairement</f>
        <v>17.270393127285455</v>
      </c>
      <c r="Y1385" s="133"/>
      <c r="Z1385" s="134">
        <f t="shared" si="124"/>
        <v>14.415489609867986</v>
      </c>
      <c r="AA1385" s="6">
        <f t="shared" si="123"/>
        <v>1.0137215591014004E-3</v>
      </c>
    </row>
    <row r="1386" spans="1:27" x14ac:dyDescent="0.3">
      <c r="A1386" s="41"/>
      <c r="B1386" s="41"/>
      <c r="C1386" s="41"/>
      <c r="D1386" s="41"/>
      <c r="E1386" s="41"/>
      <c r="F1386" s="41"/>
      <c r="G1386" s="41"/>
      <c r="H1386" s="64"/>
      <c r="I1386" s="64"/>
      <c r="J1386" s="64"/>
      <c r="K1386" s="57"/>
      <c r="L1386" s="64"/>
      <c r="M1386" s="64"/>
      <c r="N1386" s="64"/>
      <c r="O1386" s="57"/>
      <c r="P1386" s="64"/>
      <c r="Q1386" s="56">
        <f>noHypo2CI_4-(RDS2CLD_4*noHypo2CI_4)</f>
        <v>2.1141683406990762E-2</v>
      </c>
      <c r="R1386" s="56"/>
      <c r="S1386" s="129"/>
      <c r="T1386" s="105"/>
      <c r="U1386" s="133"/>
      <c r="V1386" s="133"/>
      <c r="W1386" s="133"/>
      <c r="X1386" s="133"/>
      <c r="Y1386" s="133"/>
      <c r="Z1386" s="134">
        <f t="shared" si="124"/>
        <v>0</v>
      </c>
      <c r="AA1386" s="6">
        <f t="shared" si="123"/>
        <v>0</v>
      </c>
    </row>
    <row r="1387" spans="1:27" x14ac:dyDescent="0.3">
      <c r="A1387" s="41"/>
      <c r="B1387" s="41"/>
      <c r="C1387" s="41"/>
      <c r="D1387" s="41"/>
      <c r="E1387" s="41"/>
      <c r="F1387" s="41"/>
      <c r="G1387" s="41"/>
      <c r="H1387" s="64"/>
      <c r="I1387" s="64"/>
      <c r="J1387" s="64"/>
      <c r="K1387" s="64"/>
      <c r="L1387" s="64"/>
      <c r="M1387" s="64"/>
      <c r="N1387" s="64"/>
      <c r="O1387" s="53"/>
      <c r="P1387" s="64"/>
      <c r="Q1387" s="57">
        <f>c_cog+c_hosp_fu+c_CSG</f>
        <v>15766</v>
      </c>
      <c r="R1387" s="57"/>
      <c r="S1387" s="129"/>
      <c r="T1387" s="105"/>
      <c r="U1387" s="133"/>
      <c r="V1387" s="133"/>
      <c r="W1387" s="133"/>
      <c r="X1387" s="133"/>
      <c r="Y1387" s="133"/>
      <c r="Z1387" s="134">
        <f t="shared" si="124"/>
        <v>0</v>
      </c>
      <c r="AA1387" s="6">
        <f t="shared" si="123"/>
        <v>0</v>
      </c>
    </row>
    <row r="1388" spans="1:27" x14ac:dyDescent="0.3">
      <c r="A1388" s="41"/>
      <c r="B1388" s="41"/>
      <c r="C1388" s="41"/>
      <c r="D1388" s="41"/>
      <c r="E1388" s="41"/>
      <c r="F1388" s="41"/>
      <c r="G1388" s="41"/>
      <c r="H1388" s="64"/>
      <c r="I1388" s="64"/>
      <c r="J1388" s="64"/>
      <c r="K1388" s="64"/>
      <c r="L1388" s="64"/>
      <c r="M1388" s="64"/>
      <c r="N1388" s="64"/>
      <c r="O1388" s="53"/>
      <c r="P1388" s="64"/>
      <c r="Q1388" s="54" t="s">
        <v>369</v>
      </c>
      <c r="R1388" s="54"/>
      <c r="S1388" s="129"/>
      <c r="T1388" s="105"/>
      <c r="U1388" s="133">
        <f>$K$1385*$I$1374*$G$1398*$E$1436*$C$1505*$A$1460*$M$1380*$O$1385*Q1389</f>
        <v>3.3160632303873344E-5</v>
      </c>
      <c r="V1388" s="133">
        <v>3.3160632303873344E-5</v>
      </c>
      <c r="W1388" s="134">
        <f>$K$1386+$I$1375+$G$1399+$E$1437+$C$1506+$A$1461+$M$1381+$O$1386+Q1390</f>
        <v>288173.78835871373</v>
      </c>
      <c r="X1388" s="133">
        <f>u_ChronicResp+u_CongnitiveImpairement</f>
        <v>17.805052694763283</v>
      </c>
      <c r="Y1388" s="133"/>
      <c r="Z1388" s="134">
        <f t="shared" si="124"/>
        <v>9.5560250353775231</v>
      </c>
      <c r="AA1388" s="6">
        <f t="shared" si="123"/>
        <v>5.9042680556213448E-4</v>
      </c>
    </row>
    <row r="1389" spans="1:27" x14ac:dyDescent="0.3">
      <c r="A1389" s="41"/>
      <c r="B1389" s="41"/>
      <c r="C1389" s="41"/>
      <c r="D1389" s="41"/>
      <c r="E1389" s="41"/>
      <c r="F1389" s="41"/>
      <c r="G1389" s="65"/>
      <c r="H1389" s="64"/>
      <c r="I1389" s="64"/>
      <c r="J1389" s="64"/>
      <c r="K1389" s="64"/>
      <c r="L1389" s="64"/>
      <c r="M1389" s="64"/>
      <c r="N1389" s="64"/>
      <c r="O1389" s="53"/>
      <c r="P1389" s="64"/>
      <c r="Q1389" s="56">
        <f>RDS2CLD_4*noHypo2CI_4</f>
        <v>1.1943893129770991E-2</v>
      </c>
      <c r="R1389" s="56"/>
      <c r="S1389" s="129"/>
      <c r="T1389" s="105"/>
      <c r="U1389" s="133"/>
      <c r="V1389" s="133"/>
      <c r="W1389" s="133"/>
      <c r="X1389" s="133"/>
      <c r="Y1389" s="133"/>
      <c r="Z1389" s="134">
        <f t="shared" si="124"/>
        <v>0</v>
      </c>
      <c r="AA1389" s="6">
        <f t="shared" si="123"/>
        <v>0</v>
      </c>
    </row>
    <row r="1390" spans="1:27" x14ac:dyDescent="0.3">
      <c r="A1390" s="41"/>
      <c r="B1390" s="41"/>
      <c r="C1390" s="41"/>
      <c r="D1390" s="41"/>
      <c r="E1390" s="41"/>
      <c r="F1390" s="41"/>
      <c r="G1390" s="65"/>
      <c r="H1390" s="64"/>
      <c r="I1390" s="64"/>
      <c r="J1390" s="64"/>
      <c r="K1390" s="64"/>
      <c r="L1390" s="64"/>
      <c r="M1390" s="64"/>
      <c r="N1390" s="64"/>
      <c r="O1390" s="53"/>
      <c r="P1390" s="64"/>
      <c r="Q1390" s="57">
        <f>c_cog+c_lung+c_hosp_fu+c_CSG</f>
        <v>58348.510902399998</v>
      </c>
      <c r="R1390" s="57"/>
      <c r="S1390" s="129"/>
      <c r="T1390" s="105"/>
      <c r="U1390" s="133"/>
      <c r="V1390" s="133"/>
      <c r="W1390" s="133"/>
      <c r="X1390" s="133"/>
      <c r="Y1390" s="133"/>
      <c r="Z1390" s="134">
        <f t="shared" si="124"/>
        <v>0</v>
      </c>
      <c r="AA1390" s="6">
        <f t="shared" si="123"/>
        <v>0</v>
      </c>
    </row>
    <row r="1391" spans="1:27" x14ac:dyDescent="0.3">
      <c r="A1391" s="41"/>
      <c r="B1391" s="41"/>
      <c r="C1391" s="41"/>
      <c r="D1391" s="41"/>
      <c r="E1391" s="41"/>
      <c r="F1391" s="41"/>
      <c r="G1391" s="64"/>
      <c r="H1391" s="64"/>
      <c r="I1391" s="64"/>
      <c r="J1391" s="64"/>
      <c r="K1391" s="64"/>
      <c r="L1391" s="64"/>
      <c r="M1391" s="64"/>
      <c r="N1391" s="64"/>
      <c r="O1391" s="53"/>
      <c r="P1391" s="64"/>
      <c r="Q1391" s="54" t="s">
        <v>370</v>
      </c>
      <c r="R1391" s="54"/>
      <c r="T1391" s="105"/>
      <c r="U1391" s="133">
        <f>$K$1385*$I$1374*$G$1398*$E$1436*$C$1505*$A$1460*$M$1380*$O$1385*Q1392</f>
        <v>1.7154015219176524E-3</v>
      </c>
      <c r="V1391" s="133">
        <v>1.7154015219176524E-3</v>
      </c>
      <c r="W1391" s="134">
        <f>$K$1386+$I$1375+$G$1399+$E$1437+$C$1506+$A$1461+$M$1381+$O$1386+Q1393</f>
        <v>244228.27745631372</v>
      </c>
      <c r="X1391" s="133">
        <f>u_Healthy</f>
        <v>0</v>
      </c>
      <c r="Y1391" s="133"/>
      <c r="Z1391" s="134">
        <f t="shared" si="124"/>
        <v>418.94955884388725</v>
      </c>
      <c r="AA1391" s="6">
        <f t="shared" si="123"/>
        <v>0</v>
      </c>
    </row>
    <row r="1392" spans="1:27" x14ac:dyDescent="0.3">
      <c r="A1392" s="41"/>
      <c r="B1392" s="41"/>
      <c r="C1392" s="41"/>
      <c r="D1392" s="41"/>
      <c r="E1392" s="41"/>
      <c r="F1392" s="41"/>
      <c r="G1392" s="64"/>
      <c r="H1392" s="64"/>
      <c r="I1392" s="64"/>
      <c r="J1392" s="64"/>
      <c r="K1392" s="64"/>
      <c r="L1392" s="64"/>
      <c r="M1392" s="64"/>
      <c r="N1392" s="64"/>
      <c r="O1392" s="53"/>
      <c r="P1392" s="64"/>
      <c r="Q1392" s="56">
        <f>1-Q1389-Q1386-Q1383</f>
        <v>0.61785831659300938</v>
      </c>
      <c r="R1392" s="56"/>
      <c r="S1392" s="129"/>
      <c r="T1392" s="105"/>
      <c r="U1392" s="133"/>
      <c r="V1392" s="133"/>
      <c r="W1392" s="133"/>
      <c r="X1392" s="133"/>
      <c r="Y1392" s="133"/>
      <c r="Z1392" s="134">
        <f t="shared" si="124"/>
        <v>0</v>
      </c>
      <c r="AA1392" s="6">
        <f t="shared" si="123"/>
        <v>0</v>
      </c>
    </row>
    <row r="1393" spans="1:27" x14ac:dyDescent="0.3">
      <c r="A1393" s="41"/>
      <c r="B1393" s="41"/>
      <c r="C1393" s="41"/>
      <c r="D1393" s="41"/>
      <c r="E1393" s="41"/>
      <c r="F1393" s="41"/>
      <c r="G1393" s="64"/>
      <c r="H1393" s="64"/>
      <c r="I1393" s="64"/>
      <c r="J1393" s="64"/>
      <c r="K1393" s="64"/>
      <c r="L1393" s="64"/>
      <c r="M1393" s="64"/>
      <c r="N1393" s="64"/>
      <c r="O1393" s="64"/>
      <c r="P1393" s="64"/>
      <c r="Q1393" s="57">
        <f>c_clinic_fu+c_CSG</f>
        <v>14403</v>
      </c>
      <c r="R1393" s="57"/>
      <c r="S1393" s="129"/>
      <c r="T1393" s="105"/>
      <c r="U1393" s="133"/>
      <c r="V1393" s="133"/>
      <c r="W1393" s="133"/>
      <c r="X1393" s="133"/>
      <c r="Y1393" s="133"/>
      <c r="Z1393" s="134">
        <f t="shared" si="124"/>
        <v>0</v>
      </c>
      <c r="AA1393" s="6">
        <f t="shared" si="123"/>
        <v>0</v>
      </c>
    </row>
    <row r="1394" spans="1:27" x14ac:dyDescent="0.3">
      <c r="A1394" s="41"/>
      <c r="B1394" s="41"/>
      <c r="C1394" s="41"/>
      <c r="D1394" s="41"/>
      <c r="E1394" s="41"/>
      <c r="F1394" s="41"/>
      <c r="G1394" s="64"/>
      <c r="H1394" s="64"/>
      <c r="I1394" s="64"/>
      <c r="J1394" s="64"/>
      <c r="K1394" s="64"/>
      <c r="L1394" s="64"/>
      <c r="M1394" s="64"/>
      <c r="N1394" s="64"/>
      <c r="O1394" s="64"/>
      <c r="P1394" s="64"/>
      <c r="Q1394" s="65"/>
      <c r="R1394" s="65"/>
      <c r="S1394" s="129"/>
      <c r="T1394" s="105"/>
      <c r="U1394" s="133"/>
      <c r="V1394" s="133"/>
      <c r="W1394" s="133"/>
      <c r="X1394" s="133"/>
      <c r="Y1394" s="133"/>
      <c r="Z1394" s="134">
        <f t="shared" si="124"/>
        <v>0</v>
      </c>
      <c r="AA1394" s="6">
        <f t="shared" si="123"/>
        <v>0</v>
      </c>
    </row>
    <row r="1395" spans="1:27" x14ac:dyDescent="0.3">
      <c r="A1395" s="41"/>
      <c r="B1395" s="41"/>
      <c r="C1395" s="41"/>
      <c r="D1395" s="41"/>
      <c r="E1395" s="41"/>
      <c r="F1395" s="41"/>
      <c r="G1395" s="64"/>
      <c r="H1395" s="64"/>
      <c r="I1395" s="64"/>
      <c r="J1395" s="64"/>
      <c r="K1395" s="64"/>
      <c r="L1395" s="64"/>
      <c r="M1395" s="64"/>
      <c r="N1395" s="64"/>
      <c r="O1395" s="64"/>
      <c r="P1395" s="64"/>
      <c r="Q1395" s="54" t="s">
        <v>368</v>
      </c>
      <c r="R1395" s="54"/>
      <c r="S1395" s="129"/>
      <c r="T1395" s="105"/>
      <c r="U1395" s="133">
        <f>$K$1385*$I$1374*$G$1398*$E$1436*$C$1505*$A$1460*$M$1400*$O$1398*Q1396</f>
        <v>3.1922892796716319E-4</v>
      </c>
      <c r="V1395" s="133">
        <v>3.1922892796716319E-4</v>
      </c>
      <c r="W1395" s="134">
        <f>$K$1386+$I$1375+$G$1399+$E$1437+$C$1506+$A$1461+$M$1401+$O$1399+Q1397</f>
        <v>256695.43861050811</v>
      </c>
      <c r="X1395" s="133">
        <f>u_ChronicResp</f>
        <v>0.53465956747782661</v>
      </c>
      <c r="Y1395" s="133"/>
      <c r="Z1395" s="134">
        <f t="shared" si="124"/>
        <v>81.944609681693251</v>
      </c>
      <c r="AA1395" s="6">
        <f t="shared" si="123"/>
        <v>1.7067880055333373E-4</v>
      </c>
    </row>
    <row r="1396" spans="1:27" x14ac:dyDescent="0.3">
      <c r="A1396" s="41"/>
      <c r="B1396" s="41"/>
      <c r="C1396" s="41"/>
      <c r="D1396" s="41"/>
      <c r="E1396" s="41"/>
      <c r="F1396" s="41"/>
      <c r="G1396" s="64"/>
      <c r="H1396" s="64"/>
      <c r="I1396" s="64"/>
      <c r="J1396" s="64"/>
      <c r="K1396" s="64"/>
      <c r="L1396" s="64"/>
      <c r="M1396" s="64"/>
      <c r="N1396" s="64"/>
      <c r="O1396" s="64"/>
      <c r="P1396" s="64"/>
      <c r="Q1396" s="56">
        <f>RDS2CLD_4-(Hypo2CI_4*RDS2CLD_4)</f>
        <v>0.34246866666666664</v>
      </c>
      <c r="R1396" s="56"/>
      <c r="S1396" s="129"/>
      <c r="T1396" s="105"/>
      <c r="U1396" s="133"/>
      <c r="V1396" s="133"/>
      <c r="W1396" s="133"/>
      <c r="X1396" s="133"/>
      <c r="Y1396" s="133"/>
      <c r="Z1396" s="134">
        <f t="shared" si="124"/>
        <v>0</v>
      </c>
      <c r="AA1396" s="6">
        <f t="shared" si="123"/>
        <v>0</v>
      </c>
    </row>
    <row r="1397" spans="1:27" x14ac:dyDescent="0.3">
      <c r="A1397" s="41"/>
      <c r="B1397" s="41"/>
      <c r="C1397" s="41"/>
      <c r="D1397" s="41"/>
      <c r="E1397" s="41"/>
      <c r="F1397" s="41"/>
      <c r="G1397" s="54" t="s">
        <v>8</v>
      </c>
      <c r="H1397" s="64"/>
      <c r="I1397" s="64"/>
      <c r="J1397" s="64"/>
      <c r="K1397" s="64"/>
      <c r="L1397" s="64"/>
      <c r="M1397" s="64"/>
      <c r="N1397" s="64"/>
      <c r="O1397" s="54" t="s">
        <v>161</v>
      </c>
      <c r="P1397" s="64"/>
      <c r="Q1397" s="57">
        <f>c_lung+c_hosp_fu+c_CSG</f>
        <v>54529.510902399998</v>
      </c>
      <c r="R1397" s="57"/>
      <c r="S1397" s="129"/>
      <c r="T1397" s="105"/>
      <c r="U1397" s="133"/>
      <c r="V1397" s="133"/>
      <c r="W1397" s="133"/>
      <c r="X1397" s="133"/>
      <c r="Y1397" s="133"/>
      <c r="Z1397" s="134">
        <f t="shared" si="124"/>
        <v>0</v>
      </c>
      <c r="AA1397" s="6">
        <f t="shared" si="123"/>
        <v>0</v>
      </c>
    </row>
    <row r="1398" spans="1:27" x14ac:dyDescent="0.3">
      <c r="A1398" s="41"/>
      <c r="B1398" s="41"/>
      <c r="C1398" s="41"/>
      <c r="D1398" s="41"/>
      <c r="E1398" s="41"/>
      <c r="F1398" s="41"/>
      <c r="G1398" s="56">
        <f>Prem2LBW_4</f>
        <v>0.68135593220338986</v>
      </c>
      <c r="H1398" s="64"/>
      <c r="I1398" s="64"/>
      <c r="J1398" s="64"/>
      <c r="K1398" s="64"/>
      <c r="L1398" s="64"/>
      <c r="M1398" s="64"/>
      <c r="N1398" s="64"/>
      <c r="O1398" s="56">
        <f>SGA_prem_2hypoglycaemia_4</f>
        <v>0.2155</v>
      </c>
      <c r="P1398" s="64"/>
      <c r="Q1398" s="54" t="s">
        <v>226</v>
      </c>
      <c r="R1398" s="54"/>
      <c r="S1398" s="129"/>
      <c r="T1398" s="105"/>
      <c r="U1398" s="133">
        <f>$K$1385*$I$1374*$G$1398*$E$1436*$C$1505*$A$1460*$M$1400*$O$1398*Q1399</f>
        <v>3.0576074001452847E-5</v>
      </c>
      <c r="V1398" s="133">
        <v>3.0576074001452847E-5</v>
      </c>
      <c r="W1398" s="134">
        <f>$K$1386+$I$1375+$G$1399+$E$1437+$C$1506+$A$1461+$M$1401+$O$1399+Q1400</f>
        <v>217931.92770810809</v>
      </c>
      <c r="X1398" s="133">
        <f>u_CongnitiveImpairement</f>
        <v>17.270393127285455</v>
      </c>
      <c r="Y1398" s="133"/>
      <c r="Z1398" s="134">
        <f t="shared" si="124"/>
        <v>6.6635027488823848</v>
      </c>
      <c r="AA1398" s="6">
        <f t="shared" si="123"/>
        <v>5.2806081829406273E-4</v>
      </c>
    </row>
    <row r="1399" spans="1:27" x14ac:dyDescent="0.3">
      <c r="A1399" s="41"/>
      <c r="B1399" s="41"/>
      <c r="C1399" s="41"/>
      <c r="D1399" s="41"/>
      <c r="E1399" s="41"/>
      <c r="F1399" s="41"/>
      <c r="G1399" s="57">
        <f>c_LBW</f>
        <v>198651.76559999998</v>
      </c>
      <c r="H1399" s="64"/>
      <c r="I1399" s="64"/>
      <c r="J1399" s="64"/>
      <c r="K1399" s="64"/>
      <c r="L1399" s="64"/>
      <c r="M1399" s="54" t="s">
        <v>203</v>
      </c>
      <c r="N1399" s="64"/>
      <c r="O1399" s="57">
        <f>c_hypo</f>
        <v>2936.2604000000001</v>
      </c>
      <c r="P1399" s="64"/>
      <c r="Q1399" s="56">
        <f>Hypo2CI_4-(Hypo2CI_4*RDS2CLD_4)</f>
        <v>3.2801999999999998E-2</v>
      </c>
      <c r="R1399" s="56"/>
      <c r="S1399" s="129"/>
      <c r="T1399" s="105"/>
      <c r="U1399" s="133"/>
      <c r="V1399" s="133"/>
      <c r="W1399" s="133"/>
      <c r="X1399" s="133"/>
      <c r="Y1399" s="133"/>
      <c r="Z1399" s="134">
        <f t="shared" si="124"/>
        <v>0</v>
      </c>
      <c r="AA1399" s="6">
        <f t="shared" si="123"/>
        <v>0</v>
      </c>
    </row>
    <row r="1400" spans="1:27" x14ac:dyDescent="0.3">
      <c r="A1400" s="41"/>
      <c r="B1400" s="41"/>
      <c r="C1400" s="41"/>
      <c r="D1400" s="41"/>
      <c r="E1400" s="41"/>
      <c r="F1400" s="41"/>
      <c r="G1400" s="64"/>
      <c r="H1400" s="64"/>
      <c r="I1400" s="64"/>
      <c r="J1400" s="64"/>
      <c r="K1400" s="64"/>
      <c r="L1400" s="64"/>
      <c r="M1400" s="56">
        <f>S_prem_2noRDS_4</f>
        <v>0.55000000000000004</v>
      </c>
      <c r="N1400" s="64"/>
      <c r="O1400" s="53"/>
      <c r="P1400" s="64"/>
      <c r="Q1400" s="57">
        <f>c_cog+c_hosp_fu+c_CSG</f>
        <v>15766</v>
      </c>
      <c r="R1400" s="57"/>
      <c r="S1400" s="129"/>
      <c r="T1400" s="105"/>
      <c r="U1400" s="133"/>
      <c r="V1400" s="133"/>
      <c r="W1400" s="133"/>
      <c r="X1400" s="133"/>
      <c r="Y1400" s="133"/>
      <c r="Z1400" s="134">
        <f t="shared" si="124"/>
        <v>0</v>
      </c>
      <c r="AA1400" s="6">
        <f t="shared" si="123"/>
        <v>0</v>
      </c>
    </row>
    <row r="1401" spans="1:27" x14ac:dyDescent="0.3">
      <c r="A1401" s="41"/>
      <c r="B1401" s="41"/>
      <c r="C1401" s="41"/>
      <c r="D1401" s="41"/>
      <c r="E1401" s="41"/>
      <c r="F1401" s="41"/>
      <c r="G1401" s="64"/>
      <c r="H1401" s="64"/>
      <c r="I1401" s="64"/>
      <c r="J1401" s="64"/>
      <c r="K1401" s="64"/>
      <c r="L1401" s="64"/>
      <c r="M1401" s="57"/>
      <c r="N1401" s="64"/>
      <c r="O1401" s="65"/>
      <c r="P1401" s="64"/>
      <c r="Q1401" s="54" t="s">
        <v>369</v>
      </c>
      <c r="R1401" s="54"/>
      <c r="S1401" s="129"/>
      <c r="T1401" s="105"/>
      <c r="U1401" s="133">
        <f>$K$1385*$I$1374*$G$1398*$E$1436*$C$1505*$A$1460*$M$1400*$O$1398*Q1402</f>
        <v>1.7273807064983534E-5</v>
      </c>
      <c r="V1401" s="133">
        <v>1.7273807064983534E-5</v>
      </c>
      <c r="W1401" s="134">
        <f>$K$1386+$I$1375+$G$1399+$E$1437+$C$1506+$A$1461+$M$1401+$O$1399+Q1403</f>
        <v>260514.43861050811</v>
      </c>
      <c r="X1401" s="133">
        <f>u_ChronicResp+u_CongnitiveImpairement</f>
        <v>17.805052694763283</v>
      </c>
      <c r="Y1401" s="133"/>
      <c r="Z1401" s="134">
        <f t="shared" si="124"/>
        <v>4.5000761502004138</v>
      </c>
      <c r="AA1401" s="6">
        <f t="shared" si="123"/>
        <v>3.0756104503120612E-4</v>
      </c>
    </row>
    <row r="1402" spans="1:27" x14ac:dyDescent="0.3">
      <c r="A1402" s="41"/>
      <c r="B1402" s="41"/>
      <c r="C1402" s="41"/>
      <c r="D1402" s="41"/>
      <c r="E1402" s="41"/>
      <c r="F1402" s="41"/>
      <c r="G1402" s="64"/>
      <c r="H1402" s="64"/>
      <c r="I1402" s="64"/>
      <c r="J1402" s="64"/>
      <c r="K1402" s="64"/>
      <c r="L1402" s="64"/>
      <c r="M1402" s="65"/>
      <c r="N1402" s="64"/>
      <c r="O1402" s="41"/>
      <c r="P1402" s="64"/>
      <c r="Q1402" s="56">
        <f>Hypo2CI_4*RDS2CLD_4</f>
        <v>1.8531333333333334E-2</v>
      </c>
      <c r="R1402" s="56"/>
      <c r="S1402" s="129"/>
      <c r="T1402" s="105"/>
      <c r="U1402" s="133"/>
      <c r="V1402" s="133"/>
      <c r="W1402" s="133"/>
      <c r="X1402" s="133"/>
      <c r="Y1402" s="133"/>
      <c r="Z1402" s="134">
        <f t="shared" si="124"/>
        <v>0</v>
      </c>
      <c r="AA1402" s="6">
        <f t="shared" si="123"/>
        <v>0</v>
      </c>
    </row>
    <row r="1403" spans="1:27" x14ac:dyDescent="0.3">
      <c r="A1403" s="41"/>
      <c r="B1403" s="41"/>
      <c r="C1403" s="41"/>
      <c r="D1403" s="41"/>
      <c r="E1403" s="41"/>
      <c r="F1403" s="41"/>
      <c r="G1403" s="64"/>
      <c r="H1403" s="64"/>
      <c r="I1403" s="64"/>
      <c r="J1403" s="64"/>
      <c r="K1403" s="64"/>
      <c r="L1403" s="64"/>
      <c r="M1403" s="65"/>
      <c r="N1403" s="64"/>
      <c r="O1403" s="41"/>
      <c r="P1403" s="64"/>
      <c r="Q1403" s="57">
        <f>c_lung+c_cog+c_hosp_fu+c_CSG</f>
        <v>58348.510902399998</v>
      </c>
      <c r="R1403" s="57"/>
      <c r="S1403" s="129"/>
      <c r="T1403" s="105"/>
      <c r="U1403" s="133"/>
      <c r="V1403" s="133"/>
      <c r="W1403" s="133"/>
      <c r="X1403" s="133"/>
      <c r="Y1403" s="133"/>
      <c r="Z1403" s="134">
        <f t="shared" si="124"/>
        <v>0</v>
      </c>
      <c r="AA1403" s="6">
        <f t="shared" si="123"/>
        <v>0</v>
      </c>
    </row>
    <row r="1404" spans="1:27" x14ac:dyDescent="0.3">
      <c r="A1404" s="41"/>
      <c r="B1404" s="41"/>
      <c r="C1404" s="41"/>
      <c r="D1404" s="41"/>
      <c r="E1404" s="41"/>
      <c r="F1404" s="41"/>
      <c r="G1404" s="64"/>
      <c r="H1404" s="64"/>
      <c r="I1404" s="64"/>
      <c r="J1404" s="64"/>
      <c r="K1404" s="64"/>
      <c r="L1404" s="64"/>
      <c r="M1404" s="65"/>
      <c r="N1404" s="64"/>
      <c r="O1404" s="41"/>
      <c r="P1404" s="64"/>
      <c r="Q1404" s="54" t="s">
        <v>370</v>
      </c>
      <c r="R1404" s="54"/>
      <c r="T1404" s="105"/>
      <c r="U1404" s="133">
        <f>$K$1385*$I$1374*$G$1398*$E$1436*$C$1505*$A$1460*$M$1400*$O$1398*Q1405</f>
        <v>5.6506173122165457E-4</v>
      </c>
      <c r="V1404" s="133">
        <v>5.6506173122165457E-4</v>
      </c>
      <c r="W1404" s="134">
        <f>$K$1386+$I$1375+$G$1399+$E$1437+$C$1506+$A$1461+$M$1401+$O$1399+Q1406</f>
        <v>216568.92770810809</v>
      </c>
      <c r="X1404" s="133">
        <f>u_Healthy</f>
        <v>0</v>
      </c>
      <c r="Y1404" s="133"/>
      <c r="Z1404" s="134">
        <f t="shared" si="124"/>
        <v>122.37481321956092</v>
      </c>
      <c r="AA1404" s="6">
        <f t="shared" si="123"/>
        <v>0</v>
      </c>
    </row>
    <row r="1405" spans="1:27" x14ac:dyDescent="0.3">
      <c r="A1405" s="41"/>
      <c r="B1405" s="41"/>
      <c r="C1405" s="41"/>
      <c r="D1405" s="41"/>
      <c r="E1405" s="41"/>
      <c r="F1405" s="41"/>
      <c r="G1405" s="64"/>
      <c r="H1405" s="64"/>
      <c r="I1405" s="64"/>
      <c r="J1405" s="64"/>
      <c r="K1405" s="64"/>
      <c r="L1405" s="64"/>
      <c r="M1405" s="65"/>
      <c r="N1405" s="64"/>
      <c r="O1405" s="65"/>
      <c r="P1405" s="64"/>
      <c r="Q1405" s="56">
        <f>1-Q1396-Q1399-Q1402</f>
        <v>0.60619800000000001</v>
      </c>
      <c r="R1405" s="56"/>
      <c r="S1405" s="129"/>
      <c r="T1405" s="105"/>
      <c r="U1405" s="133"/>
      <c r="V1405" s="133"/>
      <c r="W1405" s="133"/>
      <c r="X1405" s="133"/>
      <c r="Y1405" s="133"/>
      <c r="Z1405" s="134">
        <f t="shared" si="124"/>
        <v>0</v>
      </c>
      <c r="AA1405" s="6">
        <f t="shared" si="123"/>
        <v>0</v>
      </c>
    </row>
    <row r="1406" spans="1:27" x14ac:dyDescent="0.3">
      <c r="A1406" s="41"/>
      <c r="B1406" s="41"/>
      <c r="C1406" s="41"/>
      <c r="D1406" s="41"/>
      <c r="E1406" s="41"/>
      <c r="F1406" s="41"/>
      <c r="G1406" s="64"/>
      <c r="H1406" s="64"/>
      <c r="I1406" s="64"/>
      <c r="J1406" s="64"/>
      <c r="K1406" s="64"/>
      <c r="L1406" s="64"/>
      <c r="M1406" s="65"/>
      <c r="N1406" s="64"/>
      <c r="O1406" s="64"/>
      <c r="P1406" s="64"/>
      <c r="Q1406" s="57">
        <f>c_clinic_fu+c_CSG</f>
        <v>14403</v>
      </c>
      <c r="R1406" s="57"/>
      <c r="S1406" s="130"/>
      <c r="T1406" s="105"/>
      <c r="U1406" s="133"/>
      <c r="V1406" s="133"/>
      <c r="W1406" s="133"/>
      <c r="X1406" s="133"/>
      <c r="Y1406" s="133"/>
      <c r="Z1406" s="134">
        <f t="shared" si="124"/>
        <v>0</v>
      </c>
      <c r="AA1406" s="6">
        <f t="shared" si="123"/>
        <v>0</v>
      </c>
    </row>
    <row r="1407" spans="1:27" x14ac:dyDescent="0.3">
      <c r="A1407" s="41"/>
      <c r="B1407" s="41"/>
      <c r="C1407" s="41"/>
      <c r="D1407" s="41"/>
      <c r="E1407" s="41"/>
      <c r="F1407" s="41"/>
      <c r="G1407" s="64"/>
      <c r="H1407" s="64"/>
      <c r="I1407" s="64"/>
      <c r="J1407" s="64"/>
      <c r="K1407" s="64"/>
      <c r="L1407" s="64"/>
      <c r="M1407" s="65"/>
      <c r="N1407" s="64"/>
      <c r="O1407" s="64"/>
      <c r="P1407" s="64"/>
      <c r="Q1407" s="65"/>
      <c r="R1407" s="65"/>
      <c r="S1407" s="129"/>
      <c r="T1407" s="105"/>
      <c r="U1407" s="133"/>
      <c r="V1407" s="133"/>
      <c r="W1407" s="133"/>
      <c r="X1407" s="133"/>
      <c r="Y1407" s="133"/>
      <c r="Z1407" s="134">
        <f t="shared" si="124"/>
        <v>0</v>
      </c>
      <c r="AA1407" s="6">
        <f t="shared" si="123"/>
        <v>0</v>
      </c>
    </row>
    <row r="1408" spans="1:27" x14ac:dyDescent="0.3">
      <c r="A1408" s="41"/>
      <c r="B1408" s="41"/>
      <c r="C1408" s="41"/>
      <c r="D1408" s="41"/>
      <c r="E1408" s="41"/>
      <c r="F1408" s="41"/>
      <c r="G1408" s="64"/>
      <c r="H1408" s="64"/>
      <c r="I1408" s="64"/>
      <c r="J1408" s="64"/>
      <c r="K1408" s="64"/>
      <c r="L1408" s="64"/>
      <c r="M1408" s="65"/>
      <c r="N1408" s="64"/>
      <c r="O1408" s="64"/>
      <c r="P1408" s="64"/>
      <c r="Q1408" s="54" t="s">
        <v>368</v>
      </c>
      <c r="R1408" s="54"/>
      <c r="S1408" s="129"/>
      <c r="T1408" s="105"/>
      <c r="U1408" s="133">
        <f>$K$1385*$I$1374*$G$1398*$E$1436*$C$1505*$A$1460*$M$1400*$O$1412*Q1409</f>
        <v>1.1844652136211086E-3</v>
      </c>
      <c r="V1408" s="133">
        <v>1.1844652136211086E-3</v>
      </c>
      <c r="W1408" s="134">
        <f>$K$1386+$I$1375+$G$1399+$E$1437+$C$1506+$A$1461+$M$1401+$O$1413+Q1410</f>
        <v>253759.17821050808</v>
      </c>
      <c r="X1408" s="133">
        <f>u_ChronicResp</f>
        <v>0.53465956747782661</v>
      </c>
      <c r="Y1408" s="133"/>
      <c r="Z1408" s="134">
        <f t="shared" si="124"/>
        <v>300.56891922742642</v>
      </c>
      <c r="AA1408" s="6">
        <f t="shared" si="123"/>
        <v>6.332856588071934E-4</v>
      </c>
    </row>
    <row r="1409" spans="1:27" x14ac:dyDescent="0.3">
      <c r="A1409" s="41"/>
      <c r="B1409" s="41"/>
      <c r="C1409" s="41"/>
      <c r="D1409" s="41"/>
      <c r="E1409" s="41"/>
      <c r="F1409" s="41"/>
      <c r="G1409" s="64"/>
      <c r="H1409" s="64"/>
      <c r="I1409" s="64"/>
      <c r="J1409" s="64"/>
      <c r="K1409" s="64"/>
      <c r="L1409" s="64"/>
      <c r="M1409" s="65"/>
      <c r="N1409" s="64"/>
      <c r="O1409" s="64"/>
      <c r="P1409" s="64"/>
      <c r="Q1409" s="56">
        <f>RDS2CLD_4-(RDS2CLD_4*noHypo2CI_4)</f>
        <v>0.34905610687022898</v>
      </c>
      <c r="R1409" s="56"/>
      <c r="S1409" s="129"/>
      <c r="T1409" s="105"/>
      <c r="U1409" s="133"/>
      <c r="V1409" s="133"/>
      <c r="W1409" s="133"/>
      <c r="X1409" s="133"/>
      <c r="Y1409" s="133"/>
      <c r="Z1409" s="134">
        <f t="shared" si="124"/>
        <v>0</v>
      </c>
      <c r="AA1409" s="6">
        <f t="shared" si="123"/>
        <v>0</v>
      </c>
    </row>
    <row r="1410" spans="1:27" x14ac:dyDescent="0.3">
      <c r="A1410" s="41"/>
      <c r="B1410" s="41"/>
      <c r="C1410" s="41"/>
      <c r="D1410" s="41"/>
      <c r="E1410" s="41"/>
      <c r="F1410" s="41"/>
      <c r="G1410" s="64"/>
      <c r="H1410" s="64"/>
      <c r="I1410" s="64"/>
      <c r="J1410" s="64"/>
      <c r="K1410" s="64"/>
      <c r="L1410" s="64"/>
      <c r="M1410" s="65"/>
      <c r="N1410" s="64"/>
      <c r="O1410" s="64"/>
      <c r="P1410" s="64"/>
      <c r="Q1410" s="57">
        <f>c_lung+c_hosp_fu+c_CSG</f>
        <v>54529.510902399998</v>
      </c>
      <c r="R1410" s="57"/>
      <c r="S1410" s="129"/>
      <c r="T1410" s="105"/>
      <c r="U1410" s="133"/>
      <c r="V1410" s="133"/>
      <c r="W1410" s="133"/>
      <c r="X1410" s="133"/>
      <c r="Y1410" s="133"/>
      <c r="Z1410" s="134">
        <f t="shared" si="124"/>
        <v>0</v>
      </c>
      <c r="AA1410" s="6">
        <f t="shared" si="123"/>
        <v>0</v>
      </c>
    </row>
    <row r="1411" spans="1:27" x14ac:dyDescent="0.3">
      <c r="A1411" s="41"/>
      <c r="B1411" s="41"/>
      <c r="C1411" s="41"/>
      <c r="D1411" s="41"/>
      <c r="E1411" s="41"/>
      <c r="F1411" s="41"/>
      <c r="G1411" s="64"/>
      <c r="H1411" s="64"/>
      <c r="I1411" s="64"/>
      <c r="J1411" s="64"/>
      <c r="K1411" s="64"/>
      <c r="L1411" s="64"/>
      <c r="M1411" s="65"/>
      <c r="N1411" s="64"/>
      <c r="O1411" s="54" t="s">
        <v>371</v>
      </c>
      <c r="P1411" s="64"/>
      <c r="Q1411" s="54" t="s">
        <v>226</v>
      </c>
      <c r="R1411" s="54"/>
      <c r="S1411" s="129"/>
      <c r="T1411" s="105"/>
      <c r="U1411" s="133">
        <f>$K$1385*$I$1374*$G$1398*$E$1436*$C$1505*$A$1460*$M$1400*$O$1412*Q1412</f>
        <v>7.1740869333310485E-5</v>
      </c>
      <c r="V1411" s="133">
        <v>7.1740869333310485E-5</v>
      </c>
      <c r="W1411" s="134">
        <f>$K$1386+$I$1375+$G$1399+$E$1437+$C$1506+$A$1461+$M$1401+$O$1413+Q1413</f>
        <v>214995.6673081081</v>
      </c>
      <c r="X1411" s="133">
        <f>u_CongnitiveImpairement</f>
        <v>17.270393127285455</v>
      </c>
      <c r="Y1411" s="133"/>
      <c r="Z1411" s="134">
        <f t="shared" si="124"/>
        <v>15.423976075578876</v>
      </c>
      <c r="AA1411" s="6">
        <f t="shared" si="123"/>
        <v>1.2389930166794893E-3</v>
      </c>
    </row>
    <row r="1412" spans="1:27" x14ac:dyDescent="0.3">
      <c r="A1412" s="41"/>
      <c r="B1412" s="41"/>
      <c r="C1412" s="41"/>
      <c r="D1412" s="41"/>
      <c r="E1412" s="41"/>
      <c r="F1412" s="41"/>
      <c r="G1412" s="64"/>
      <c r="H1412" s="64"/>
      <c r="I1412" s="64"/>
      <c r="J1412" s="64"/>
      <c r="K1412" s="64"/>
      <c r="L1412" s="64"/>
      <c r="M1412" s="65"/>
      <c r="N1412" s="64"/>
      <c r="O1412" s="56">
        <f>SGA_prem_2normoglycaemia_4</f>
        <v>0.78449999999999998</v>
      </c>
      <c r="P1412" s="64"/>
      <c r="Q1412" s="56">
        <f>noHypo2CI_4-(RDS2CLD_4*noHypo2CI_4)</f>
        <v>2.1141683406990762E-2</v>
      </c>
      <c r="R1412" s="56"/>
      <c r="S1412" s="129"/>
      <c r="T1412" s="105"/>
      <c r="U1412" s="133"/>
      <c r="V1412" s="133"/>
      <c r="W1412" s="133"/>
      <c r="X1412" s="133"/>
      <c r="Y1412" s="133"/>
      <c r="Z1412" s="134">
        <f t="shared" si="124"/>
        <v>0</v>
      </c>
      <c r="AA1412" s="6">
        <f t="shared" si="123"/>
        <v>0</v>
      </c>
    </row>
    <row r="1413" spans="1:27" x14ac:dyDescent="0.3">
      <c r="A1413" s="41"/>
      <c r="B1413" s="41"/>
      <c r="C1413" s="41"/>
      <c r="D1413" s="41"/>
      <c r="E1413" s="41"/>
      <c r="F1413" s="41"/>
      <c r="G1413" s="64"/>
      <c r="H1413" s="64"/>
      <c r="I1413" s="64"/>
      <c r="J1413" s="64"/>
      <c r="K1413" s="64"/>
      <c r="L1413" s="64"/>
      <c r="M1413" s="65"/>
      <c r="N1413" s="64"/>
      <c r="O1413" s="57"/>
      <c r="P1413" s="64"/>
      <c r="Q1413" s="57">
        <f>c_cog+c_hosp_fu+c_CSG</f>
        <v>15766</v>
      </c>
      <c r="R1413" s="57"/>
      <c r="S1413" s="129"/>
      <c r="T1413" s="105"/>
      <c r="U1413" s="133"/>
      <c r="V1413" s="133"/>
      <c r="W1413" s="133"/>
      <c r="X1413" s="133"/>
      <c r="Y1413" s="133"/>
      <c r="Z1413" s="134">
        <f t="shared" si="124"/>
        <v>0</v>
      </c>
      <c r="AA1413" s="6">
        <f t="shared" si="123"/>
        <v>0</v>
      </c>
    </row>
    <row r="1414" spans="1:27" x14ac:dyDescent="0.3">
      <c r="A1414" s="41"/>
      <c r="B1414" s="41"/>
      <c r="C1414" s="41"/>
      <c r="D1414" s="41"/>
      <c r="E1414" s="41"/>
      <c r="F1414" s="41"/>
      <c r="G1414" s="64"/>
      <c r="H1414" s="64"/>
      <c r="I1414" s="64"/>
      <c r="J1414" s="64"/>
      <c r="K1414" s="64"/>
      <c r="L1414" s="64"/>
      <c r="M1414" s="65"/>
      <c r="N1414" s="64"/>
      <c r="O1414" s="64"/>
      <c r="P1414" s="64"/>
      <c r="Q1414" s="54" t="s">
        <v>369</v>
      </c>
      <c r="R1414" s="54"/>
      <c r="S1414" s="129"/>
      <c r="T1414" s="105"/>
      <c r="U1414" s="133">
        <f>$K$1385*$I$1374*$G$1398*$E$1436*$C$1505*$A$1460*$M$1400*$O$1412*Q1415</f>
        <v>4.0529661704734088E-5</v>
      </c>
      <c r="V1414" s="133">
        <v>4.0529661704734088E-5</v>
      </c>
      <c r="W1414" s="134">
        <f>$K$1386+$I$1375+$G$1399+$E$1437+$C$1506+$A$1461+$M$1401+$O$1413+Q1416</f>
        <v>257578.17821050808</v>
      </c>
      <c r="X1414" s="133">
        <f>u_ChronicResp+u_CongnitiveImpairement</f>
        <v>17.805052694763283</v>
      </c>
      <c r="Y1414" s="133"/>
      <c r="Z1414" s="134">
        <f t="shared" si="124"/>
        <v>10.439556425393601</v>
      </c>
      <c r="AA1414" s="6">
        <f t="shared" si="123"/>
        <v>7.2163276235371991E-4</v>
      </c>
    </row>
    <row r="1415" spans="1:27" x14ac:dyDescent="0.3">
      <c r="A1415" s="41"/>
      <c r="B1415" s="41"/>
      <c r="C1415" s="41"/>
      <c r="D1415" s="41"/>
      <c r="E1415" s="41"/>
      <c r="F1415" s="41"/>
      <c r="G1415" s="64"/>
      <c r="H1415" s="64"/>
      <c r="I1415" s="64"/>
      <c r="J1415" s="64"/>
      <c r="K1415" s="64"/>
      <c r="L1415" s="64"/>
      <c r="M1415" s="65"/>
      <c r="N1415" s="64"/>
      <c r="O1415" s="64"/>
      <c r="P1415" s="64"/>
      <c r="Q1415" s="56">
        <f>RDS2CLD_4*noHypo2CI_4</f>
        <v>1.1943893129770991E-2</v>
      </c>
      <c r="R1415" s="56"/>
      <c r="S1415" s="129"/>
      <c r="T1415" s="105"/>
      <c r="U1415" s="133"/>
      <c r="V1415" s="133"/>
      <c r="W1415" s="133"/>
      <c r="X1415" s="133"/>
      <c r="Y1415" s="133"/>
      <c r="Z1415" s="134">
        <f t="shared" si="124"/>
        <v>0</v>
      </c>
      <c r="AA1415" s="6">
        <f t="shared" si="123"/>
        <v>0</v>
      </c>
    </row>
    <row r="1416" spans="1:27" x14ac:dyDescent="0.3">
      <c r="A1416" s="41"/>
      <c r="B1416" s="41"/>
      <c r="C1416" s="41"/>
      <c r="D1416" s="41"/>
      <c r="E1416" s="41"/>
      <c r="F1416" s="41"/>
      <c r="G1416" s="64"/>
      <c r="H1416" s="64"/>
      <c r="I1416" s="64"/>
      <c r="J1416" s="64"/>
      <c r="K1416" s="64"/>
      <c r="L1416" s="64"/>
      <c r="M1416" s="65"/>
      <c r="N1416" s="64"/>
      <c r="O1416" s="64"/>
      <c r="P1416" s="64"/>
      <c r="Q1416" s="57">
        <f>c_cog+c_lung+c_hosp_fu+c_CSG</f>
        <v>58348.510902399998</v>
      </c>
      <c r="R1416" s="57"/>
      <c r="S1416" s="129"/>
      <c r="T1416" s="105"/>
      <c r="U1416" s="133"/>
      <c r="V1416" s="133"/>
      <c r="W1416" s="133"/>
      <c r="X1416" s="133"/>
      <c r="Y1416" s="133"/>
      <c r="Z1416" s="134">
        <f t="shared" si="124"/>
        <v>0</v>
      </c>
      <c r="AA1416" s="6">
        <f t="shared" si="123"/>
        <v>0</v>
      </c>
    </row>
    <row r="1417" spans="1:27" x14ac:dyDescent="0.3">
      <c r="A1417" s="41"/>
      <c r="B1417" s="41"/>
      <c r="C1417" s="41"/>
      <c r="D1417" s="41"/>
      <c r="E1417" s="41"/>
      <c r="F1417" s="41"/>
      <c r="G1417" s="64"/>
      <c r="H1417" s="64"/>
      <c r="I1417" s="64"/>
      <c r="J1417" s="64"/>
      <c r="K1417" s="64"/>
      <c r="L1417" s="64"/>
      <c r="M1417" s="65"/>
      <c r="N1417" s="64"/>
      <c r="O1417" s="64"/>
      <c r="P1417" s="64"/>
      <c r="Q1417" s="54" t="s">
        <v>370</v>
      </c>
      <c r="R1417" s="54"/>
      <c r="T1417" s="105"/>
      <c r="U1417" s="133">
        <f>$K$1385*$I$1374*$G$1398*$E$1436*$C$1505*$A$1460*$M$1400*$O$1412*Q1418</f>
        <v>2.0966018601215751E-3</v>
      </c>
      <c r="V1417" s="133">
        <v>2.0966018601215751E-3</v>
      </c>
      <c r="W1417" s="134">
        <f>$K$1386+$I$1375+$G$1399+$E$1437+$C$1506+$A$1461+$M$1401+$O$1413+Q1419</f>
        <v>213632.6673081081</v>
      </c>
      <c r="X1417" s="133">
        <f>u_Healthy</f>
        <v>0</v>
      </c>
      <c r="Y1417" s="133"/>
      <c r="Z1417" s="134">
        <f t="shared" si="124"/>
        <v>447.90264766091303</v>
      </c>
      <c r="AA1417" s="6">
        <f t="shared" si="123"/>
        <v>0</v>
      </c>
    </row>
    <row r="1418" spans="1:27" x14ac:dyDescent="0.3">
      <c r="A1418" s="41"/>
      <c r="B1418" s="41"/>
      <c r="C1418" s="41"/>
      <c r="D1418" s="41"/>
      <c r="E1418" s="41"/>
      <c r="F1418" s="41"/>
      <c r="G1418" s="64"/>
      <c r="H1418" s="64"/>
      <c r="I1418" s="64"/>
      <c r="J1418" s="64"/>
      <c r="K1418" s="64"/>
      <c r="L1418" s="64"/>
      <c r="M1418" s="65"/>
      <c r="N1418" s="64"/>
      <c r="O1418" s="64"/>
      <c r="P1418" s="64"/>
      <c r="Q1418" s="56">
        <f>1-Q1415-Q1412-Q1409</f>
        <v>0.61785831659300938</v>
      </c>
      <c r="R1418" s="56"/>
      <c r="S1418" s="129"/>
      <c r="T1418" s="105"/>
      <c r="U1418" s="133"/>
      <c r="V1418" s="133"/>
      <c r="W1418" s="133"/>
      <c r="X1418" s="133"/>
      <c r="Y1418" s="133"/>
      <c r="Z1418" s="134">
        <f t="shared" si="124"/>
        <v>0</v>
      </c>
      <c r="AA1418" s="6">
        <f t="shared" si="123"/>
        <v>0</v>
      </c>
    </row>
    <row r="1419" spans="1:27" x14ac:dyDescent="0.3">
      <c r="A1419" s="41"/>
      <c r="B1419" s="41"/>
      <c r="C1419" s="41"/>
      <c r="D1419" s="41"/>
      <c r="E1419" s="41"/>
      <c r="F1419" s="41"/>
      <c r="G1419" s="64"/>
      <c r="H1419" s="64"/>
      <c r="I1419" s="64"/>
      <c r="J1419" s="64"/>
      <c r="K1419" s="64"/>
      <c r="L1419" s="64"/>
      <c r="M1419" s="65"/>
      <c r="N1419" s="64"/>
      <c r="O1419" s="64"/>
      <c r="P1419" s="64"/>
      <c r="Q1419" s="57">
        <f>c_clinic_fu+c_CSG</f>
        <v>14403</v>
      </c>
      <c r="R1419" s="57"/>
      <c r="S1419" s="129"/>
      <c r="T1419" s="105"/>
      <c r="U1419" s="133"/>
      <c r="V1419" s="133"/>
      <c r="W1419" s="133"/>
      <c r="X1419" s="133"/>
      <c r="Y1419" s="133"/>
      <c r="Z1419" s="134">
        <f t="shared" si="124"/>
        <v>0</v>
      </c>
      <c r="AA1419" s="6">
        <f t="shared" si="123"/>
        <v>0</v>
      </c>
    </row>
    <row r="1420" spans="1:27" x14ac:dyDescent="0.3">
      <c r="A1420" s="41"/>
      <c r="B1420" s="41"/>
      <c r="C1420" s="41"/>
      <c r="D1420" s="41"/>
      <c r="E1420" s="41"/>
      <c r="F1420" s="41"/>
      <c r="G1420" s="64"/>
      <c r="H1420" s="64"/>
      <c r="I1420" s="64"/>
      <c r="J1420" s="64"/>
      <c r="K1420" s="64"/>
      <c r="L1420" s="64"/>
      <c r="M1420" s="65"/>
      <c r="N1420" s="64"/>
      <c r="O1420" s="64"/>
      <c r="P1420" s="64"/>
      <c r="Q1420" s="65"/>
      <c r="R1420" s="65"/>
      <c r="S1420" s="129"/>
      <c r="T1420" s="105"/>
      <c r="U1420" s="133"/>
      <c r="V1420" s="133"/>
      <c r="W1420" s="133"/>
      <c r="X1420" s="133"/>
      <c r="Y1420" s="133"/>
      <c r="Z1420" s="134">
        <f t="shared" si="124"/>
        <v>0</v>
      </c>
      <c r="AA1420" s="6">
        <f t="shared" si="123"/>
        <v>0</v>
      </c>
    </row>
    <row r="1421" spans="1:27" x14ac:dyDescent="0.3">
      <c r="A1421" s="41"/>
      <c r="B1421" s="41"/>
      <c r="C1421" s="41"/>
      <c r="D1421" s="41"/>
      <c r="E1421" s="41"/>
      <c r="F1421" s="41"/>
      <c r="G1421" s="64"/>
      <c r="H1421" s="64"/>
      <c r="I1421" s="64"/>
      <c r="J1421" s="64"/>
      <c r="K1421" s="54" t="s">
        <v>165</v>
      </c>
      <c r="L1421" s="54"/>
      <c r="M1421" s="54"/>
      <c r="N1421" s="54"/>
      <c r="O1421" s="54"/>
      <c r="P1421" s="54"/>
      <c r="Q1421" s="54"/>
      <c r="R1421" s="54"/>
      <c r="S1421" s="129"/>
      <c r="T1421" s="105"/>
      <c r="U1421" s="133">
        <f>$K$1422*$I$1430*$G$1398*$E$1436*$C$1505*$A$1460</f>
        <v>3.7806417943276585E-4</v>
      </c>
      <c r="V1421" s="133">
        <v>3.7806417943276585E-4</v>
      </c>
      <c r="W1421" s="134">
        <f>$K$1423+$I$1431+$G$1399+$E$1437+$C$1506+$A$1461</f>
        <v>201021.6673081081</v>
      </c>
      <c r="X1421" s="133">
        <f>u_Death</f>
        <v>19.181538114427529</v>
      </c>
      <c r="Y1421" s="133"/>
      <c r="Z1421" s="134">
        <f t="shared" si="124"/>
        <v>75.999091699046346</v>
      </c>
      <c r="AA1421" s="6">
        <f t="shared" ref="AA1421:AA1484" si="125">U1421*X1421</f>
        <v>7.2518524674893663E-3</v>
      </c>
    </row>
    <row r="1422" spans="1:27" x14ac:dyDescent="0.3">
      <c r="A1422" s="41"/>
      <c r="B1422" s="41"/>
      <c r="C1422" s="41"/>
      <c r="D1422" s="41"/>
      <c r="E1422" s="41"/>
      <c r="F1422" s="41"/>
      <c r="G1422" s="64"/>
      <c r="H1422" s="64"/>
      <c r="I1422" s="64"/>
      <c r="J1422" s="64"/>
      <c r="K1422" s="56">
        <f>AGA_prem_2d_4</f>
        <v>3.5174999999999998E-2</v>
      </c>
      <c r="L1422" s="64"/>
      <c r="M1422" s="64"/>
      <c r="N1422" s="64"/>
      <c r="O1422" s="64"/>
      <c r="P1422" s="64"/>
      <c r="Q1422" s="64"/>
      <c r="R1422" s="64"/>
      <c r="S1422" s="129"/>
      <c r="T1422" s="105"/>
      <c r="U1422" s="133"/>
      <c r="V1422" s="133"/>
      <c r="W1422" s="133"/>
      <c r="X1422" s="133"/>
      <c r="Y1422" s="133"/>
      <c r="Z1422" s="134">
        <f t="shared" si="124"/>
        <v>0</v>
      </c>
      <c r="AA1422" s="6">
        <f t="shared" si="125"/>
        <v>0</v>
      </c>
    </row>
    <row r="1423" spans="1:27" x14ac:dyDescent="0.3">
      <c r="A1423" s="41"/>
      <c r="B1423" s="41"/>
      <c r="C1423" s="41"/>
      <c r="D1423" s="41"/>
      <c r="E1423" s="41"/>
      <c r="F1423" s="41"/>
      <c r="G1423" s="64"/>
      <c r="H1423" s="64"/>
      <c r="I1423" s="64"/>
      <c r="J1423" s="64"/>
      <c r="K1423" s="57">
        <f>c_SB</f>
        <v>1792</v>
      </c>
      <c r="L1423" s="64"/>
      <c r="M1423" s="64"/>
      <c r="N1423" s="64"/>
      <c r="O1423" s="64"/>
      <c r="P1423" s="64"/>
      <c r="Q1423" s="64"/>
      <c r="R1423" s="64"/>
      <c r="S1423" s="129"/>
      <c r="T1423" s="105"/>
      <c r="U1423" s="133"/>
      <c r="V1423" s="133"/>
      <c r="W1423" s="133"/>
      <c r="X1423" s="133"/>
      <c r="Y1423" s="133"/>
      <c r="Z1423" s="134">
        <f t="shared" ref="Z1423:Z1486" si="126">U1423*W1423</f>
        <v>0</v>
      </c>
      <c r="AA1423" s="6">
        <f t="shared" si="125"/>
        <v>0</v>
      </c>
    </row>
    <row r="1424" spans="1:27" x14ac:dyDescent="0.3">
      <c r="A1424" s="41"/>
      <c r="B1424" s="41"/>
      <c r="C1424" s="41"/>
      <c r="D1424" s="41"/>
      <c r="E1424" s="41"/>
      <c r="F1424" s="41"/>
      <c r="G1424" s="64"/>
      <c r="H1424" s="64"/>
      <c r="I1424" s="64"/>
      <c r="J1424" s="64"/>
      <c r="K1424" s="53"/>
      <c r="L1424" s="53"/>
      <c r="M1424" s="53"/>
      <c r="N1424" s="53"/>
      <c r="O1424" s="53"/>
      <c r="P1424" s="53"/>
      <c r="Q1424" s="53"/>
      <c r="R1424" s="53"/>
      <c r="S1424" s="129"/>
      <c r="T1424" s="105"/>
      <c r="U1424" s="133"/>
      <c r="V1424" s="133"/>
      <c r="W1424" s="133"/>
      <c r="X1424" s="133"/>
      <c r="Y1424" s="133"/>
      <c r="Z1424" s="134">
        <f t="shared" si="126"/>
        <v>0</v>
      </c>
      <c r="AA1424" s="6">
        <f t="shared" si="125"/>
        <v>0</v>
      </c>
    </row>
    <row r="1425" spans="1:27" x14ac:dyDescent="0.3">
      <c r="A1425" s="41"/>
      <c r="B1425" s="41"/>
      <c r="C1425" s="41"/>
      <c r="D1425" s="41"/>
      <c r="E1425" s="41"/>
      <c r="F1425" s="41"/>
      <c r="G1425" s="53"/>
      <c r="H1425" s="53"/>
      <c r="I1425" s="64"/>
      <c r="J1425" s="64"/>
      <c r="K1425" s="53"/>
      <c r="L1425" s="53"/>
      <c r="M1425" s="53"/>
      <c r="N1425" s="53"/>
      <c r="O1425" s="53"/>
      <c r="P1425" s="53"/>
      <c r="Q1425" s="54" t="s">
        <v>368</v>
      </c>
      <c r="R1425" s="54"/>
      <c r="S1425" s="129"/>
      <c r="T1425" s="105"/>
      <c r="U1425" s="133">
        <f>$K$1441*$I$1430*$G$1398*$E$1436*$C$1505*$A$1460*$M$1436*$O$1431*Q1426</f>
        <v>2.3972017654572998E-4</v>
      </c>
      <c r="V1425" s="133">
        <v>2.3972017654573001E-4</v>
      </c>
      <c r="W1425" s="134">
        <f>$K$1442+$I$1431+$G$1399+$E$1437+$C$1506+$A$1461+$M$1437+$O$1432+Q1427</f>
        <v>287291.0487587137</v>
      </c>
      <c r="X1425" s="133">
        <f>u_ChronicResp</f>
        <v>0.53465956747782661</v>
      </c>
      <c r="Y1425" s="133"/>
      <c r="Z1425" s="134">
        <f t="shared" si="126"/>
        <v>68.86946092844677</v>
      </c>
      <c r="AA1425" s="6">
        <f t="shared" si="125"/>
        <v>1.2816868590764823E-4</v>
      </c>
    </row>
    <row r="1426" spans="1:27" x14ac:dyDescent="0.3">
      <c r="A1426" s="41"/>
      <c r="B1426" s="41"/>
      <c r="C1426" s="41"/>
      <c r="D1426" s="41"/>
      <c r="E1426" s="41"/>
      <c r="F1426" s="41"/>
      <c r="G1426" s="53"/>
      <c r="H1426" s="53"/>
      <c r="I1426" s="64"/>
      <c r="J1426" s="64"/>
      <c r="K1426" s="53"/>
      <c r="L1426" s="53"/>
      <c r="M1426" s="53"/>
      <c r="N1426" s="53"/>
      <c r="O1426" s="64"/>
      <c r="P1426" s="64"/>
      <c r="Q1426" s="56">
        <f>RDS2CLD_4-(Hypo2CI_4*RDS2CLD_4)</f>
        <v>0.34246866666666664</v>
      </c>
      <c r="R1426" s="56"/>
      <c r="S1426" s="129"/>
      <c r="T1426" s="105"/>
      <c r="U1426" s="133"/>
      <c r="V1426" s="133"/>
      <c r="W1426" s="133"/>
      <c r="X1426" s="133"/>
      <c r="Y1426" s="133"/>
      <c r="Z1426" s="134">
        <f t="shared" si="126"/>
        <v>0</v>
      </c>
      <c r="AA1426" s="6">
        <f t="shared" si="125"/>
        <v>0</v>
      </c>
    </row>
    <row r="1427" spans="1:27" x14ac:dyDescent="0.3">
      <c r="A1427" s="41"/>
      <c r="B1427" s="41"/>
      <c r="C1427" s="41"/>
      <c r="D1427" s="41"/>
      <c r="E1427" s="41"/>
      <c r="F1427" s="41"/>
      <c r="G1427" s="53"/>
      <c r="H1427" s="53"/>
      <c r="I1427" s="64"/>
      <c r="J1427" s="64"/>
      <c r="K1427" s="53"/>
      <c r="L1427" s="53"/>
      <c r="M1427" s="53"/>
      <c r="N1427" s="53"/>
      <c r="O1427" s="64"/>
      <c r="P1427" s="64"/>
      <c r="Q1427" s="57">
        <f>c_lung+c_hosp_fu+c_CSG</f>
        <v>54529.510902399998</v>
      </c>
      <c r="R1427" s="57"/>
      <c r="S1427" s="129"/>
      <c r="T1427" s="105"/>
      <c r="U1427" s="133"/>
      <c r="V1427" s="133"/>
      <c r="W1427" s="133"/>
      <c r="X1427" s="133"/>
      <c r="Y1427" s="133"/>
      <c r="Z1427" s="134">
        <f t="shared" si="126"/>
        <v>0</v>
      </c>
      <c r="AA1427" s="6">
        <f t="shared" si="125"/>
        <v>0</v>
      </c>
    </row>
    <row r="1428" spans="1:27" x14ac:dyDescent="0.3">
      <c r="A1428" s="41"/>
      <c r="B1428" s="41"/>
      <c r="C1428" s="41"/>
      <c r="D1428" s="41"/>
      <c r="E1428" s="41"/>
      <c r="F1428" s="41"/>
      <c r="G1428" s="53"/>
      <c r="H1428" s="53"/>
      <c r="I1428" s="64"/>
      <c r="J1428" s="64"/>
      <c r="K1428" s="53"/>
      <c r="L1428" s="53"/>
      <c r="M1428" s="53"/>
      <c r="N1428" s="53"/>
      <c r="O1428" s="64"/>
      <c r="P1428" s="64"/>
      <c r="Q1428" s="54" t="s">
        <v>226</v>
      </c>
      <c r="R1428" s="54"/>
      <c r="S1428" s="129"/>
      <c r="T1428" s="105"/>
      <c r="U1428" s="133">
        <f>$K$1441*$I$1430*$G$1398*$E$1436*$C$1505*$A$1460*$M$1436*$O$1431*Q1429</f>
        <v>2.2960644276127552E-5</v>
      </c>
      <c r="V1428" s="133">
        <v>2.2960644276127556E-5</v>
      </c>
      <c r="W1428" s="134">
        <f>$K$1442+$I$1431+$G$1399+$E$1437+$C$1506+$A$1461+$M$1437+$O$1432+Q1430</f>
        <v>248527.53785631372</v>
      </c>
      <c r="X1428" s="133">
        <f>u_CongnitiveImpairement</f>
        <v>17.270393127285455</v>
      </c>
      <c r="Y1428" s="133"/>
      <c r="Z1428" s="134">
        <f t="shared" si="126"/>
        <v>5.7063523895406432</v>
      </c>
      <c r="AA1428" s="6">
        <f t="shared" si="125"/>
        <v>3.9653935310447942E-4</v>
      </c>
    </row>
    <row r="1429" spans="1:27" x14ac:dyDescent="0.3">
      <c r="A1429" s="41"/>
      <c r="B1429" s="41"/>
      <c r="C1429" s="41"/>
      <c r="D1429" s="41"/>
      <c r="E1429" s="41"/>
      <c r="F1429" s="41"/>
      <c r="G1429" s="53"/>
      <c r="H1429" s="53"/>
      <c r="I1429" s="54" t="s">
        <v>425</v>
      </c>
      <c r="J1429" s="64"/>
      <c r="K1429" s="64"/>
      <c r="L1429" s="64"/>
      <c r="M1429" s="64"/>
      <c r="N1429" s="64"/>
      <c r="O1429" s="64"/>
      <c r="P1429" s="64"/>
      <c r="Q1429" s="56">
        <f>Hypo2CI_4-(Hypo2CI_4*RDS2CLD_4)</f>
        <v>3.2801999999999998E-2</v>
      </c>
      <c r="R1429" s="56"/>
      <c r="S1429" s="129"/>
      <c r="T1429" s="105"/>
      <c r="U1429" s="133"/>
      <c r="V1429" s="133"/>
      <c r="W1429" s="133"/>
      <c r="X1429" s="133"/>
      <c r="Y1429" s="133"/>
      <c r="Z1429" s="134">
        <f t="shared" si="126"/>
        <v>0</v>
      </c>
      <c r="AA1429" s="6">
        <f t="shared" si="125"/>
        <v>0</v>
      </c>
    </row>
    <row r="1430" spans="1:27" x14ac:dyDescent="0.3">
      <c r="A1430" s="41"/>
      <c r="B1430" s="41"/>
      <c r="C1430" s="41"/>
      <c r="D1430" s="41"/>
      <c r="E1430" s="41"/>
      <c r="F1430" s="41"/>
      <c r="G1430" s="64"/>
      <c r="H1430" s="64"/>
      <c r="I1430" s="56">
        <f>LBW_prem_2AGA_4</f>
        <v>0.55590452261306533</v>
      </c>
      <c r="J1430" s="64"/>
      <c r="K1430" s="64"/>
      <c r="L1430" s="64"/>
      <c r="M1430" s="64"/>
      <c r="N1430" s="64"/>
      <c r="O1430" s="54" t="s">
        <v>161</v>
      </c>
      <c r="P1430" s="64"/>
      <c r="Q1430" s="57">
        <f>c_cog+c_hosp_fu+c_CSG</f>
        <v>15766</v>
      </c>
      <c r="R1430" s="57"/>
      <c r="S1430" s="129"/>
      <c r="T1430" s="105"/>
      <c r="U1430" s="133"/>
      <c r="V1430" s="133"/>
      <c r="W1430" s="133"/>
      <c r="X1430" s="133"/>
      <c r="Y1430" s="133"/>
      <c r="Z1430" s="134">
        <f t="shared" si="126"/>
        <v>0</v>
      </c>
      <c r="AA1430" s="6">
        <f t="shared" si="125"/>
        <v>0</v>
      </c>
    </row>
    <row r="1431" spans="1:27" x14ac:dyDescent="0.3">
      <c r="A1431" s="41"/>
      <c r="B1431" s="41"/>
      <c r="C1431" s="41"/>
      <c r="D1431" s="41"/>
      <c r="E1431" s="41"/>
      <c r="F1431" s="41"/>
      <c r="G1431" s="64"/>
      <c r="H1431" s="64"/>
      <c r="I1431" s="57"/>
      <c r="J1431" s="64"/>
      <c r="K1431" s="64"/>
      <c r="L1431" s="64"/>
      <c r="M1431" s="64"/>
      <c r="N1431" s="64"/>
      <c r="O1431" s="56">
        <f>AGA_prem_2hypoglycaemia_4</f>
        <v>0.15</v>
      </c>
      <c r="P1431" s="64"/>
      <c r="Q1431" s="54" t="s">
        <v>369</v>
      </c>
      <c r="R1431" s="54"/>
      <c r="S1431" s="129"/>
      <c r="T1431" s="105"/>
      <c r="U1431" s="133">
        <f>$K$1441*$I$1430*$G$1398*$E$1436*$C$1505*$A$1460*$M$1436*$O$1431*Q1432</f>
        <v>1.2971506390738727E-5</v>
      </c>
      <c r="V1431" s="133">
        <v>1.297150639073873E-5</v>
      </c>
      <c r="W1431" s="134">
        <f>$K$1442+$I$1431+$G$1399+$E$1437+$C$1506+$A$1461+$M$1437+$O$1432+Q1433</f>
        <v>291110.0487587137</v>
      </c>
      <c r="X1431" s="133">
        <f>u_ChronicResp+u_CongnitiveImpairement</f>
        <v>17.805052694763283</v>
      </c>
      <c r="Y1431" s="133"/>
      <c r="Z1431" s="134">
        <f t="shared" si="126"/>
        <v>3.7761358578819171</v>
      </c>
      <c r="AA1431" s="6">
        <f t="shared" si="125"/>
        <v>2.3095835481756172E-4</v>
      </c>
    </row>
    <row r="1432" spans="1:27" x14ac:dyDescent="0.3">
      <c r="A1432" s="41"/>
      <c r="B1432" s="41"/>
      <c r="C1432" s="41"/>
      <c r="D1432" s="41"/>
      <c r="E1432" s="41"/>
      <c r="F1432" s="41"/>
      <c r="G1432" s="64"/>
      <c r="H1432" s="64"/>
      <c r="I1432" s="64"/>
      <c r="J1432" s="64"/>
      <c r="K1432" s="64"/>
      <c r="L1432" s="64"/>
      <c r="M1432" s="64"/>
      <c r="N1432" s="64"/>
      <c r="O1432" s="57">
        <f>c_hypo</f>
        <v>2936.2604000000001</v>
      </c>
      <c r="P1432" s="64"/>
      <c r="Q1432" s="56">
        <f>Hypo2CI_4*RDS2CLD_4</f>
        <v>1.8531333333333334E-2</v>
      </c>
      <c r="R1432" s="56"/>
      <c r="S1432" s="129"/>
      <c r="T1432" s="105"/>
      <c r="U1432" s="133"/>
      <c r="V1432" s="133"/>
      <c r="W1432" s="133"/>
      <c r="X1432" s="133"/>
      <c r="Y1432" s="133"/>
      <c r="Z1432" s="134">
        <f t="shared" si="126"/>
        <v>0</v>
      </c>
      <c r="AA1432" s="6">
        <f t="shared" si="125"/>
        <v>0</v>
      </c>
    </row>
    <row r="1433" spans="1:27" x14ac:dyDescent="0.3">
      <c r="A1433" s="41"/>
      <c r="B1433" s="41"/>
      <c r="C1433" s="41"/>
      <c r="D1433" s="41"/>
      <c r="E1433" s="41"/>
      <c r="F1433" s="41"/>
      <c r="G1433" s="64"/>
      <c r="H1433" s="64"/>
      <c r="I1433" s="64"/>
      <c r="J1433" s="64"/>
      <c r="K1433" s="64"/>
      <c r="L1433" s="64"/>
      <c r="M1433" s="65"/>
      <c r="N1433" s="64"/>
      <c r="O1433" s="53"/>
      <c r="P1433" s="64"/>
      <c r="Q1433" s="57">
        <f>c_lung+c_cog+c_hosp_fu+c_CSG</f>
        <v>58348.510902399998</v>
      </c>
      <c r="R1433" s="57"/>
      <c r="S1433" s="129"/>
      <c r="T1433" s="105"/>
      <c r="U1433" s="133"/>
      <c r="V1433" s="133"/>
      <c r="W1433" s="133"/>
      <c r="X1433" s="133"/>
      <c r="Y1433" s="133"/>
      <c r="Z1433" s="134">
        <f t="shared" si="126"/>
        <v>0</v>
      </c>
      <c r="AA1433" s="6">
        <f t="shared" si="125"/>
        <v>0</v>
      </c>
    </row>
    <row r="1434" spans="1:27" x14ac:dyDescent="0.3">
      <c r="A1434" s="41"/>
      <c r="B1434" s="41"/>
      <c r="C1434" s="41"/>
      <c r="D1434" s="41"/>
      <c r="E1434" s="41"/>
      <c r="F1434" s="41"/>
      <c r="G1434" s="64"/>
      <c r="H1434" s="64"/>
      <c r="I1434" s="64"/>
      <c r="J1434" s="64"/>
      <c r="K1434" s="64"/>
      <c r="L1434" s="64"/>
      <c r="M1434" s="64"/>
      <c r="N1434" s="64"/>
      <c r="O1434" s="64"/>
      <c r="P1434" s="64"/>
      <c r="Q1434" s="54" t="s">
        <v>370</v>
      </c>
      <c r="R1434" s="54"/>
      <c r="S1434" s="129"/>
      <c r="T1434" s="105"/>
      <c r="U1434" s="133">
        <f>$K$1441*$I$1430*$G$1398*$E$1436*$C$1505*$A$1460*$M$1436*$O$1431*Q1435</f>
        <v>4.2432463383025338E-4</v>
      </c>
      <c r="V1434" s="133">
        <v>4.2432463383025343E-4</v>
      </c>
      <c r="W1434" s="134">
        <f>$K$1442+$I$1431+$G$1399+$E$1437+$C$1506+$A$1461+$M$1437+$O$1432+Q1436</f>
        <v>247164.53785631372</v>
      </c>
      <c r="X1434" s="133">
        <f>u_Healthy</f>
        <v>0</v>
      </c>
      <c r="Y1434" s="133"/>
      <c r="Z1434" s="134">
        <f t="shared" si="126"/>
        <v>104.87800202170412</v>
      </c>
      <c r="AA1434" s="6">
        <f t="shared" si="125"/>
        <v>0</v>
      </c>
    </row>
    <row r="1435" spans="1:27" x14ac:dyDescent="0.3">
      <c r="A1435" s="41"/>
      <c r="B1435" s="41"/>
      <c r="C1435" s="41"/>
      <c r="D1435" s="41"/>
      <c r="E1435" s="54" t="s">
        <v>10</v>
      </c>
      <c r="F1435" s="41"/>
      <c r="G1435" s="64"/>
      <c r="H1435" s="64"/>
      <c r="I1435" s="64"/>
      <c r="J1435" s="64"/>
      <c r="K1435" s="64"/>
      <c r="L1435" s="64"/>
      <c r="M1435" s="54" t="s">
        <v>9</v>
      </c>
      <c r="N1435" s="64"/>
      <c r="O1435" s="64"/>
      <c r="P1435" s="64"/>
      <c r="Q1435" s="56">
        <f>1-Q1426-Q1429-Q1432</f>
        <v>0.60619800000000001</v>
      </c>
      <c r="R1435" s="56"/>
      <c r="S1435" s="129"/>
      <c r="T1435" s="105"/>
      <c r="U1435" s="133"/>
      <c r="V1435" s="133"/>
      <c r="W1435" s="133"/>
      <c r="X1435" s="133"/>
      <c r="Y1435" s="133"/>
      <c r="Z1435" s="134">
        <f t="shared" si="126"/>
        <v>0</v>
      </c>
      <c r="AA1435" s="6">
        <f t="shared" si="125"/>
        <v>0</v>
      </c>
    </row>
    <row r="1436" spans="1:27" x14ac:dyDescent="0.3">
      <c r="A1436" s="41"/>
      <c r="B1436" s="41"/>
      <c r="C1436" s="41"/>
      <c r="D1436" s="41"/>
      <c r="E1436" s="56">
        <f>LB2prem_4</f>
        <v>0.1733800350262697</v>
      </c>
      <c r="F1436" s="41"/>
      <c r="G1436" s="64"/>
      <c r="H1436" s="64"/>
      <c r="I1436" s="64"/>
      <c r="J1436" s="64"/>
      <c r="K1436" s="65"/>
      <c r="L1436" s="64"/>
      <c r="M1436" s="56">
        <f>S_prem_2RDS_4</f>
        <v>0.45</v>
      </c>
      <c r="N1436" s="64"/>
      <c r="O1436" s="64"/>
      <c r="P1436" s="64"/>
      <c r="Q1436" s="57">
        <f>c_clinic_fu+c_CSG</f>
        <v>14403</v>
      </c>
      <c r="R1436" s="57"/>
      <c r="S1436" s="129"/>
      <c r="T1436" s="105"/>
      <c r="U1436" s="133"/>
      <c r="V1436" s="133"/>
      <c r="W1436" s="133"/>
      <c r="X1436" s="133"/>
      <c r="Y1436" s="133"/>
      <c r="Z1436" s="134">
        <f t="shared" si="126"/>
        <v>0</v>
      </c>
      <c r="AA1436" s="6">
        <f t="shared" si="125"/>
        <v>0</v>
      </c>
    </row>
    <row r="1437" spans="1:27" x14ac:dyDescent="0.3">
      <c r="A1437" s="41"/>
      <c r="B1437" s="41"/>
      <c r="C1437" s="41"/>
      <c r="D1437" s="41"/>
      <c r="E1437" s="57">
        <f>c_prem</f>
        <v>577.9017081081081</v>
      </c>
      <c r="F1437" s="41"/>
      <c r="G1437" s="64"/>
      <c r="H1437" s="64"/>
      <c r="I1437" s="64"/>
      <c r="J1437" s="64"/>
      <c r="K1437" s="65"/>
      <c r="L1437" s="64"/>
      <c r="M1437" s="57">
        <f>c_RDS</f>
        <v>30595.610148205637</v>
      </c>
      <c r="N1437" s="64"/>
      <c r="O1437" s="64"/>
      <c r="P1437" s="64"/>
      <c r="Q1437" s="65"/>
      <c r="R1437" s="65"/>
      <c r="S1437" s="129"/>
      <c r="T1437" s="105"/>
      <c r="U1437" s="133"/>
      <c r="V1437" s="133"/>
      <c r="W1437" s="133"/>
      <c r="X1437" s="133"/>
      <c r="Y1437" s="133"/>
      <c r="Z1437" s="134">
        <f t="shared" si="126"/>
        <v>0</v>
      </c>
      <c r="AA1437" s="6">
        <f t="shared" si="125"/>
        <v>0</v>
      </c>
    </row>
    <row r="1438" spans="1:27" x14ac:dyDescent="0.3">
      <c r="A1438" s="41"/>
      <c r="B1438" s="41"/>
      <c r="C1438" s="41"/>
      <c r="D1438" s="41"/>
      <c r="E1438" s="41"/>
      <c r="F1438" s="41"/>
      <c r="G1438" s="64"/>
      <c r="H1438" s="64"/>
      <c r="I1438" s="64"/>
      <c r="J1438" s="64"/>
      <c r="K1438" s="64"/>
      <c r="L1438" s="64"/>
      <c r="M1438" s="64"/>
      <c r="N1438" s="64"/>
      <c r="O1438" s="64"/>
      <c r="P1438" s="64"/>
      <c r="Q1438" s="54" t="s">
        <v>368</v>
      </c>
      <c r="R1438" s="54"/>
      <c r="S1438" s="129"/>
      <c r="T1438" s="105"/>
      <c r="U1438" s="133">
        <f>$K$1441*$I$1430*$G$1398*$E$1436*$C$1505*$A$1460*$M$1436*$O$1441*Q1439</f>
        <v>1.3845436532160024E-3</v>
      </c>
      <c r="V1438" s="133">
        <v>1.3845436532160028E-3</v>
      </c>
      <c r="W1438" s="134">
        <f>$K$1442+$I$1431+$G$1399+$E$1437+$C$1506+$A$1461+$M$1437+$O$1442+Q1440</f>
        <v>284354.78835871373</v>
      </c>
      <c r="X1438" s="133">
        <f>u_ChronicResp</f>
        <v>0.53465956747782661</v>
      </c>
      <c r="Y1438" s="133"/>
      <c r="Z1438" s="134">
        <f t="shared" si="126"/>
        <v>393.70161748363671</v>
      </c>
      <c r="AA1438" s="6">
        <f t="shared" si="125"/>
        <v>7.4025951078263781E-4</v>
      </c>
    </row>
    <row r="1439" spans="1:27" x14ac:dyDescent="0.3">
      <c r="A1439" s="41"/>
      <c r="B1439" s="41"/>
      <c r="C1439" s="41"/>
      <c r="D1439" s="41"/>
      <c r="E1439" s="41"/>
      <c r="F1439" s="41"/>
      <c r="G1439" s="64"/>
      <c r="H1439" s="64"/>
      <c r="I1439" s="64"/>
      <c r="J1439" s="64"/>
      <c r="K1439" s="64"/>
      <c r="L1439" s="64"/>
      <c r="M1439" s="64"/>
      <c r="N1439" s="64"/>
      <c r="O1439" s="64"/>
      <c r="P1439" s="64"/>
      <c r="Q1439" s="56">
        <f>RDS2CLD_4-(RDS2CLD_4*noHypo2CI_4)</f>
        <v>0.34905610687022898</v>
      </c>
      <c r="R1439" s="56"/>
      <c r="S1439" s="129"/>
      <c r="T1439" s="105"/>
      <c r="U1439" s="133"/>
      <c r="V1439" s="133"/>
      <c r="W1439" s="133"/>
      <c r="X1439" s="133"/>
      <c r="Y1439" s="133"/>
      <c r="Z1439" s="134">
        <f t="shared" si="126"/>
        <v>0</v>
      </c>
      <c r="AA1439" s="6">
        <f t="shared" si="125"/>
        <v>0</v>
      </c>
    </row>
    <row r="1440" spans="1:27" x14ac:dyDescent="0.3">
      <c r="A1440" s="41"/>
      <c r="B1440" s="41"/>
      <c r="C1440" s="41"/>
      <c r="D1440" s="41"/>
      <c r="E1440" s="41"/>
      <c r="F1440" s="41"/>
      <c r="G1440" s="64"/>
      <c r="H1440" s="64"/>
      <c r="I1440" s="64"/>
      <c r="J1440" s="64"/>
      <c r="K1440" s="54" t="s">
        <v>37</v>
      </c>
      <c r="L1440" s="64"/>
      <c r="M1440" s="65"/>
      <c r="N1440" s="64"/>
      <c r="O1440" s="54" t="s">
        <v>371</v>
      </c>
      <c r="P1440" s="64"/>
      <c r="Q1440" s="57">
        <f>c_lung+c_hosp_fu+c_CSG</f>
        <v>54529.510902399998</v>
      </c>
      <c r="R1440" s="57"/>
      <c r="S1440" s="129"/>
      <c r="T1440" s="105"/>
      <c r="U1440" s="133"/>
      <c r="V1440" s="133"/>
      <c r="W1440" s="133"/>
      <c r="X1440" s="133"/>
      <c r="Y1440" s="133"/>
      <c r="Z1440" s="134">
        <f t="shared" si="126"/>
        <v>0</v>
      </c>
      <c r="AA1440" s="6">
        <f t="shared" si="125"/>
        <v>0</v>
      </c>
    </row>
    <row r="1441" spans="1:27" x14ac:dyDescent="0.3">
      <c r="A1441" s="41"/>
      <c r="B1441" s="41"/>
      <c r="C1441" s="41"/>
      <c r="D1441" s="41"/>
      <c r="E1441" s="41"/>
      <c r="F1441" s="41"/>
      <c r="G1441" s="64"/>
      <c r="H1441" s="64"/>
      <c r="I1441" s="64"/>
      <c r="J1441" s="64"/>
      <c r="K1441" s="56">
        <f>AGA_prem_2s_4</f>
        <v>0.96482500000000004</v>
      </c>
      <c r="L1441" s="64"/>
      <c r="M1441" s="64"/>
      <c r="N1441" s="64"/>
      <c r="O1441" s="56">
        <f>AGA_prem_2normoglycaemia_4</f>
        <v>0.85</v>
      </c>
      <c r="P1441" s="64"/>
      <c r="Q1441" s="54" t="s">
        <v>226</v>
      </c>
      <c r="R1441" s="54"/>
      <c r="S1441" s="129"/>
      <c r="T1441" s="105"/>
      <c r="U1441" s="133">
        <f>$K$1441*$I$1430*$G$1398*$E$1436*$C$1505*$A$1460*$M$1436*$O$1441*Q1442</f>
        <v>8.3859250714480777E-5</v>
      </c>
      <c r="V1441" s="133">
        <v>8.3859250714480804E-5</v>
      </c>
      <c r="W1441" s="134">
        <f>$K$1442+$I$1431+$G$1399+$E$1437+$C$1506+$A$1461+$M$1437+$O$1442+Q1443</f>
        <v>245591.27745631372</v>
      </c>
      <c r="X1441" s="133">
        <f>u_CongnitiveImpairement</f>
        <v>17.270393127285455</v>
      </c>
      <c r="Y1441" s="133"/>
      <c r="Z1441" s="134">
        <f t="shared" si="126"/>
        <v>20.595100509498621</v>
      </c>
      <c r="AA1441" s="6">
        <f t="shared" si="125"/>
        <v>1.4482822271986767E-3</v>
      </c>
    </row>
    <row r="1442" spans="1:27" x14ac:dyDescent="0.3">
      <c r="A1442" s="41"/>
      <c r="B1442" s="41"/>
      <c r="C1442" s="41"/>
      <c r="D1442" s="41"/>
      <c r="E1442" s="41"/>
      <c r="F1442" s="41"/>
      <c r="G1442" s="64"/>
      <c r="H1442" s="64"/>
      <c r="I1442" s="64"/>
      <c r="J1442" s="64"/>
      <c r="K1442" s="57"/>
      <c r="L1442" s="64"/>
      <c r="M1442" s="64"/>
      <c r="N1442" s="64"/>
      <c r="O1442" s="57"/>
      <c r="P1442" s="64"/>
      <c r="Q1442" s="56">
        <f>noHypo2CI_4-(RDS2CLD_4*noHypo2CI_4)</f>
        <v>2.1141683406990762E-2</v>
      </c>
      <c r="R1442" s="56"/>
      <c r="S1442" s="129"/>
      <c r="T1442" s="105"/>
      <c r="U1442" s="133"/>
      <c r="V1442" s="133"/>
      <c r="W1442" s="133"/>
      <c r="X1442" s="133"/>
      <c r="Y1442" s="133"/>
      <c r="Z1442" s="134">
        <f t="shared" si="126"/>
        <v>0</v>
      </c>
      <c r="AA1442" s="6">
        <f t="shared" si="125"/>
        <v>0</v>
      </c>
    </row>
    <row r="1443" spans="1:27" x14ac:dyDescent="0.3">
      <c r="A1443" s="41"/>
      <c r="B1443" s="41"/>
      <c r="C1443" s="41"/>
      <c r="D1443" s="41"/>
      <c r="E1443" s="41"/>
      <c r="F1443" s="41"/>
      <c r="G1443" s="41"/>
      <c r="H1443" s="64"/>
      <c r="I1443" s="64"/>
      <c r="J1443" s="64"/>
      <c r="K1443" s="64"/>
      <c r="L1443" s="64"/>
      <c r="M1443" s="64"/>
      <c r="N1443" s="64"/>
      <c r="O1443" s="53"/>
      <c r="P1443" s="64"/>
      <c r="Q1443" s="57">
        <f>c_cog+c_hosp_fu+c_CSG</f>
        <v>15766</v>
      </c>
      <c r="R1443" s="57"/>
      <c r="S1443" s="129"/>
      <c r="T1443" s="105"/>
      <c r="U1443" s="133"/>
      <c r="V1443" s="133"/>
      <c r="W1443" s="133"/>
      <c r="X1443" s="133"/>
      <c r="Y1443" s="133"/>
      <c r="Z1443" s="134">
        <f t="shared" si="126"/>
        <v>0</v>
      </c>
      <c r="AA1443" s="6">
        <f t="shared" si="125"/>
        <v>0</v>
      </c>
    </row>
    <row r="1444" spans="1:27" x14ac:dyDescent="0.3">
      <c r="A1444" s="41"/>
      <c r="B1444" s="41"/>
      <c r="C1444" s="41"/>
      <c r="D1444" s="41"/>
      <c r="E1444" s="41"/>
      <c r="F1444" s="41"/>
      <c r="G1444" s="41"/>
      <c r="H1444" s="64"/>
      <c r="I1444" s="64"/>
      <c r="J1444" s="64"/>
      <c r="K1444" s="64"/>
      <c r="L1444" s="64"/>
      <c r="M1444" s="64"/>
      <c r="N1444" s="64"/>
      <c r="O1444" s="53"/>
      <c r="P1444" s="64"/>
      <c r="Q1444" s="54" t="s">
        <v>369</v>
      </c>
      <c r="R1444" s="54"/>
      <c r="S1444" s="129"/>
      <c r="T1444" s="105"/>
      <c r="U1444" s="133">
        <f>$K$1441*$I$1430*$G$1398*$E$1436*$C$1505*$A$1460*$M$1436*$O$1441*Q1445</f>
        <v>4.7375883423986789E-5</v>
      </c>
      <c r="V1444" s="133">
        <v>4.7375883423986795E-5</v>
      </c>
      <c r="W1444" s="134">
        <f>$K$1442+$I$1431+$G$1399+$E$1437+$C$1506+$A$1461+$M$1437+$O$1442+Q1446</f>
        <v>288173.78835871373</v>
      </c>
      <c r="X1444" s="133">
        <f>u_ChronicResp+u_CongnitiveImpairement</f>
        <v>17.805052694763283</v>
      </c>
      <c r="Y1444" s="133"/>
      <c r="Z1444" s="134">
        <f t="shared" si="126"/>
        <v>13.652487803131063</v>
      </c>
      <c r="AA1444" s="6">
        <f t="shared" si="125"/>
        <v>8.4353010082504709E-4</v>
      </c>
    </row>
    <row r="1445" spans="1:27" x14ac:dyDescent="0.3">
      <c r="A1445" s="41"/>
      <c r="B1445" s="41"/>
      <c r="C1445" s="41"/>
      <c r="D1445" s="41"/>
      <c r="E1445" s="41"/>
      <c r="F1445" s="41"/>
      <c r="G1445" s="41"/>
      <c r="H1445" s="64"/>
      <c r="I1445" s="64"/>
      <c r="J1445" s="64"/>
      <c r="K1445" s="64"/>
      <c r="L1445" s="64"/>
      <c r="M1445" s="64"/>
      <c r="N1445" s="64"/>
      <c r="O1445" s="53"/>
      <c r="P1445" s="64"/>
      <c r="Q1445" s="56">
        <f>RDS2CLD_4*noHypo2CI_4</f>
        <v>1.1943893129770991E-2</v>
      </c>
      <c r="R1445" s="56"/>
      <c r="S1445" s="129"/>
      <c r="T1445" s="105"/>
      <c r="U1445" s="133"/>
      <c r="V1445" s="133"/>
      <c r="W1445" s="133"/>
      <c r="X1445" s="133"/>
      <c r="Y1445" s="133"/>
      <c r="Z1445" s="134">
        <f t="shared" si="126"/>
        <v>0</v>
      </c>
      <c r="AA1445" s="6">
        <f t="shared" si="125"/>
        <v>0</v>
      </c>
    </row>
    <row r="1446" spans="1:27" x14ac:dyDescent="0.3">
      <c r="A1446" s="41"/>
      <c r="B1446" s="41"/>
      <c r="C1446" s="41"/>
      <c r="D1446" s="41"/>
      <c r="E1446" s="41"/>
      <c r="F1446" s="41"/>
      <c r="G1446" s="64"/>
      <c r="H1446" s="64"/>
      <c r="I1446" s="64"/>
      <c r="J1446" s="64"/>
      <c r="K1446" s="64"/>
      <c r="L1446" s="64"/>
      <c r="M1446" s="64"/>
      <c r="N1446" s="64"/>
      <c r="O1446" s="53"/>
      <c r="P1446" s="64"/>
      <c r="Q1446" s="57">
        <f>c_cog+c_lung+c_hosp_fu+c_CSG</f>
        <v>58348.510902399998</v>
      </c>
      <c r="R1446" s="57"/>
      <c r="S1446" s="129"/>
      <c r="T1446" s="105"/>
      <c r="U1446" s="133"/>
      <c r="V1446" s="133"/>
      <c r="W1446" s="133"/>
      <c r="X1446" s="133"/>
      <c r="Y1446" s="133"/>
      <c r="Z1446" s="134">
        <f t="shared" si="126"/>
        <v>0</v>
      </c>
      <c r="AA1446" s="6">
        <f t="shared" si="125"/>
        <v>0</v>
      </c>
    </row>
    <row r="1447" spans="1:27" x14ac:dyDescent="0.3">
      <c r="A1447" s="41"/>
      <c r="B1447" s="41"/>
      <c r="C1447" s="41"/>
      <c r="D1447" s="41"/>
      <c r="E1447" s="41"/>
      <c r="F1447" s="41"/>
      <c r="G1447" s="64"/>
      <c r="H1447" s="64"/>
      <c r="I1447" s="64"/>
      <c r="J1447" s="64"/>
      <c r="K1447" s="64"/>
      <c r="L1447" s="64"/>
      <c r="M1447" s="64"/>
      <c r="N1447" s="64"/>
      <c r="O1447" s="53"/>
      <c r="P1447" s="64"/>
      <c r="Q1447" s="54" t="s">
        <v>370</v>
      </c>
      <c r="R1447" s="54"/>
      <c r="T1447" s="105"/>
      <c r="U1447" s="133">
        <f>$K$1441*$I$1430*$G$1398*$E$1436*$C$1505*$A$1460*$M$1436*$O$1441*Q1448</f>
        <v>2.4507573252216782E-3</v>
      </c>
      <c r="V1447" s="133">
        <v>2.4507573252216786E-3</v>
      </c>
      <c r="W1447" s="134">
        <f>$K$1442+$I$1431+$G$1399+$E$1437+$C$1506+$A$1461+$M$1437+$O$1442+Q1449</f>
        <v>244228.27745631372</v>
      </c>
      <c r="X1447" s="133">
        <f>u_Healthy</f>
        <v>0</v>
      </c>
      <c r="Y1447" s="133"/>
      <c r="Z1447" s="134">
        <f t="shared" si="126"/>
        <v>598.54424000233325</v>
      </c>
      <c r="AA1447" s="6">
        <f t="shared" si="125"/>
        <v>0</v>
      </c>
    </row>
    <row r="1448" spans="1:27" x14ac:dyDescent="0.3">
      <c r="A1448" s="41"/>
      <c r="B1448" s="41"/>
      <c r="C1448" s="41"/>
      <c r="D1448" s="41"/>
      <c r="E1448" s="41"/>
      <c r="F1448" s="41"/>
      <c r="G1448" s="64"/>
      <c r="H1448" s="64"/>
      <c r="I1448" s="64"/>
      <c r="J1448" s="64"/>
      <c r="K1448" s="64"/>
      <c r="L1448" s="64"/>
      <c r="M1448" s="64"/>
      <c r="N1448" s="64"/>
      <c r="O1448" s="53"/>
      <c r="P1448" s="64"/>
      <c r="Q1448" s="56">
        <f>1-Q1445-Q1442-Q1439</f>
        <v>0.61785831659300938</v>
      </c>
      <c r="R1448" s="56"/>
      <c r="S1448" s="129"/>
      <c r="T1448" s="105"/>
      <c r="U1448" s="133"/>
      <c r="V1448" s="133"/>
      <c r="W1448" s="133"/>
      <c r="X1448" s="133"/>
      <c r="Y1448" s="133"/>
      <c r="Z1448" s="134">
        <f t="shared" si="126"/>
        <v>0</v>
      </c>
      <c r="AA1448" s="6">
        <f t="shared" si="125"/>
        <v>0</v>
      </c>
    </row>
    <row r="1449" spans="1:27" x14ac:dyDescent="0.3">
      <c r="A1449" s="41"/>
      <c r="B1449" s="41"/>
      <c r="C1449" s="41"/>
      <c r="D1449" s="41"/>
      <c r="E1449" s="41"/>
      <c r="F1449" s="41"/>
      <c r="G1449" s="64"/>
      <c r="H1449" s="64"/>
      <c r="I1449" s="64"/>
      <c r="J1449" s="64"/>
      <c r="K1449" s="64"/>
      <c r="L1449" s="64"/>
      <c r="M1449" s="64"/>
      <c r="N1449" s="64"/>
      <c r="O1449" s="64"/>
      <c r="P1449" s="64"/>
      <c r="Q1449" s="57">
        <f>c_clinic_fu+c_CSG</f>
        <v>14403</v>
      </c>
      <c r="R1449" s="57"/>
      <c r="S1449" s="129"/>
      <c r="T1449" s="105"/>
      <c r="U1449" s="133"/>
      <c r="V1449" s="133"/>
      <c r="W1449" s="133"/>
      <c r="X1449" s="133"/>
      <c r="Y1449" s="133"/>
      <c r="Z1449" s="134">
        <f t="shared" si="126"/>
        <v>0</v>
      </c>
      <c r="AA1449" s="6">
        <f t="shared" si="125"/>
        <v>0</v>
      </c>
    </row>
    <row r="1450" spans="1:27" x14ac:dyDescent="0.3">
      <c r="A1450" s="41"/>
      <c r="B1450" s="41"/>
      <c r="C1450" s="41"/>
      <c r="D1450" s="41"/>
      <c r="E1450" s="41"/>
      <c r="F1450" s="41"/>
      <c r="G1450" s="64"/>
      <c r="H1450" s="64"/>
      <c r="I1450" s="64"/>
      <c r="J1450" s="64"/>
      <c r="K1450" s="64"/>
      <c r="L1450" s="64"/>
      <c r="M1450" s="64"/>
      <c r="N1450" s="64"/>
      <c r="O1450" s="64"/>
      <c r="P1450" s="64"/>
      <c r="Q1450" s="65"/>
      <c r="R1450" s="65"/>
      <c r="S1450" s="129"/>
      <c r="T1450" s="105"/>
      <c r="U1450" s="133"/>
      <c r="V1450" s="133"/>
      <c r="W1450" s="133"/>
      <c r="X1450" s="133"/>
      <c r="Y1450" s="133"/>
      <c r="Z1450" s="134">
        <f t="shared" si="126"/>
        <v>0</v>
      </c>
      <c r="AA1450" s="6">
        <f t="shared" si="125"/>
        <v>0</v>
      </c>
    </row>
    <row r="1451" spans="1:27" x14ac:dyDescent="0.3">
      <c r="A1451" s="41"/>
      <c r="B1451" s="41"/>
      <c r="C1451" s="41"/>
      <c r="D1451" s="41"/>
      <c r="E1451" s="41"/>
      <c r="F1451" s="41"/>
      <c r="G1451" s="64"/>
      <c r="H1451" s="64"/>
      <c r="I1451" s="64"/>
      <c r="J1451" s="64"/>
      <c r="K1451" s="64"/>
      <c r="L1451" s="64"/>
      <c r="M1451" s="64"/>
      <c r="N1451" s="64"/>
      <c r="O1451" s="64"/>
      <c r="P1451" s="64"/>
      <c r="Q1451" s="54" t="s">
        <v>368</v>
      </c>
      <c r="R1451" s="54"/>
      <c r="S1451" s="129"/>
      <c r="T1451" s="105"/>
      <c r="U1451" s="133">
        <f>$K$1441*$I$1430*$G$1398*$E$1436*$C$1505*$A$1460*$M$1456*$O$1454*Q1452</f>
        <v>2.9299132688922553E-4</v>
      </c>
      <c r="V1451" s="133">
        <v>2.9299132688922564E-4</v>
      </c>
      <c r="W1451" s="134">
        <f>$K$1442+$I$1431+$G$1399+$E$1437+$C$1506+$A$1461+$M$1457+$O$1455+Q1453</f>
        <v>256695.43861050811</v>
      </c>
      <c r="X1451" s="133">
        <f>u_ChronicResp</f>
        <v>0.53465956747782661</v>
      </c>
      <c r="Y1451" s="133"/>
      <c r="Z1451" s="134">
        <f t="shared" si="126"/>
        <v>75.209537164904503</v>
      </c>
      <c r="AA1451" s="6">
        <f t="shared" si="125"/>
        <v>1.5665061610934782E-4</v>
      </c>
    </row>
    <row r="1452" spans="1:27" x14ac:dyDescent="0.3">
      <c r="A1452" s="41"/>
      <c r="B1452" s="41"/>
      <c r="C1452" s="41"/>
      <c r="D1452" s="41"/>
      <c r="E1452" s="41"/>
      <c r="F1452" s="41"/>
      <c r="G1452" s="64"/>
      <c r="H1452" s="64"/>
      <c r="I1452" s="64"/>
      <c r="J1452" s="64"/>
      <c r="K1452" s="64"/>
      <c r="L1452" s="64"/>
      <c r="M1452" s="64"/>
      <c r="N1452" s="64"/>
      <c r="O1452" s="64"/>
      <c r="P1452" s="64"/>
      <c r="Q1452" s="56">
        <f>RDS2CLD_4-(Hypo2CI_4*RDS2CLD_4)</f>
        <v>0.34246866666666664</v>
      </c>
      <c r="R1452" s="56"/>
      <c r="S1452" s="129"/>
      <c r="T1452" s="105"/>
      <c r="U1452" s="133"/>
      <c r="V1452" s="133"/>
      <c r="W1452" s="133"/>
      <c r="X1452" s="133"/>
      <c r="Y1452" s="133"/>
      <c r="Z1452" s="134">
        <f t="shared" si="126"/>
        <v>0</v>
      </c>
      <c r="AA1452" s="6">
        <f t="shared" si="125"/>
        <v>0</v>
      </c>
    </row>
    <row r="1453" spans="1:27" x14ac:dyDescent="0.3">
      <c r="A1453" s="41"/>
      <c r="B1453" s="41"/>
      <c r="C1453" s="41"/>
      <c r="D1453" s="41"/>
      <c r="E1453" s="41"/>
      <c r="F1453" s="41"/>
      <c r="G1453" s="64"/>
      <c r="H1453" s="64"/>
      <c r="I1453" s="64"/>
      <c r="J1453" s="64"/>
      <c r="K1453" s="64"/>
      <c r="L1453" s="64"/>
      <c r="M1453" s="64"/>
      <c r="N1453" s="64"/>
      <c r="O1453" s="54" t="s">
        <v>161</v>
      </c>
      <c r="P1453" s="64"/>
      <c r="Q1453" s="57">
        <f>c_lung+c_hosp_fu+c_CSG</f>
        <v>54529.510902399998</v>
      </c>
      <c r="R1453" s="57"/>
      <c r="S1453" s="129"/>
      <c r="T1453" s="105"/>
      <c r="U1453" s="133"/>
      <c r="V1453" s="133"/>
      <c r="W1453" s="133"/>
      <c r="X1453" s="133"/>
      <c r="Y1453" s="133"/>
      <c r="Z1453" s="134">
        <f t="shared" si="126"/>
        <v>0</v>
      </c>
      <c r="AA1453" s="6">
        <f t="shared" si="125"/>
        <v>0</v>
      </c>
    </row>
    <row r="1454" spans="1:27" x14ac:dyDescent="0.3">
      <c r="A1454" s="41"/>
      <c r="B1454" s="41"/>
      <c r="C1454" s="41"/>
      <c r="D1454" s="41"/>
      <c r="E1454" s="41"/>
      <c r="F1454" s="41"/>
      <c r="G1454" s="64"/>
      <c r="H1454" s="64"/>
      <c r="I1454" s="64"/>
      <c r="J1454" s="64"/>
      <c r="K1454" s="64"/>
      <c r="L1454" s="64"/>
      <c r="M1454" s="64"/>
      <c r="N1454" s="64"/>
      <c r="O1454" s="56">
        <f>AGA_prem_2hypoglycaemia_4</f>
        <v>0.15</v>
      </c>
      <c r="P1454" s="64"/>
      <c r="Q1454" s="54" t="s">
        <v>226</v>
      </c>
      <c r="R1454" s="54"/>
      <c r="S1454" s="129"/>
      <c r="T1454" s="105"/>
      <c r="U1454" s="133">
        <f>$K$1441*$I$1430*$G$1398*$E$1436*$C$1505*$A$1460*$M$1456*$O$1454*Q1455</f>
        <v>2.8063009670822566E-5</v>
      </c>
      <c r="V1454" s="133">
        <v>2.8063009670822573E-5</v>
      </c>
      <c r="W1454" s="134">
        <f>$K$1442+$I$1431+$G$1399+$E$1437+$C$1506+$A$1461+$M$1457+$O$1455+Q1456</f>
        <v>217931.92770810809</v>
      </c>
      <c r="X1454" s="133">
        <f>u_CongnitiveImpairement</f>
        <v>17.270393127285455</v>
      </c>
      <c r="Y1454" s="133"/>
      <c r="Z1454" s="134">
        <f t="shared" si="126"/>
        <v>6.1158257948536416</v>
      </c>
      <c r="AA1454" s="6">
        <f t="shared" si="125"/>
        <v>4.8465920934991931E-4</v>
      </c>
    </row>
    <row r="1455" spans="1:27" x14ac:dyDescent="0.3">
      <c r="A1455" s="41"/>
      <c r="B1455" s="41"/>
      <c r="C1455" s="41"/>
      <c r="D1455" s="41"/>
      <c r="E1455" s="41"/>
      <c r="F1455" s="41"/>
      <c r="G1455" s="64"/>
      <c r="H1455" s="64"/>
      <c r="I1455" s="64"/>
      <c r="J1455" s="64"/>
      <c r="K1455" s="64"/>
      <c r="L1455" s="64"/>
      <c r="M1455" s="54" t="s">
        <v>203</v>
      </c>
      <c r="N1455" s="64"/>
      <c r="O1455" s="57">
        <f>c_hypo</f>
        <v>2936.2604000000001</v>
      </c>
      <c r="P1455" s="64"/>
      <c r="Q1455" s="56">
        <f>Hypo2CI_4-(Hypo2CI_4*RDS2CLD_4)</f>
        <v>3.2801999999999998E-2</v>
      </c>
      <c r="R1455" s="56"/>
      <c r="S1455" s="129"/>
      <c r="T1455" s="105"/>
      <c r="U1455" s="133"/>
      <c r="V1455" s="133"/>
      <c r="W1455" s="133"/>
      <c r="X1455" s="133"/>
      <c r="Y1455" s="133"/>
      <c r="Z1455" s="134">
        <f t="shared" si="126"/>
        <v>0</v>
      </c>
      <c r="AA1455" s="6">
        <f t="shared" si="125"/>
        <v>0</v>
      </c>
    </row>
    <row r="1456" spans="1:27" x14ac:dyDescent="0.3">
      <c r="A1456" s="41"/>
      <c r="B1456" s="41"/>
      <c r="C1456" s="41"/>
      <c r="D1456" s="41"/>
      <c r="E1456" s="41"/>
      <c r="F1456" s="41"/>
      <c r="G1456" s="64"/>
      <c r="H1456" s="64"/>
      <c r="I1456" s="64"/>
      <c r="J1456" s="64"/>
      <c r="K1456" s="64"/>
      <c r="L1456" s="64"/>
      <c r="M1456" s="56">
        <f>S_prem_2noRDS_4</f>
        <v>0.55000000000000004</v>
      </c>
      <c r="N1456" s="64"/>
      <c r="O1456" s="53"/>
      <c r="P1456" s="64"/>
      <c r="Q1456" s="57">
        <f>c_cog+c_hosp_fu+c_CSG</f>
        <v>15766</v>
      </c>
      <c r="R1456" s="57"/>
      <c r="S1456" s="129"/>
      <c r="T1456" s="105"/>
      <c r="U1456" s="133"/>
      <c r="V1456" s="133"/>
      <c r="W1456" s="133"/>
      <c r="X1456" s="133"/>
      <c r="Y1456" s="133"/>
      <c r="Z1456" s="134">
        <f t="shared" si="126"/>
        <v>0</v>
      </c>
      <c r="AA1456" s="6">
        <f t="shared" si="125"/>
        <v>0</v>
      </c>
    </row>
    <row r="1457" spans="1:27" x14ac:dyDescent="0.3">
      <c r="A1457" s="41"/>
      <c r="B1457" s="41"/>
      <c r="C1457" s="41"/>
      <c r="D1457" s="41"/>
      <c r="E1457" s="41"/>
      <c r="F1457" s="41"/>
      <c r="G1457" s="64"/>
      <c r="H1457" s="64"/>
      <c r="I1457" s="64"/>
      <c r="J1457" s="64"/>
      <c r="K1457" s="64"/>
      <c r="L1457" s="64"/>
      <c r="M1457" s="57"/>
      <c r="N1457" s="64"/>
      <c r="O1457" s="65"/>
      <c r="P1457" s="64"/>
      <c r="Q1457" s="54" t="s">
        <v>369</v>
      </c>
      <c r="R1457" s="54"/>
      <c r="S1457" s="129"/>
      <c r="T1457" s="105"/>
      <c r="U1457" s="136">
        <f>G1398*E1436*C1505*A1460*I1430*K1441*M1456*O1454*Q1458</f>
        <v>1.585406336645845E-5</v>
      </c>
      <c r="V1457" s="133">
        <v>1.585406336645845E-5</v>
      </c>
      <c r="W1457" s="134">
        <f>$K$1442+$I$1431+$G$1399+$E$1437+$C$1506+$A$1461+$M$1457+$O$1455+Q1459</f>
        <v>260514.43861050811</v>
      </c>
      <c r="X1457" s="133">
        <f>u_ChronicResp+u_CongnitiveImpairement</f>
        <v>17.805052694763283</v>
      </c>
      <c r="Y1457" s="133"/>
      <c r="Z1457" s="134">
        <f t="shared" si="126"/>
        <v>4.1302124176083455</v>
      </c>
      <c r="AA1457" s="6">
        <f t="shared" si="125"/>
        <v>2.8228243366590887E-4</v>
      </c>
    </row>
    <row r="1458" spans="1:27" x14ac:dyDescent="0.3">
      <c r="A1458" s="41" t="s">
        <v>300</v>
      </c>
      <c r="B1458" s="41"/>
      <c r="C1458" s="41"/>
      <c r="D1458" s="41"/>
      <c r="E1458" s="41"/>
      <c r="F1458" s="41"/>
      <c r="G1458" s="64"/>
      <c r="H1458" s="64"/>
      <c r="I1458" s="53"/>
      <c r="J1458" s="53"/>
      <c r="K1458" s="64"/>
      <c r="L1458" s="64"/>
      <c r="M1458" s="65"/>
      <c r="N1458" s="64"/>
      <c r="O1458" s="41"/>
      <c r="P1458" s="64"/>
      <c r="Q1458" s="56">
        <f>Hypo2CI_4*RDS2CLD_4</f>
        <v>1.8531333333333334E-2</v>
      </c>
      <c r="R1458" s="56"/>
      <c r="S1458" s="129"/>
      <c r="T1458" s="105"/>
      <c r="U1458" s="133"/>
      <c r="V1458" s="133"/>
      <c r="W1458" s="133"/>
      <c r="X1458" s="133"/>
      <c r="Y1458" s="133"/>
      <c r="Z1458" s="134">
        <f t="shared" si="126"/>
        <v>0</v>
      </c>
      <c r="AA1458" s="6">
        <f t="shared" si="125"/>
        <v>0</v>
      </c>
    </row>
    <row r="1459" spans="1:27" x14ac:dyDescent="0.3">
      <c r="A1459" s="54" t="s">
        <v>23</v>
      </c>
      <c r="B1459" s="41"/>
      <c r="C1459" s="41"/>
      <c r="D1459" s="41"/>
      <c r="E1459" s="41"/>
      <c r="F1459" s="41"/>
      <c r="G1459" s="64"/>
      <c r="H1459" s="64"/>
      <c r="I1459" s="53"/>
      <c r="J1459" s="53"/>
      <c r="K1459" s="64"/>
      <c r="L1459" s="64"/>
      <c r="M1459" s="65"/>
      <c r="N1459" s="64"/>
      <c r="O1459" s="41"/>
      <c r="P1459" s="64"/>
      <c r="Q1459" s="57">
        <f>c_lung+c_cog+c_hosp_fu+c_CSG</f>
        <v>58348.510902399998</v>
      </c>
      <c r="R1459" s="57"/>
      <c r="S1459" s="129"/>
      <c r="T1459" s="105"/>
      <c r="U1459" s="133"/>
      <c r="V1459" s="133"/>
      <c r="W1459" s="133"/>
      <c r="X1459" s="133"/>
      <c r="Y1459" s="133"/>
      <c r="Z1459" s="134">
        <f t="shared" si="126"/>
        <v>0</v>
      </c>
      <c r="AA1459" s="6">
        <f t="shared" si="125"/>
        <v>0</v>
      </c>
    </row>
    <row r="1460" spans="1:27" x14ac:dyDescent="0.3">
      <c r="A1460" s="56">
        <f>NoG2noANC</f>
        <v>0.16900000000000004</v>
      </c>
      <c r="B1460" s="41"/>
      <c r="C1460" s="41"/>
      <c r="D1460" s="41"/>
      <c r="E1460" s="41"/>
      <c r="F1460" s="41"/>
      <c r="G1460" s="64"/>
      <c r="H1460" s="64"/>
      <c r="I1460" s="53"/>
      <c r="J1460" s="53"/>
      <c r="K1460" s="64"/>
      <c r="L1460" s="64"/>
      <c r="M1460" s="65"/>
      <c r="N1460" s="64"/>
      <c r="O1460" s="41"/>
      <c r="P1460" s="64"/>
      <c r="Q1460" s="54" t="s">
        <v>370</v>
      </c>
      <c r="R1460" s="54"/>
      <c r="T1460" s="105"/>
      <c r="U1460" s="133">
        <f>$K$1441*$I$1430*$G$1398*$E$1436*$C$1505*$A$1460*$M$1456*$O$1454*Q1461</f>
        <v>5.1861899690364306E-4</v>
      </c>
      <c r="V1460" s="133">
        <v>5.1861899690364317E-4</v>
      </c>
      <c r="W1460" s="134">
        <f>$K$1442+$I$1431+$G$1399+$E$1437+$C$1506+$A$1461+$M$1457+$O$1455+Q1462</f>
        <v>216568.92770810809</v>
      </c>
      <c r="X1460" s="133">
        <f>u_Healthy</f>
        <v>0</v>
      </c>
      <c r="Y1460" s="133"/>
      <c r="Z1460" s="134">
        <f t="shared" si="126"/>
        <v>112.31676004847661</v>
      </c>
      <c r="AA1460" s="6">
        <f t="shared" si="125"/>
        <v>0</v>
      </c>
    </row>
    <row r="1461" spans="1:27" x14ac:dyDescent="0.3">
      <c r="A1461" s="57"/>
      <c r="B1461" s="41"/>
      <c r="C1461" s="41"/>
      <c r="D1461" s="41"/>
      <c r="E1461" s="41"/>
      <c r="F1461" s="41"/>
      <c r="G1461" s="64"/>
      <c r="H1461" s="64"/>
      <c r="I1461" s="53"/>
      <c r="J1461" s="53"/>
      <c r="K1461" s="64"/>
      <c r="L1461" s="64"/>
      <c r="M1461" s="65"/>
      <c r="N1461" s="64"/>
      <c r="O1461" s="65"/>
      <c r="P1461" s="64"/>
      <c r="Q1461" s="56">
        <f>1-Q1452-Q1455-Q1458</f>
        <v>0.60619800000000001</v>
      </c>
      <c r="R1461" s="56"/>
      <c r="S1461" s="129"/>
      <c r="T1461" s="105"/>
      <c r="U1461" s="133"/>
      <c r="V1461" s="133"/>
      <c r="W1461" s="133"/>
      <c r="X1461" s="133"/>
      <c r="Y1461" s="133"/>
      <c r="Z1461" s="134">
        <f t="shared" si="126"/>
        <v>0</v>
      </c>
      <c r="AA1461" s="6">
        <f t="shared" si="125"/>
        <v>0</v>
      </c>
    </row>
    <row r="1462" spans="1:27" x14ac:dyDescent="0.3">
      <c r="A1462" s="41"/>
      <c r="B1462" s="41"/>
      <c r="C1462" s="41"/>
      <c r="D1462" s="41"/>
      <c r="E1462" s="41"/>
      <c r="F1462" s="41"/>
      <c r="G1462" s="64"/>
      <c r="H1462" s="64"/>
      <c r="I1462" s="53"/>
      <c r="J1462" s="53"/>
      <c r="K1462" s="64"/>
      <c r="L1462" s="64"/>
      <c r="M1462" s="65"/>
      <c r="N1462" s="64"/>
      <c r="O1462" s="64"/>
      <c r="P1462" s="64"/>
      <c r="Q1462" s="57">
        <f>c_clinic_fu+c_CSG</f>
        <v>14403</v>
      </c>
      <c r="R1462" s="57"/>
      <c r="S1462" s="130"/>
      <c r="T1462" s="105"/>
      <c r="U1462" s="133"/>
      <c r="V1462" s="133"/>
      <c r="W1462" s="133"/>
      <c r="X1462" s="133"/>
      <c r="Y1462" s="133"/>
      <c r="Z1462" s="134">
        <f t="shared" si="126"/>
        <v>0</v>
      </c>
      <c r="AA1462" s="6">
        <f t="shared" si="125"/>
        <v>0</v>
      </c>
    </row>
    <row r="1463" spans="1:27" x14ac:dyDescent="0.3">
      <c r="A1463" s="41"/>
      <c r="B1463" s="41"/>
      <c r="C1463" s="41"/>
      <c r="D1463" s="41"/>
      <c r="E1463" s="41"/>
      <c r="F1463" s="41"/>
      <c r="G1463" s="64"/>
      <c r="H1463" s="64"/>
      <c r="I1463" s="41"/>
      <c r="J1463" s="64"/>
      <c r="K1463" s="64"/>
      <c r="L1463" s="64"/>
      <c r="M1463" s="65"/>
      <c r="N1463" s="64"/>
      <c r="O1463" s="64"/>
      <c r="P1463" s="64"/>
      <c r="Q1463" s="65"/>
      <c r="R1463" s="65"/>
      <c r="S1463" s="129"/>
      <c r="T1463" s="105"/>
      <c r="U1463" s="133"/>
      <c r="V1463" s="133"/>
      <c r="W1463" s="133"/>
      <c r="X1463" s="133"/>
      <c r="Y1463" s="133"/>
      <c r="Z1463" s="134">
        <f t="shared" si="126"/>
        <v>0</v>
      </c>
      <c r="AA1463" s="6">
        <f t="shared" si="125"/>
        <v>0</v>
      </c>
    </row>
    <row r="1464" spans="1:27" x14ac:dyDescent="0.3">
      <c r="A1464" s="41"/>
      <c r="B1464" s="41"/>
      <c r="C1464" s="41"/>
      <c r="D1464" s="41"/>
      <c r="E1464" s="41"/>
      <c r="F1464" s="41"/>
      <c r="G1464" s="64"/>
      <c r="H1464" s="64"/>
      <c r="I1464" s="41"/>
      <c r="J1464" s="64"/>
      <c r="K1464" s="64"/>
      <c r="L1464" s="64"/>
      <c r="M1464" s="65"/>
      <c r="N1464" s="64"/>
      <c r="O1464" s="64"/>
      <c r="P1464" s="64"/>
      <c r="Q1464" s="54" t="s">
        <v>368</v>
      </c>
      <c r="R1464" s="54"/>
      <c r="S1464" s="129"/>
      <c r="T1464" s="105"/>
      <c r="U1464" s="133">
        <f>$K$1441*$I$1430*$G$1398*$E$1436*$C$1505*$A$1460*$M$1456*$O$1468*Q1465</f>
        <v>1.6922200205973365E-3</v>
      </c>
      <c r="V1464" s="133">
        <v>1.6922200205973369E-3</v>
      </c>
      <c r="W1464" s="134">
        <f>$K$1442+$I$1431+$G$1399+$E$1437+$C$1506+$A$1461+$M$1457+$O$1469+Q1466</f>
        <v>253759.17821050808</v>
      </c>
      <c r="X1464" s="133">
        <f>u_ChronicResp</f>
        <v>0.53465956747782661</v>
      </c>
      <c r="Y1464" s="133"/>
      <c r="Z1464" s="134">
        <f t="shared" si="126"/>
        <v>429.41636177814917</v>
      </c>
      <c r="AA1464" s="6">
        <f t="shared" si="125"/>
        <v>9.0476162428989074E-4</v>
      </c>
    </row>
    <row r="1465" spans="1:27" x14ac:dyDescent="0.3">
      <c r="A1465" s="41"/>
      <c r="B1465" s="41"/>
      <c r="C1465" s="41"/>
      <c r="D1465" s="41"/>
      <c r="E1465" s="41"/>
      <c r="F1465" s="41"/>
      <c r="G1465" s="64"/>
      <c r="H1465" s="64"/>
      <c r="I1465" s="41"/>
      <c r="J1465" s="64"/>
      <c r="K1465" s="64"/>
      <c r="L1465" s="64"/>
      <c r="M1465" s="65"/>
      <c r="N1465" s="64"/>
      <c r="O1465" s="64"/>
      <c r="P1465" s="64"/>
      <c r="Q1465" s="56">
        <f>RDS2CLD_4-(RDS2CLD_4*noHypo2CI_4)</f>
        <v>0.34905610687022898</v>
      </c>
      <c r="R1465" s="56"/>
      <c r="S1465" s="129"/>
      <c r="T1465" s="105"/>
      <c r="U1465" s="133"/>
      <c r="V1465" s="133"/>
      <c r="W1465" s="133"/>
      <c r="X1465" s="133"/>
      <c r="Y1465" s="133"/>
      <c r="Z1465" s="134">
        <f t="shared" si="126"/>
        <v>0</v>
      </c>
      <c r="AA1465" s="6">
        <f t="shared" si="125"/>
        <v>0</v>
      </c>
    </row>
    <row r="1466" spans="1:27" x14ac:dyDescent="0.3">
      <c r="A1466" s="41"/>
      <c r="B1466" s="41"/>
      <c r="C1466" s="41"/>
      <c r="D1466" s="41"/>
      <c r="E1466" s="41"/>
      <c r="F1466" s="41"/>
      <c r="G1466" s="64"/>
      <c r="H1466" s="64"/>
      <c r="I1466" s="64"/>
      <c r="J1466" s="64"/>
      <c r="K1466" s="64"/>
      <c r="L1466" s="64"/>
      <c r="M1466" s="65"/>
      <c r="N1466" s="64"/>
      <c r="O1466" s="64"/>
      <c r="P1466" s="64"/>
      <c r="Q1466" s="57">
        <f>c_lung+c_hosp_fu+c_CSG</f>
        <v>54529.510902399998</v>
      </c>
      <c r="R1466" s="57"/>
      <c r="S1466" s="129"/>
      <c r="T1466" s="105"/>
      <c r="U1466" s="133"/>
      <c r="V1466" s="10"/>
      <c r="W1466" s="133"/>
      <c r="X1466" s="133"/>
      <c r="Y1466" s="133"/>
      <c r="Z1466" s="134">
        <f t="shared" si="126"/>
        <v>0</v>
      </c>
      <c r="AA1466" s="6">
        <f t="shared" si="125"/>
        <v>0</v>
      </c>
    </row>
    <row r="1467" spans="1:27" x14ac:dyDescent="0.3">
      <c r="A1467" s="41"/>
      <c r="B1467" s="41"/>
      <c r="C1467" s="41"/>
      <c r="D1467" s="41"/>
      <c r="E1467" s="41"/>
      <c r="F1467" s="41"/>
      <c r="G1467" s="64"/>
      <c r="H1467" s="64"/>
      <c r="I1467" s="64"/>
      <c r="J1467" s="64"/>
      <c r="K1467" s="64"/>
      <c r="L1467" s="64"/>
      <c r="M1467" s="65"/>
      <c r="N1467" s="64"/>
      <c r="O1467" s="54" t="s">
        <v>371</v>
      </c>
      <c r="P1467" s="64"/>
      <c r="Q1467" s="54" t="s">
        <v>226</v>
      </c>
      <c r="R1467" s="54"/>
      <c r="S1467" s="129"/>
      <c r="T1467" s="105"/>
      <c r="U1467" s="133">
        <f>$K$1441*$I$1430*$G$1398*$E$1436*$C$1505*$A$1460*$M$1456*$O$1468*Q1468</f>
        <v>1.0249463976214319E-4</v>
      </c>
      <c r="V1467" s="133">
        <v>1.0249463976214322E-4</v>
      </c>
      <c r="W1467" s="134">
        <f>$K$1442+$I$1431+$G$1399+$E$1437+$C$1506+$A$1461+$M$1457+$O$1469+Q1469</f>
        <v>214995.6673081081</v>
      </c>
      <c r="X1467" s="133">
        <f>u_CongnitiveImpairement</f>
        <v>17.270393127285455</v>
      </c>
      <c r="Y1467" s="133"/>
      <c r="Z1467" s="134">
        <f t="shared" si="126"/>
        <v>22.035903471166126</v>
      </c>
      <c r="AA1467" s="6">
        <f t="shared" si="125"/>
        <v>1.7701227221317162E-3</v>
      </c>
    </row>
    <row r="1468" spans="1:27" x14ac:dyDescent="0.3">
      <c r="A1468" s="41"/>
      <c r="B1468" s="41"/>
      <c r="C1468" s="41"/>
      <c r="D1468" s="41"/>
      <c r="E1468" s="41"/>
      <c r="F1468" s="41"/>
      <c r="G1468" s="64"/>
      <c r="H1468" s="64"/>
      <c r="I1468" s="64"/>
      <c r="J1468" s="64"/>
      <c r="K1468" s="64"/>
      <c r="L1468" s="64"/>
      <c r="M1468" s="65"/>
      <c r="N1468" s="64"/>
      <c r="O1468" s="56">
        <f>AGA_prem_2normoglycaemia_4</f>
        <v>0.85</v>
      </c>
      <c r="P1468" s="64"/>
      <c r="Q1468" s="56">
        <f>noHypo2CI_4-(RDS2CLD_4*noHypo2CI_4)</f>
        <v>2.1141683406990762E-2</v>
      </c>
      <c r="R1468" s="56"/>
      <c r="S1468" s="129"/>
      <c r="T1468" s="105"/>
      <c r="U1468" s="133"/>
      <c r="V1468" s="133"/>
      <c r="W1468" s="133"/>
      <c r="X1468" s="133"/>
      <c r="Y1468" s="133"/>
      <c r="Z1468" s="134">
        <f t="shared" si="126"/>
        <v>0</v>
      </c>
      <c r="AA1468" s="6">
        <f t="shared" si="125"/>
        <v>0</v>
      </c>
    </row>
    <row r="1469" spans="1:27" x14ac:dyDescent="0.3">
      <c r="A1469" s="41"/>
      <c r="B1469" s="41"/>
      <c r="C1469" s="41"/>
      <c r="D1469" s="41"/>
      <c r="E1469" s="41"/>
      <c r="F1469" s="41"/>
      <c r="G1469" s="64"/>
      <c r="H1469" s="64"/>
      <c r="I1469" s="64"/>
      <c r="J1469" s="64"/>
      <c r="K1469" s="64"/>
      <c r="L1469" s="64"/>
      <c r="M1469" s="65"/>
      <c r="N1469" s="64"/>
      <c r="O1469" s="57"/>
      <c r="P1469" s="64"/>
      <c r="Q1469" s="57">
        <f>c_cog+c_hosp_fu+c_CSG</f>
        <v>15766</v>
      </c>
      <c r="R1469" s="57"/>
      <c r="S1469" s="129"/>
      <c r="T1469" s="105"/>
      <c r="U1469" s="133"/>
      <c r="V1469" s="133"/>
      <c r="W1469" s="133"/>
      <c r="X1469" s="133"/>
      <c r="Y1469" s="133"/>
      <c r="Z1469" s="134">
        <f t="shared" si="126"/>
        <v>0</v>
      </c>
      <c r="AA1469" s="6">
        <f t="shared" si="125"/>
        <v>0</v>
      </c>
    </row>
    <row r="1470" spans="1:27" x14ac:dyDescent="0.3">
      <c r="A1470" s="41"/>
      <c r="B1470" s="41"/>
      <c r="C1470" s="41"/>
      <c r="D1470" s="41"/>
      <c r="E1470" s="41"/>
      <c r="F1470" s="41"/>
      <c r="G1470" s="64"/>
      <c r="H1470" s="64"/>
      <c r="I1470" s="64"/>
      <c r="J1470" s="64"/>
      <c r="K1470" s="64"/>
      <c r="L1470" s="64"/>
      <c r="M1470" s="65"/>
      <c r="N1470" s="64"/>
      <c r="O1470" s="64"/>
      <c r="P1470" s="64"/>
      <c r="Q1470" s="54" t="s">
        <v>369</v>
      </c>
      <c r="R1470" s="54"/>
      <c r="S1470" s="129"/>
      <c r="T1470" s="105"/>
      <c r="U1470" s="133">
        <f>$K$1441*$I$1430*$G$1398*$E$1436*$C$1505*$A$1460*$M$1456*$O$1468*Q1471</f>
        <v>5.7903857518206079E-5</v>
      </c>
      <c r="V1470" s="133">
        <v>5.7903857518206092E-5</v>
      </c>
      <c r="W1470" s="134">
        <f>$K$1442+$I$1431+$G$1399+$E$1437+$C$1506+$A$1461+$M$1457+$O$1469+Q1472</f>
        <v>257578.17821050808</v>
      </c>
      <c r="X1470" s="133">
        <f>u_ChronicResp+u_CongnitiveImpairement</f>
        <v>17.805052694763283</v>
      </c>
      <c r="Y1470" s="133"/>
      <c r="Z1470" s="134">
        <f t="shared" si="126"/>
        <v>14.914770130900353</v>
      </c>
      <c r="AA1470" s="6">
        <f t="shared" si="125"/>
        <v>1.0309812343417242E-3</v>
      </c>
    </row>
    <row r="1471" spans="1:27" x14ac:dyDescent="0.3">
      <c r="A1471" s="41"/>
      <c r="B1471" s="41"/>
      <c r="C1471" s="41"/>
      <c r="D1471" s="41"/>
      <c r="E1471" s="41"/>
      <c r="F1471" s="41"/>
      <c r="G1471" s="64"/>
      <c r="H1471" s="64"/>
      <c r="I1471" s="64"/>
      <c r="J1471" s="64"/>
      <c r="K1471" s="64"/>
      <c r="L1471" s="64"/>
      <c r="M1471" s="53"/>
      <c r="N1471" s="64"/>
      <c r="O1471" s="64"/>
      <c r="P1471" s="64"/>
      <c r="Q1471" s="56">
        <f>RDS2CLD_4*noHypo2CI_4</f>
        <v>1.1943893129770991E-2</v>
      </c>
      <c r="R1471" s="56"/>
      <c r="S1471" s="129"/>
      <c r="T1471" s="105"/>
      <c r="U1471" s="133"/>
      <c r="V1471" s="133"/>
      <c r="W1471" s="133"/>
      <c r="X1471" s="133"/>
      <c r="Y1471" s="133"/>
      <c r="Z1471" s="134">
        <f t="shared" si="126"/>
        <v>0</v>
      </c>
      <c r="AA1471" s="6">
        <f t="shared" si="125"/>
        <v>0</v>
      </c>
    </row>
    <row r="1472" spans="1:27" x14ac:dyDescent="0.3">
      <c r="A1472" s="41"/>
      <c r="B1472" s="41"/>
      <c r="C1472" s="41"/>
      <c r="D1472" s="41"/>
      <c r="E1472" s="41"/>
      <c r="F1472" s="41"/>
      <c r="G1472" s="64"/>
      <c r="H1472" s="64"/>
      <c r="I1472" s="64"/>
      <c r="J1472" s="64"/>
      <c r="K1472" s="64"/>
      <c r="L1472" s="64"/>
      <c r="M1472" s="44"/>
      <c r="N1472" s="64"/>
      <c r="O1472" s="64"/>
      <c r="P1472" s="64"/>
      <c r="Q1472" s="57">
        <f>c_cog+c_lung+c_hosp_fu+c_CSG</f>
        <v>58348.510902399998</v>
      </c>
      <c r="R1472" s="57"/>
      <c r="S1472" s="129"/>
      <c r="T1472" s="105"/>
      <c r="U1472" s="133"/>
      <c r="V1472" s="133"/>
      <c r="W1472" s="133"/>
      <c r="X1472" s="133"/>
      <c r="Y1472" s="133"/>
      <c r="Z1472" s="134">
        <f t="shared" si="126"/>
        <v>0</v>
      </c>
      <c r="AA1472" s="6">
        <f t="shared" si="125"/>
        <v>0</v>
      </c>
    </row>
    <row r="1473" spans="1:27" x14ac:dyDescent="0.3">
      <c r="A1473" s="41"/>
      <c r="B1473" s="41"/>
      <c r="C1473" s="41"/>
      <c r="D1473" s="41"/>
      <c r="E1473" s="41"/>
      <c r="F1473" s="41"/>
      <c r="G1473" s="64"/>
      <c r="H1473" s="64"/>
      <c r="I1473" s="64"/>
      <c r="J1473" s="64"/>
      <c r="K1473" s="64"/>
      <c r="L1473" s="64"/>
      <c r="M1473" s="65"/>
      <c r="N1473" s="64"/>
      <c r="O1473" s="64"/>
      <c r="P1473" s="64"/>
      <c r="Q1473" s="54" t="s">
        <v>370</v>
      </c>
      <c r="R1473" s="54"/>
      <c r="T1473" s="105"/>
      <c r="U1473" s="133">
        <f>$K$1441*$I$1430*$G$1398*$E$1436*$C$1505*$A$1460*$M$1456*$O$1468*Q1474</f>
        <v>2.9953700641598292E-3</v>
      </c>
      <c r="V1473" s="133">
        <v>2.99537006415983E-3</v>
      </c>
      <c r="W1473" s="134">
        <f>$K$1442+$I$1431+$G$1399+$E$1437+$C$1506+$A$1461+$M$1457+$O$1469+Q1475</f>
        <v>213632.6673081081</v>
      </c>
      <c r="X1473" s="133">
        <f>u_Healthy</f>
        <v>0</v>
      </c>
      <c r="Y1473" s="133"/>
      <c r="Z1473" s="134">
        <f t="shared" si="126"/>
        <v>639.90889638132319</v>
      </c>
      <c r="AA1473" s="6">
        <f t="shared" si="125"/>
        <v>0</v>
      </c>
    </row>
    <row r="1474" spans="1:27" x14ac:dyDescent="0.3">
      <c r="A1474" s="41"/>
      <c r="B1474" s="41"/>
      <c r="C1474" s="41"/>
      <c r="D1474" s="41"/>
      <c r="E1474" s="41"/>
      <c r="F1474" s="41"/>
      <c r="G1474" s="64"/>
      <c r="H1474" s="64"/>
      <c r="I1474" s="64"/>
      <c r="J1474" s="64"/>
      <c r="K1474" s="64"/>
      <c r="L1474" s="64"/>
      <c r="M1474" s="65"/>
      <c r="N1474" s="44"/>
      <c r="O1474" s="64"/>
      <c r="P1474" s="64"/>
      <c r="Q1474" s="56">
        <f>1-Q1471-Q1468-Q1465</f>
        <v>0.61785831659300938</v>
      </c>
      <c r="R1474" s="56"/>
      <c r="S1474" s="129"/>
      <c r="T1474" s="105"/>
      <c r="U1474" s="133"/>
      <c r="V1474" s="133"/>
      <c r="W1474" s="133"/>
      <c r="X1474" s="133"/>
      <c r="Y1474" s="133"/>
      <c r="Z1474" s="134">
        <f t="shared" si="126"/>
        <v>0</v>
      </c>
      <c r="AA1474" s="6">
        <f t="shared" si="125"/>
        <v>0</v>
      </c>
    </row>
    <row r="1475" spans="1:27" x14ac:dyDescent="0.3">
      <c r="A1475" s="41"/>
      <c r="B1475" s="41"/>
      <c r="C1475" s="41"/>
      <c r="D1475" s="41"/>
      <c r="E1475" s="41"/>
      <c r="F1475" s="41"/>
      <c r="G1475" s="64"/>
      <c r="H1475" s="64"/>
      <c r="I1475" s="64"/>
      <c r="J1475" s="64"/>
      <c r="K1475" s="64"/>
      <c r="L1475" s="64"/>
      <c r="M1475" s="65"/>
      <c r="N1475" s="64"/>
      <c r="O1475" s="64"/>
      <c r="P1475" s="64"/>
      <c r="Q1475" s="57">
        <f>c_clinic_fu+c_CSG</f>
        <v>14403</v>
      </c>
      <c r="R1475" s="57"/>
      <c r="T1475" s="105"/>
      <c r="U1475" s="133"/>
      <c r="V1475" s="133"/>
      <c r="W1475" s="133"/>
      <c r="X1475" s="133"/>
      <c r="Y1475" s="133"/>
      <c r="Z1475" s="134">
        <f t="shared" si="126"/>
        <v>0</v>
      </c>
      <c r="AA1475" s="6">
        <f t="shared" si="125"/>
        <v>0</v>
      </c>
    </row>
    <row r="1476" spans="1:27" x14ac:dyDescent="0.3">
      <c r="A1476" s="41"/>
      <c r="B1476" s="41"/>
      <c r="C1476" s="41"/>
      <c r="D1476" s="41"/>
      <c r="E1476" s="41"/>
      <c r="F1476" s="41"/>
      <c r="G1476" s="64"/>
      <c r="H1476" s="64"/>
      <c r="I1476" s="64"/>
      <c r="J1476" s="64"/>
      <c r="K1476" s="64"/>
      <c r="L1476" s="64"/>
      <c r="M1476" s="65"/>
      <c r="N1476" s="64"/>
      <c r="O1476" s="64"/>
      <c r="P1476" s="64"/>
      <c r="Q1476" s="65"/>
      <c r="R1476" s="65"/>
      <c r="S1476" s="129"/>
      <c r="T1476" s="105"/>
      <c r="U1476" s="133"/>
      <c r="V1476" s="133"/>
      <c r="W1476" s="133"/>
      <c r="X1476" s="133"/>
      <c r="Y1476" s="133"/>
      <c r="Z1476" s="134">
        <f t="shared" si="126"/>
        <v>0</v>
      </c>
      <c r="AA1476" s="6">
        <f t="shared" si="125"/>
        <v>0</v>
      </c>
    </row>
    <row r="1477" spans="1:27" x14ac:dyDescent="0.3">
      <c r="A1477" s="41"/>
      <c r="B1477" s="41"/>
      <c r="C1477" s="41"/>
      <c r="D1477" s="41"/>
      <c r="E1477" s="41"/>
      <c r="F1477" s="41"/>
      <c r="G1477" s="64"/>
      <c r="H1477" s="64"/>
      <c r="I1477" s="64"/>
      <c r="J1477" s="64"/>
      <c r="K1477" s="54" t="s">
        <v>165</v>
      </c>
      <c r="L1477" s="54"/>
      <c r="M1477" s="54"/>
      <c r="N1477" s="54"/>
      <c r="O1477" s="54"/>
      <c r="P1477" s="54"/>
      <c r="Q1477" s="54"/>
      <c r="R1477" s="54"/>
      <c r="S1477" s="129"/>
      <c r="T1477" s="105"/>
      <c r="U1477" s="133">
        <f>$K$1478*$I$1486*$G$1507*$E$1436*$C$1505*$A$1460</f>
        <v>0</v>
      </c>
      <c r="V1477" s="133"/>
      <c r="W1477" s="134">
        <f>$K$1479+$I$1487+$G$1508+$E$1437+$C$1506+$A$1461</f>
        <v>5468.7817081081084</v>
      </c>
      <c r="X1477" s="133">
        <f>u_Death</f>
        <v>19.181538114427529</v>
      </c>
      <c r="Y1477" s="133"/>
      <c r="Z1477" s="134">
        <f t="shared" si="126"/>
        <v>0</v>
      </c>
      <c r="AA1477" s="6">
        <f t="shared" si="125"/>
        <v>0</v>
      </c>
    </row>
    <row r="1478" spans="1:27" x14ac:dyDescent="0.3">
      <c r="A1478" s="41"/>
      <c r="B1478" s="41"/>
      <c r="C1478" s="41"/>
      <c r="D1478" s="41"/>
      <c r="E1478" s="41"/>
      <c r="F1478" s="41"/>
      <c r="G1478" s="64"/>
      <c r="H1478" s="64"/>
      <c r="I1478" s="64"/>
      <c r="J1478" s="64"/>
      <c r="K1478" s="56">
        <f>SGA_prem_2d_4</f>
        <v>8.4066666666666665E-2</v>
      </c>
      <c r="L1478" s="64"/>
      <c r="M1478" s="64"/>
      <c r="N1478" s="64"/>
      <c r="O1478" s="64"/>
      <c r="P1478" s="64"/>
      <c r="Q1478" s="64"/>
      <c r="R1478" s="64"/>
      <c r="S1478" s="129"/>
      <c r="T1478" s="105"/>
      <c r="U1478" s="133"/>
      <c r="V1478" s="133">
        <v>0</v>
      </c>
      <c r="W1478" s="133"/>
      <c r="X1478" s="133"/>
      <c r="Y1478" s="133"/>
      <c r="Z1478" s="134">
        <f t="shared" si="126"/>
        <v>0</v>
      </c>
      <c r="AA1478" s="6">
        <f t="shared" si="125"/>
        <v>0</v>
      </c>
    </row>
    <row r="1479" spans="1:27" x14ac:dyDescent="0.3">
      <c r="A1479" s="41"/>
      <c r="B1479" s="41"/>
      <c r="C1479" s="41"/>
      <c r="D1479" s="41"/>
      <c r="E1479" s="41"/>
      <c r="F1479" s="41"/>
      <c r="G1479" s="64"/>
      <c r="H1479" s="64"/>
      <c r="I1479" s="64"/>
      <c r="J1479" s="64"/>
      <c r="K1479" s="57">
        <f>c_SB</f>
        <v>1792</v>
      </c>
      <c r="L1479" s="64"/>
      <c r="M1479" s="64"/>
      <c r="N1479" s="64"/>
      <c r="O1479" s="64"/>
      <c r="P1479" s="64"/>
      <c r="Q1479" s="64"/>
      <c r="R1479" s="64"/>
      <c r="S1479" s="129"/>
      <c r="T1479" s="105"/>
      <c r="U1479" s="133"/>
      <c r="V1479" s="133"/>
      <c r="W1479" s="133"/>
      <c r="X1479" s="133"/>
      <c r="Y1479" s="133"/>
      <c r="Z1479" s="134">
        <f t="shared" si="126"/>
        <v>0</v>
      </c>
      <c r="AA1479" s="6">
        <f t="shared" si="125"/>
        <v>0</v>
      </c>
    </row>
    <row r="1480" spans="1:27" x14ac:dyDescent="0.3">
      <c r="A1480" s="41"/>
      <c r="B1480" s="41"/>
      <c r="C1480" s="41"/>
      <c r="D1480" s="41"/>
      <c r="E1480" s="41"/>
      <c r="F1480" s="41"/>
      <c r="G1480" s="64"/>
      <c r="H1480" s="64"/>
      <c r="I1480" s="53"/>
      <c r="J1480" s="53"/>
      <c r="K1480" s="53"/>
      <c r="L1480" s="53"/>
      <c r="M1480" s="53"/>
      <c r="N1480" s="53"/>
      <c r="O1480" s="53"/>
      <c r="P1480" s="53"/>
      <c r="Q1480" s="53"/>
      <c r="R1480" s="53"/>
      <c r="S1480" s="129"/>
      <c r="T1480" s="105"/>
      <c r="U1480" s="133"/>
      <c r="V1480" s="133"/>
      <c r="W1480" s="133"/>
      <c r="X1480" s="133"/>
      <c r="Y1480" s="133"/>
      <c r="Z1480" s="134">
        <f t="shared" si="126"/>
        <v>0</v>
      </c>
      <c r="AA1480" s="6">
        <f t="shared" si="125"/>
        <v>0</v>
      </c>
    </row>
    <row r="1481" spans="1:27" x14ac:dyDescent="0.3">
      <c r="A1481" s="41"/>
      <c r="B1481" s="41"/>
      <c r="C1481" s="41"/>
      <c r="D1481" s="41"/>
      <c r="E1481" s="41"/>
      <c r="F1481" s="41"/>
      <c r="G1481" s="64"/>
      <c r="H1481" s="64"/>
      <c r="I1481" s="53"/>
      <c r="J1481" s="53"/>
      <c r="K1481" s="53"/>
      <c r="L1481" s="53"/>
      <c r="M1481" s="53"/>
      <c r="N1481" s="53"/>
      <c r="O1481" s="53"/>
      <c r="P1481" s="53"/>
      <c r="Q1481" s="54" t="s">
        <v>368</v>
      </c>
      <c r="R1481" s="54"/>
      <c r="S1481" s="129"/>
      <c r="T1481" s="105"/>
      <c r="U1481" s="133">
        <f>$K$1497*$I$1486*$G$1507*$E$1436*$C$1505*$A$1460*$M$1492*$O$1487*Q1482</f>
        <v>0</v>
      </c>
      <c r="V1481" s="133"/>
      <c r="W1481" s="134">
        <f>$K$1498+$I$1487+$G$1508+$E$1437+$C$1506+$A$1461+$M$1493+$O$1488+Q1483</f>
        <v>91738.163158713738</v>
      </c>
      <c r="X1481" s="133">
        <f>u_ChronicResp</f>
        <v>0.53465956747782661</v>
      </c>
      <c r="Y1481" s="133"/>
      <c r="Z1481" s="134">
        <f t="shared" si="126"/>
        <v>0</v>
      </c>
      <c r="AA1481" s="6">
        <f t="shared" si="125"/>
        <v>0</v>
      </c>
    </row>
    <row r="1482" spans="1:27" x14ac:dyDescent="0.3">
      <c r="A1482" s="41"/>
      <c r="B1482" s="41"/>
      <c r="C1482" s="41"/>
      <c r="D1482" s="41"/>
      <c r="E1482" s="41"/>
      <c r="F1482" s="41"/>
      <c r="G1482" s="64"/>
      <c r="H1482" s="64"/>
      <c r="I1482" s="53"/>
      <c r="J1482" s="53"/>
      <c r="K1482" s="53"/>
      <c r="L1482" s="53"/>
      <c r="M1482" s="53"/>
      <c r="N1482" s="53"/>
      <c r="O1482" s="64"/>
      <c r="P1482" s="64"/>
      <c r="Q1482" s="56">
        <f>RDS2CLD_4-(Hypo2CI_4*RDS2CLD_4)</f>
        <v>0.34246866666666664</v>
      </c>
      <c r="R1482" s="56"/>
      <c r="S1482" s="129"/>
      <c r="T1482" s="105"/>
      <c r="U1482" s="133"/>
      <c r="V1482" s="133">
        <v>0</v>
      </c>
      <c r="W1482" s="133"/>
      <c r="X1482" s="133"/>
      <c r="Y1482" s="133"/>
      <c r="Z1482" s="134">
        <f t="shared" si="126"/>
        <v>0</v>
      </c>
      <c r="AA1482" s="6">
        <f t="shared" si="125"/>
        <v>0</v>
      </c>
    </row>
    <row r="1483" spans="1:27" x14ac:dyDescent="0.3">
      <c r="A1483" s="41"/>
      <c r="B1483" s="41"/>
      <c r="C1483" s="41"/>
      <c r="D1483" s="41"/>
      <c r="E1483" s="41"/>
      <c r="F1483" s="41"/>
      <c r="G1483" s="64"/>
      <c r="H1483" s="64"/>
      <c r="I1483" s="53"/>
      <c r="J1483" s="53"/>
      <c r="K1483" s="53"/>
      <c r="L1483" s="53"/>
      <c r="M1483" s="53"/>
      <c r="N1483" s="53"/>
      <c r="O1483" s="64"/>
      <c r="P1483" s="64"/>
      <c r="Q1483" s="57">
        <f>c_lung+c_hosp_fu+c_CSG</f>
        <v>54529.510902399998</v>
      </c>
      <c r="R1483" s="57"/>
      <c r="S1483" s="129"/>
      <c r="T1483" s="105"/>
      <c r="U1483" s="133"/>
      <c r="V1483" s="133"/>
      <c r="W1483" s="133"/>
      <c r="X1483" s="133"/>
      <c r="Y1483" s="133"/>
      <c r="Z1483" s="134">
        <f t="shared" si="126"/>
        <v>0</v>
      </c>
      <c r="AA1483" s="6">
        <f t="shared" si="125"/>
        <v>0</v>
      </c>
    </row>
    <row r="1484" spans="1:27" x14ac:dyDescent="0.3">
      <c r="A1484" s="41"/>
      <c r="B1484" s="41"/>
      <c r="C1484" s="41"/>
      <c r="D1484" s="41"/>
      <c r="E1484" s="41"/>
      <c r="F1484" s="41"/>
      <c r="G1484" s="64"/>
      <c r="H1484" s="64"/>
      <c r="I1484" s="53"/>
      <c r="J1484" s="53"/>
      <c r="K1484" s="53"/>
      <c r="L1484" s="53"/>
      <c r="M1484" s="53"/>
      <c r="N1484" s="53"/>
      <c r="O1484" s="64"/>
      <c r="P1484" s="64"/>
      <c r="Q1484" s="54" t="s">
        <v>226</v>
      </c>
      <c r="R1484" s="54"/>
      <c r="S1484" s="129"/>
      <c r="T1484" s="105"/>
      <c r="U1484" s="133">
        <f>$K$1497*$I$1486*$G$1507*$E$1436*$C$1505*$A$1460*$M$1492*$O$1487*Q1485</f>
        <v>0</v>
      </c>
      <c r="V1484" s="133"/>
      <c r="W1484" s="134">
        <f>$K$1498+$I$1487+$G$1508+$E$1437+$C$1506+$A$1461+$M$1493+$O$1488+Q1486</f>
        <v>52974.652256313741</v>
      </c>
      <c r="X1484" s="133">
        <f>u_CongnitiveImpairement</f>
        <v>17.270393127285455</v>
      </c>
      <c r="Y1484" s="133"/>
      <c r="Z1484" s="134">
        <f t="shared" si="126"/>
        <v>0</v>
      </c>
      <c r="AA1484" s="6">
        <f t="shared" si="125"/>
        <v>0</v>
      </c>
    </row>
    <row r="1485" spans="1:27" x14ac:dyDescent="0.3">
      <c r="A1485" s="41"/>
      <c r="B1485" s="41"/>
      <c r="C1485" s="41"/>
      <c r="D1485" s="41"/>
      <c r="E1485" s="41"/>
      <c r="F1485" s="41"/>
      <c r="G1485" s="64"/>
      <c r="H1485" s="64"/>
      <c r="I1485" s="54" t="s">
        <v>164</v>
      </c>
      <c r="J1485" s="64"/>
      <c r="K1485" s="64"/>
      <c r="L1485" s="64"/>
      <c r="M1485" s="64"/>
      <c r="N1485" s="64"/>
      <c r="O1485" s="64"/>
      <c r="P1485" s="64"/>
      <c r="Q1485" s="56">
        <f>Hypo2CI_4-(Hypo2CI_4*RDS2CLD_4)</f>
        <v>3.2801999999999998E-2</v>
      </c>
      <c r="R1485" s="56"/>
      <c r="S1485" s="129"/>
      <c r="T1485" s="105"/>
      <c r="U1485" s="133"/>
      <c r="V1485" s="133">
        <v>0</v>
      </c>
      <c r="W1485" s="133"/>
      <c r="X1485" s="133"/>
      <c r="Y1485" s="133"/>
      <c r="Z1485" s="134">
        <f t="shared" si="126"/>
        <v>0</v>
      </c>
      <c r="AA1485" s="6">
        <f t="shared" ref="AA1485:AA1548" si="127">U1485*X1485</f>
        <v>0</v>
      </c>
    </row>
    <row r="1486" spans="1:27" x14ac:dyDescent="0.3">
      <c r="A1486" s="41"/>
      <c r="B1486" s="41"/>
      <c r="C1486" s="41"/>
      <c r="D1486" s="41"/>
      <c r="E1486" s="41"/>
      <c r="F1486" s="41"/>
      <c r="G1486" s="64"/>
      <c r="H1486" s="64"/>
      <c r="I1486" s="56">
        <f>NBW_prem_2SGA_4</f>
        <v>0</v>
      </c>
      <c r="J1486" s="64"/>
      <c r="K1486" s="64"/>
      <c r="L1486" s="64"/>
      <c r="M1486" s="64"/>
      <c r="N1486" s="64"/>
      <c r="O1486" s="54" t="s">
        <v>161</v>
      </c>
      <c r="P1486" s="64"/>
      <c r="Q1486" s="57">
        <f>c_cog+c_hosp_fu+c_CSG</f>
        <v>15766</v>
      </c>
      <c r="R1486" s="57"/>
      <c r="S1486" s="129"/>
      <c r="T1486" s="105"/>
      <c r="U1486" s="133"/>
      <c r="V1486" s="133"/>
      <c r="W1486" s="133"/>
      <c r="X1486" s="133"/>
      <c r="Y1486" s="133"/>
      <c r="Z1486" s="134">
        <f t="shared" si="126"/>
        <v>0</v>
      </c>
      <c r="AA1486" s="6">
        <f t="shared" si="127"/>
        <v>0</v>
      </c>
    </row>
    <row r="1487" spans="1:27" x14ac:dyDescent="0.3">
      <c r="A1487" s="41"/>
      <c r="B1487" s="41"/>
      <c r="C1487" s="41"/>
      <c r="D1487" s="41"/>
      <c r="E1487" s="41"/>
      <c r="F1487" s="41"/>
      <c r="G1487" s="64"/>
      <c r="H1487" s="64"/>
      <c r="I1487" s="57"/>
      <c r="J1487" s="64"/>
      <c r="K1487" s="64"/>
      <c r="L1487" s="64"/>
      <c r="M1487" s="64"/>
      <c r="N1487" s="64"/>
      <c r="O1487" s="56">
        <f>SGA_prem_2hypoglycaemia_4</f>
        <v>0.2155</v>
      </c>
      <c r="P1487" s="64"/>
      <c r="Q1487" s="54" t="s">
        <v>369</v>
      </c>
      <c r="R1487" s="54"/>
      <c r="S1487" s="129"/>
      <c r="T1487" s="105"/>
      <c r="U1487" s="133">
        <f>$K$1497*$I$1486*$G$1507*$E$1436*$C$1505*$A$1460*$M$1492*$O$1487*Q1488</f>
        <v>0</v>
      </c>
      <c r="V1487" s="133"/>
      <c r="W1487" s="134">
        <f>$K$1498+$I$1487+$G$1508+$E$1437+$C$1506+$A$1461+$M$1493+$O$1488+Q1489</f>
        <v>95557.163158713738</v>
      </c>
      <c r="X1487" s="133">
        <f>u_ChronicResp+u_CongnitiveImpairement</f>
        <v>17.805052694763283</v>
      </c>
      <c r="Y1487" s="133"/>
      <c r="Z1487" s="134">
        <f t="shared" ref="Z1487:Z1550" si="128">U1487*W1487</f>
        <v>0</v>
      </c>
      <c r="AA1487" s="6">
        <f t="shared" si="127"/>
        <v>0</v>
      </c>
    </row>
    <row r="1488" spans="1:27" x14ac:dyDescent="0.3">
      <c r="A1488" s="41"/>
      <c r="B1488" s="41"/>
      <c r="C1488" s="41"/>
      <c r="D1488" s="41"/>
      <c r="E1488" s="41"/>
      <c r="F1488" s="41"/>
      <c r="G1488" s="64"/>
      <c r="H1488" s="64"/>
      <c r="I1488" s="64"/>
      <c r="J1488" s="64"/>
      <c r="K1488" s="64"/>
      <c r="L1488" s="64"/>
      <c r="M1488" s="64"/>
      <c r="N1488" s="64"/>
      <c r="O1488" s="57">
        <f>c_hypo</f>
        <v>2936.2604000000001</v>
      </c>
      <c r="P1488" s="64"/>
      <c r="Q1488" s="56">
        <f>Hypo2CI_4*RDS2CLD_4</f>
        <v>1.8531333333333334E-2</v>
      </c>
      <c r="R1488" s="56"/>
      <c r="S1488" s="129"/>
      <c r="T1488" s="105"/>
      <c r="U1488" s="133"/>
      <c r="V1488" s="133">
        <v>0</v>
      </c>
      <c r="W1488" s="133"/>
      <c r="X1488" s="133"/>
      <c r="Y1488" s="133"/>
      <c r="Z1488" s="134">
        <f t="shared" si="128"/>
        <v>0</v>
      </c>
      <c r="AA1488" s="6">
        <f t="shared" si="127"/>
        <v>0</v>
      </c>
    </row>
    <row r="1489" spans="1:27" x14ac:dyDescent="0.3">
      <c r="A1489" s="41"/>
      <c r="B1489" s="41"/>
      <c r="C1489" s="41"/>
      <c r="D1489" s="41"/>
      <c r="E1489" s="41"/>
      <c r="F1489" s="41"/>
      <c r="G1489" s="64"/>
      <c r="H1489" s="64"/>
      <c r="I1489" s="64"/>
      <c r="J1489" s="64"/>
      <c r="K1489" s="64"/>
      <c r="L1489" s="64"/>
      <c r="M1489" s="65"/>
      <c r="N1489" s="64"/>
      <c r="O1489" s="53"/>
      <c r="P1489" s="64"/>
      <c r="Q1489" s="57">
        <f>c_lung+c_cog+c_hosp_fu+c_CSG</f>
        <v>58348.510902399998</v>
      </c>
      <c r="R1489" s="57"/>
      <c r="S1489" s="129"/>
      <c r="T1489" s="105"/>
      <c r="U1489" s="133"/>
      <c r="V1489" s="133"/>
      <c r="W1489" s="133"/>
      <c r="X1489" s="133"/>
      <c r="Y1489" s="133"/>
      <c r="Z1489" s="134">
        <f t="shared" si="128"/>
        <v>0</v>
      </c>
      <c r="AA1489" s="6">
        <f t="shared" si="127"/>
        <v>0</v>
      </c>
    </row>
    <row r="1490" spans="1:27" x14ac:dyDescent="0.3">
      <c r="A1490" s="41"/>
      <c r="B1490" s="41"/>
      <c r="C1490" s="41"/>
      <c r="D1490" s="41"/>
      <c r="E1490" s="41"/>
      <c r="F1490" s="41"/>
      <c r="G1490" s="41"/>
      <c r="H1490" s="44"/>
      <c r="I1490" s="64"/>
      <c r="J1490" s="64"/>
      <c r="K1490" s="64"/>
      <c r="L1490" s="64"/>
      <c r="M1490" s="64"/>
      <c r="N1490" s="64"/>
      <c r="O1490" s="64"/>
      <c r="P1490" s="64"/>
      <c r="Q1490" s="54" t="s">
        <v>370</v>
      </c>
      <c r="R1490" s="54"/>
      <c r="S1490" s="129"/>
      <c r="T1490" s="105"/>
      <c r="U1490" s="133">
        <f>$K$1497*$I$1486*$G$1507*$E$1436*$C$1505*$A$1460*$M$1492*$O$1487*Q1491</f>
        <v>0</v>
      </c>
      <c r="V1490" s="133"/>
      <c r="W1490" s="134">
        <f>$K$1498+$I$1487+$G$1508+$E$1437+$C$1506+$A$1461+$M$1493+$O$1488+Q1492</f>
        <v>51611.652256313741</v>
      </c>
      <c r="X1490" s="133">
        <f>u_Healthy</f>
        <v>0</v>
      </c>
      <c r="Y1490" s="133"/>
      <c r="Z1490" s="134">
        <f t="shared" si="128"/>
        <v>0</v>
      </c>
      <c r="AA1490" s="6">
        <f t="shared" si="127"/>
        <v>0</v>
      </c>
    </row>
    <row r="1491" spans="1:27" x14ac:dyDescent="0.3">
      <c r="A1491" s="41"/>
      <c r="B1491" s="41"/>
      <c r="C1491" s="41"/>
      <c r="D1491" s="41"/>
      <c r="E1491" s="41"/>
      <c r="F1491" s="41"/>
      <c r="G1491" s="64"/>
      <c r="H1491" s="64"/>
      <c r="I1491" s="64"/>
      <c r="J1491" s="64"/>
      <c r="K1491" s="64"/>
      <c r="L1491" s="64"/>
      <c r="M1491" s="54" t="s">
        <v>9</v>
      </c>
      <c r="N1491" s="64"/>
      <c r="O1491" s="64"/>
      <c r="P1491" s="64"/>
      <c r="Q1491" s="56">
        <f>1-Q1482-Q1485-Q1488</f>
        <v>0.60619800000000001</v>
      </c>
      <c r="R1491" s="56"/>
      <c r="S1491" s="129"/>
      <c r="T1491" s="105"/>
      <c r="U1491" s="133"/>
      <c r="V1491" s="133">
        <v>0</v>
      </c>
      <c r="W1491" s="133"/>
      <c r="X1491" s="133"/>
      <c r="Y1491" s="133"/>
      <c r="Z1491" s="134">
        <f t="shared" si="128"/>
        <v>0</v>
      </c>
      <c r="AA1491" s="6">
        <f t="shared" si="127"/>
        <v>0</v>
      </c>
    </row>
    <row r="1492" spans="1:27" x14ac:dyDescent="0.3">
      <c r="A1492" s="41"/>
      <c r="B1492" s="41"/>
      <c r="C1492" s="41"/>
      <c r="D1492" s="41"/>
      <c r="E1492" s="41"/>
      <c r="F1492" s="41"/>
      <c r="G1492" s="64"/>
      <c r="H1492" s="64"/>
      <c r="I1492" s="64"/>
      <c r="J1492" s="64"/>
      <c r="K1492" s="65"/>
      <c r="L1492" s="64"/>
      <c r="M1492" s="56">
        <f>S_prem_2RDS_4</f>
        <v>0.45</v>
      </c>
      <c r="N1492" s="64"/>
      <c r="O1492" s="64"/>
      <c r="P1492" s="64"/>
      <c r="Q1492" s="57">
        <f>c_clinic_fu+c_CSG</f>
        <v>14403</v>
      </c>
      <c r="R1492" s="57"/>
      <c r="S1492" s="129"/>
      <c r="T1492" s="105"/>
      <c r="U1492" s="133"/>
      <c r="V1492" s="133"/>
      <c r="W1492" s="133"/>
      <c r="X1492" s="133"/>
      <c r="Y1492" s="133"/>
      <c r="Z1492" s="134">
        <f t="shared" si="128"/>
        <v>0</v>
      </c>
      <c r="AA1492" s="6">
        <f t="shared" si="127"/>
        <v>0</v>
      </c>
    </row>
    <row r="1493" spans="1:27" x14ac:dyDescent="0.3">
      <c r="A1493" s="41"/>
      <c r="B1493" s="41"/>
      <c r="C1493" s="41"/>
      <c r="D1493" s="41"/>
      <c r="E1493" s="41"/>
      <c r="F1493" s="41"/>
      <c r="G1493" s="64"/>
      <c r="H1493" s="64"/>
      <c r="I1493" s="64"/>
      <c r="J1493" s="64"/>
      <c r="K1493" s="65"/>
      <c r="L1493" s="64"/>
      <c r="M1493" s="57">
        <f>c_RDS</f>
        <v>30595.610148205637</v>
      </c>
      <c r="N1493" s="64"/>
      <c r="O1493" s="64"/>
      <c r="P1493" s="64"/>
      <c r="Q1493" s="65"/>
      <c r="R1493" s="65"/>
      <c r="S1493" s="129"/>
      <c r="T1493" s="105"/>
      <c r="U1493" s="133"/>
      <c r="V1493" s="133"/>
      <c r="W1493" s="133"/>
      <c r="X1493" s="133"/>
      <c r="Y1493" s="133"/>
      <c r="Z1493" s="134">
        <f t="shared" si="128"/>
        <v>0</v>
      </c>
      <c r="AA1493" s="6">
        <f t="shared" si="127"/>
        <v>0</v>
      </c>
    </row>
    <row r="1494" spans="1:27" x14ac:dyDescent="0.3">
      <c r="A1494" s="41"/>
      <c r="B1494" s="41"/>
      <c r="C1494" s="41"/>
      <c r="D1494" s="41"/>
      <c r="E1494" s="41"/>
      <c r="F1494" s="41"/>
      <c r="G1494" s="53"/>
      <c r="H1494" s="64"/>
      <c r="I1494" s="64"/>
      <c r="J1494" s="64"/>
      <c r="K1494" s="64"/>
      <c r="L1494" s="64"/>
      <c r="M1494" s="64"/>
      <c r="N1494" s="64"/>
      <c r="O1494" s="64"/>
      <c r="P1494" s="64"/>
      <c r="Q1494" s="54" t="s">
        <v>368</v>
      </c>
      <c r="R1494" s="54"/>
      <c r="S1494" s="129"/>
      <c r="T1494" s="105"/>
      <c r="U1494" s="133">
        <f>$K$1497*$I$1486*$G$1507*$E$1436*$C$1505*$A$1460*$M$1492*$O$1497*Q1495</f>
        <v>0</v>
      </c>
      <c r="V1494" s="133"/>
      <c r="W1494" s="134">
        <f>$K$1498+$I$1487+$G$1508+$E$1437+$C$1506+$A$1461+$M$1493+$O$1498+Q1496</f>
        <v>88801.902758713739</v>
      </c>
      <c r="X1494" s="133">
        <f>u_ChronicResp</f>
        <v>0.53465956747782661</v>
      </c>
      <c r="Y1494" s="133"/>
      <c r="Z1494" s="134">
        <f t="shared" si="128"/>
        <v>0</v>
      </c>
      <c r="AA1494" s="6">
        <f t="shared" si="127"/>
        <v>0</v>
      </c>
    </row>
    <row r="1495" spans="1:27" x14ac:dyDescent="0.3">
      <c r="A1495" s="41"/>
      <c r="B1495" s="41"/>
      <c r="C1495" s="41"/>
      <c r="D1495" s="41"/>
      <c r="E1495" s="41"/>
      <c r="F1495" s="41"/>
      <c r="G1495" s="53"/>
      <c r="H1495" s="64"/>
      <c r="I1495" s="64"/>
      <c r="J1495" s="64"/>
      <c r="K1495" s="64"/>
      <c r="L1495" s="64"/>
      <c r="M1495" s="64"/>
      <c r="N1495" s="64"/>
      <c r="O1495" s="64"/>
      <c r="P1495" s="64"/>
      <c r="Q1495" s="56">
        <f>RDS2CLD_4-(RDS2CLD_4*noHypo2CI_4)</f>
        <v>0.34905610687022898</v>
      </c>
      <c r="R1495" s="56"/>
      <c r="S1495" s="129"/>
      <c r="T1495" s="105"/>
      <c r="U1495" s="133"/>
      <c r="V1495" s="133">
        <v>0</v>
      </c>
      <c r="W1495" s="133"/>
      <c r="X1495" s="133"/>
      <c r="Y1495" s="133"/>
      <c r="Z1495" s="134">
        <f t="shared" si="128"/>
        <v>0</v>
      </c>
      <c r="AA1495" s="6">
        <f t="shared" si="127"/>
        <v>0</v>
      </c>
    </row>
    <row r="1496" spans="1:27" x14ac:dyDescent="0.3">
      <c r="A1496" s="41"/>
      <c r="B1496" s="41"/>
      <c r="C1496" s="41"/>
      <c r="D1496" s="41"/>
      <c r="E1496" s="41"/>
      <c r="F1496" s="41"/>
      <c r="G1496" s="53"/>
      <c r="H1496" s="64"/>
      <c r="I1496" s="64"/>
      <c r="J1496" s="64"/>
      <c r="K1496" s="54" t="s">
        <v>37</v>
      </c>
      <c r="L1496" s="64"/>
      <c r="M1496" s="65"/>
      <c r="N1496" s="64"/>
      <c r="O1496" s="54" t="s">
        <v>371</v>
      </c>
      <c r="P1496" s="64"/>
      <c r="Q1496" s="57">
        <f>c_lung+c_hosp_fu+c_CSG</f>
        <v>54529.510902399998</v>
      </c>
      <c r="R1496" s="57"/>
      <c r="S1496" s="129"/>
      <c r="T1496" s="105"/>
      <c r="U1496" s="133"/>
      <c r="V1496" s="133"/>
      <c r="W1496" s="133"/>
      <c r="X1496" s="133"/>
      <c r="Y1496" s="133"/>
      <c r="Z1496" s="134">
        <f t="shared" si="128"/>
        <v>0</v>
      </c>
      <c r="AA1496" s="6">
        <f t="shared" si="127"/>
        <v>0</v>
      </c>
    </row>
    <row r="1497" spans="1:27" x14ac:dyDescent="0.3">
      <c r="A1497" s="41"/>
      <c r="B1497" s="41"/>
      <c r="C1497" s="41"/>
      <c r="D1497" s="41"/>
      <c r="E1497" s="41"/>
      <c r="F1497" s="41"/>
      <c r="G1497" s="53"/>
      <c r="H1497" s="64"/>
      <c r="I1497" s="64"/>
      <c r="J1497" s="64"/>
      <c r="K1497" s="56">
        <f>SGA_prem_2s_4</f>
        <v>0.91593333333333338</v>
      </c>
      <c r="L1497" s="64"/>
      <c r="M1497" s="64"/>
      <c r="N1497" s="64"/>
      <c r="O1497" s="56">
        <f>SGA_prem_2normoglycaemia_4</f>
        <v>0.78449999999999998</v>
      </c>
      <c r="P1497" s="64"/>
      <c r="Q1497" s="54" t="s">
        <v>226</v>
      </c>
      <c r="R1497" s="54"/>
      <c r="S1497" s="129"/>
      <c r="T1497" s="105"/>
      <c r="U1497" s="133">
        <f>$K$1497*$I$1486*$G$1507*$E$1436*$C$1505*$A$1460*$M$1492*$O$1497*Q1498</f>
        <v>0</v>
      </c>
      <c r="V1497" s="133"/>
      <c r="W1497" s="134">
        <f>$K$1498+$I$1487+$G$1508+$E$1437+$C$1506+$A$1461+$M$1493+$O$1498+Q1499</f>
        <v>50038.391856313741</v>
      </c>
      <c r="X1497" s="133">
        <f>u_CongnitiveImpairement</f>
        <v>17.270393127285455</v>
      </c>
      <c r="Y1497" s="133"/>
      <c r="Z1497" s="134">
        <f t="shared" si="128"/>
        <v>0</v>
      </c>
      <c r="AA1497" s="6">
        <f t="shared" si="127"/>
        <v>0</v>
      </c>
    </row>
    <row r="1498" spans="1:27" x14ac:dyDescent="0.3">
      <c r="A1498" s="41"/>
      <c r="B1498" s="41"/>
      <c r="C1498" s="41"/>
      <c r="D1498" s="41"/>
      <c r="E1498" s="41"/>
      <c r="F1498" s="41"/>
      <c r="G1498" s="53"/>
      <c r="H1498" s="64"/>
      <c r="I1498" s="64"/>
      <c r="J1498" s="64"/>
      <c r="K1498" s="57"/>
      <c r="L1498" s="64"/>
      <c r="M1498" s="64"/>
      <c r="N1498" s="64"/>
      <c r="O1498" s="57"/>
      <c r="P1498" s="64"/>
      <c r="Q1498" s="56">
        <f>noHypo2CI_4-(RDS2CLD_4*noHypo2CI_4)</f>
        <v>2.1141683406990762E-2</v>
      </c>
      <c r="R1498" s="56"/>
      <c r="S1498" s="129"/>
      <c r="T1498" s="105"/>
      <c r="U1498" s="133"/>
      <c r="V1498" s="133">
        <v>0</v>
      </c>
      <c r="W1498" s="133"/>
      <c r="X1498" s="133"/>
      <c r="Y1498" s="133"/>
      <c r="Z1498" s="134">
        <f t="shared" si="128"/>
        <v>0</v>
      </c>
      <c r="AA1498" s="6">
        <f t="shared" si="127"/>
        <v>0</v>
      </c>
    </row>
    <row r="1499" spans="1:27" x14ac:dyDescent="0.3">
      <c r="A1499" s="41"/>
      <c r="B1499" s="41"/>
      <c r="C1499" s="41"/>
      <c r="D1499" s="41"/>
      <c r="E1499" s="41"/>
      <c r="F1499" s="41"/>
      <c r="G1499" s="64"/>
      <c r="H1499" s="64"/>
      <c r="I1499" s="64"/>
      <c r="J1499" s="64"/>
      <c r="K1499" s="64"/>
      <c r="L1499" s="64"/>
      <c r="M1499" s="64"/>
      <c r="N1499" s="64"/>
      <c r="O1499" s="53"/>
      <c r="P1499" s="64"/>
      <c r="Q1499" s="57">
        <f>c_cog+c_hosp_fu+c_CSG</f>
        <v>15766</v>
      </c>
      <c r="R1499" s="57"/>
      <c r="S1499" s="129"/>
      <c r="T1499" s="105"/>
      <c r="U1499" s="133"/>
      <c r="V1499" s="133"/>
      <c r="W1499" s="133"/>
      <c r="X1499" s="133"/>
      <c r="Y1499" s="133"/>
      <c r="Z1499" s="134">
        <f t="shared" si="128"/>
        <v>0</v>
      </c>
      <c r="AA1499" s="6">
        <f t="shared" si="127"/>
        <v>0</v>
      </c>
    </row>
    <row r="1500" spans="1:27" x14ac:dyDescent="0.3">
      <c r="A1500" s="41"/>
      <c r="B1500" s="41"/>
      <c r="C1500" s="41"/>
      <c r="D1500" s="41"/>
      <c r="E1500" s="41"/>
      <c r="F1500" s="41"/>
      <c r="G1500" s="64"/>
      <c r="H1500" s="64"/>
      <c r="I1500" s="64"/>
      <c r="J1500" s="64"/>
      <c r="K1500" s="64"/>
      <c r="L1500" s="64"/>
      <c r="M1500" s="64"/>
      <c r="N1500" s="64"/>
      <c r="O1500" s="53"/>
      <c r="P1500" s="64"/>
      <c r="Q1500" s="54" t="s">
        <v>369</v>
      </c>
      <c r="R1500" s="54"/>
      <c r="S1500" s="129"/>
      <c r="T1500" s="105"/>
      <c r="U1500" s="133">
        <f>$K$1497*$I$1486*$G$1507*$E$1436*$C$1505*$A$1460*$M$1492*$O$1497*Q1501</f>
        <v>0</v>
      </c>
      <c r="V1500" s="133"/>
      <c r="W1500" s="134">
        <f>$K$1498+$I$1487+$G$1508+$E$1437+$C$1506+$A$1461+$M$1493+$O$1498+Q1502</f>
        <v>92620.902758713739</v>
      </c>
      <c r="X1500" s="133">
        <f>u_ChronicResp+u_CongnitiveImpairement</f>
        <v>17.805052694763283</v>
      </c>
      <c r="Y1500" s="133"/>
      <c r="Z1500" s="134">
        <f t="shared" si="128"/>
        <v>0</v>
      </c>
      <c r="AA1500" s="6">
        <f t="shared" si="127"/>
        <v>0</v>
      </c>
    </row>
    <row r="1501" spans="1:27" x14ac:dyDescent="0.3">
      <c r="A1501" s="41"/>
      <c r="B1501" s="41"/>
      <c r="C1501" s="41"/>
      <c r="D1501" s="41"/>
      <c r="E1501" s="41"/>
      <c r="F1501" s="41"/>
      <c r="G1501" s="64"/>
      <c r="H1501" s="64"/>
      <c r="I1501" s="64"/>
      <c r="J1501" s="64"/>
      <c r="K1501" s="64"/>
      <c r="L1501" s="64"/>
      <c r="M1501" s="64"/>
      <c r="N1501" s="64"/>
      <c r="O1501" s="53"/>
      <c r="P1501" s="64"/>
      <c r="Q1501" s="56">
        <f>RDS2CLD_4*noHypo2CI_4</f>
        <v>1.1943893129770991E-2</v>
      </c>
      <c r="R1501" s="56"/>
      <c r="S1501" s="129"/>
      <c r="T1501" s="105"/>
      <c r="U1501" s="133"/>
      <c r="V1501" s="133">
        <v>0</v>
      </c>
      <c r="W1501" s="133"/>
      <c r="X1501" s="133"/>
      <c r="Y1501" s="133"/>
      <c r="Z1501" s="134">
        <f t="shared" si="128"/>
        <v>0</v>
      </c>
      <c r="AA1501" s="6">
        <f t="shared" si="127"/>
        <v>0</v>
      </c>
    </row>
    <row r="1502" spans="1:27" x14ac:dyDescent="0.3">
      <c r="A1502" s="41"/>
      <c r="B1502" s="41"/>
      <c r="C1502" s="41"/>
      <c r="D1502" s="41"/>
      <c r="E1502" s="41"/>
      <c r="F1502" s="41"/>
      <c r="G1502" s="64"/>
      <c r="H1502" s="64"/>
      <c r="I1502" s="64"/>
      <c r="J1502" s="64"/>
      <c r="K1502" s="64"/>
      <c r="L1502" s="64"/>
      <c r="M1502" s="64"/>
      <c r="N1502" s="64"/>
      <c r="O1502" s="53"/>
      <c r="P1502" s="64"/>
      <c r="Q1502" s="57">
        <f>c_cog+c_lung+c_hosp_fu+c_CSG</f>
        <v>58348.510902399998</v>
      </c>
      <c r="R1502" s="57"/>
      <c r="S1502" s="129"/>
      <c r="T1502" s="105"/>
      <c r="U1502" s="133"/>
      <c r="V1502" s="133"/>
      <c r="W1502" s="133"/>
      <c r="X1502" s="133"/>
      <c r="Y1502" s="133"/>
      <c r="Z1502" s="134">
        <f t="shared" si="128"/>
        <v>0</v>
      </c>
      <c r="AA1502" s="6">
        <f t="shared" si="127"/>
        <v>0</v>
      </c>
    </row>
    <row r="1503" spans="1:27" x14ac:dyDescent="0.3">
      <c r="A1503" s="41"/>
      <c r="B1503" s="41"/>
      <c r="C1503" s="41"/>
      <c r="D1503" s="41"/>
      <c r="E1503" s="41"/>
      <c r="F1503" s="41"/>
      <c r="G1503" s="64"/>
      <c r="H1503" s="64"/>
      <c r="I1503" s="64"/>
      <c r="J1503" s="64"/>
      <c r="K1503" s="64"/>
      <c r="L1503" s="64"/>
      <c r="M1503" s="64"/>
      <c r="N1503" s="64"/>
      <c r="O1503" s="53"/>
      <c r="P1503" s="64"/>
      <c r="Q1503" s="54" t="s">
        <v>370</v>
      </c>
      <c r="R1503" s="54"/>
      <c r="T1503" s="105"/>
      <c r="U1503" s="133">
        <f>$K$1497*$I$1486*$G$1507*$E$1436*$C$1505*$A$1460*$M$1492*$O$1497*Q1504</f>
        <v>0</v>
      </c>
      <c r="V1503" s="133"/>
      <c r="W1503" s="134">
        <f>$K$1498+$I$1487+$G$1508+$E$1437+$C$1506+$A$1461+$M$1493+$O$1498+Q1505</f>
        <v>48675.391856313741</v>
      </c>
      <c r="X1503" s="133">
        <f>u_Healthy</f>
        <v>0</v>
      </c>
      <c r="Y1503" s="133"/>
      <c r="Z1503" s="134">
        <f t="shared" si="128"/>
        <v>0</v>
      </c>
      <c r="AA1503" s="6">
        <f t="shared" si="127"/>
        <v>0</v>
      </c>
    </row>
    <row r="1504" spans="1:27" x14ac:dyDescent="0.3">
      <c r="A1504" s="41"/>
      <c r="B1504" s="41"/>
      <c r="C1504" s="54" t="s">
        <v>373</v>
      </c>
      <c r="D1504" s="41"/>
      <c r="E1504" s="41"/>
      <c r="F1504" s="41"/>
      <c r="G1504" s="64"/>
      <c r="H1504" s="64"/>
      <c r="I1504" s="64"/>
      <c r="J1504" s="64"/>
      <c r="K1504" s="64"/>
      <c r="L1504" s="64"/>
      <c r="M1504" s="64"/>
      <c r="N1504" s="64"/>
      <c r="O1504" s="53"/>
      <c r="P1504" s="64"/>
      <c r="Q1504" s="56">
        <f>1-Q1501-Q1498-Q1495</f>
        <v>0.61785831659300938</v>
      </c>
      <c r="R1504" s="56"/>
      <c r="S1504" s="129"/>
      <c r="T1504" s="105"/>
      <c r="U1504" s="133"/>
      <c r="V1504" s="133">
        <v>0</v>
      </c>
      <c r="W1504" s="133"/>
      <c r="X1504" s="133"/>
      <c r="Y1504" s="133"/>
      <c r="Z1504" s="134">
        <f t="shared" si="128"/>
        <v>0</v>
      </c>
      <c r="AA1504" s="6">
        <f t="shared" si="127"/>
        <v>0</v>
      </c>
    </row>
    <row r="1505" spans="1:27" x14ac:dyDescent="0.3">
      <c r="A1505" s="41"/>
      <c r="B1505" s="41"/>
      <c r="C1505" s="56">
        <f>NoANC2LB_4</f>
        <v>0.96843702579666158</v>
      </c>
      <c r="D1505" s="41"/>
      <c r="E1505" s="41"/>
      <c r="F1505" s="41"/>
      <c r="G1505" s="64"/>
      <c r="H1505" s="64"/>
      <c r="I1505" s="64"/>
      <c r="J1505" s="64"/>
      <c r="K1505" s="64"/>
      <c r="L1505" s="64"/>
      <c r="M1505" s="64"/>
      <c r="N1505" s="64"/>
      <c r="O1505" s="64"/>
      <c r="P1505" s="64"/>
      <c r="Q1505" s="57">
        <f>c_clinic_fu+c_CSG</f>
        <v>14403</v>
      </c>
      <c r="R1505" s="57"/>
      <c r="S1505" s="129"/>
      <c r="T1505" s="105"/>
      <c r="U1505" s="133"/>
      <c r="V1505" s="133"/>
      <c r="W1505" s="133"/>
      <c r="X1505" s="133"/>
      <c r="Y1505" s="133"/>
      <c r="Z1505" s="134">
        <f t="shared" si="128"/>
        <v>0</v>
      </c>
      <c r="AA1505" s="6">
        <f t="shared" si="127"/>
        <v>0</v>
      </c>
    </row>
    <row r="1506" spans="1:27" x14ac:dyDescent="0.3">
      <c r="A1506" s="41"/>
      <c r="B1506" s="41"/>
      <c r="C1506" s="57"/>
      <c r="D1506" s="41"/>
      <c r="E1506" s="41"/>
      <c r="F1506" s="41"/>
      <c r="G1506" s="54" t="s">
        <v>372</v>
      </c>
      <c r="H1506" s="64"/>
      <c r="I1506" s="64"/>
      <c r="J1506" s="64"/>
      <c r="K1506" s="64"/>
      <c r="L1506" s="64"/>
      <c r="M1506" s="64"/>
      <c r="N1506" s="64"/>
      <c r="O1506" s="64"/>
      <c r="P1506" s="64"/>
      <c r="Q1506" s="65"/>
      <c r="R1506" s="65"/>
      <c r="S1506" s="129"/>
      <c r="T1506" s="105"/>
      <c r="U1506" s="133"/>
      <c r="V1506" s="133"/>
      <c r="W1506" s="133"/>
      <c r="X1506" s="133"/>
      <c r="Y1506" s="133"/>
      <c r="Z1506" s="134">
        <f t="shared" si="128"/>
        <v>0</v>
      </c>
      <c r="AA1506" s="6">
        <f t="shared" si="127"/>
        <v>0</v>
      </c>
    </row>
    <row r="1507" spans="1:27" x14ac:dyDescent="0.3">
      <c r="A1507" s="41"/>
      <c r="B1507" s="41"/>
      <c r="C1507" s="41"/>
      <c r="D1507" s="41"/>
      <c r="E1507" s="41"/>
      <c r="F1507" s="41"/>
      <c r="G1507" s="56">
        <f>Prem2NBW_4</f>
        <v>0.31864406779661014</v>
      </c>
      <c r="H1507" s="64"/>
      <c r="I1507" s="64"/>
      <c r="J1507" s="64"/>
      <c r="K1507" s="64"/>
      <c r="L1507" s="64"/>
      <c r="M1507" s="64"/>
      <c r="N1507" s="64"/>
      <c r="O1507" s="64"/>
      <c r="P1507" s="64"/>
      <c r="Q1507" s="54" t="s">
        <v>368</v>
      </c>
      <c r="R1507" s="54"/>
      <c r="S1507" s="129"/>
      <c r="T1507" s="105"/>
      <c r="U1507" s="133">
        <f>$K$1497*$I$1486*$G$1507*$E$1436*$C$1505*$A$1460*$M$1512*$O$1510*Q1508</f>
        <v>0</v>
      </c>
      <c r="V1507" s="133"/>
      <c r="W1507" s="134">
        <f>$K$1498+$I$1487+$G$1508+$E$1437+$C$1506+$A$1461+$M$1513+$O$1511+Q1509</f>
        <v>61142.553010508105</v>
      </c>
      <c r="X1507" s="133">
        <f>u_ChronicResp</f>
        <v>0.53465956747782661</v>
      </c>
      <c r="Y1507" s="133"/>
      <c r="Z1507" s="134">
        <f t="shared" si="128"/>
        <v>0</v>
      </c>
      <c r="AA1507" s="6">
        <f t="shared" si="127"/>
        <v>0</v>
      </c>
    </row>
    <row r="1508" spans="1:27" x14ac:dyDescent="0.3">
      <c r="A1508" s="41"/>
      <c r="B1508" s="41"/>
      <c r="C1508" s="41"/>
      <c r="D1508" s="41"/>
      <c r="E1508" s="41"/>
      <c r="F1508" s="41"/>
      <c r="G1508" s="57">
        <f>c_NICU_NBW</f>
        <v>3098.88</v>
      </c>
      <c r="H1508" s="64"/>
      <c r="I1508" s="64"/>
      <c r="J1508" s="64"/>
      <c r="K1508" s="64"/>
      <c r="L1508" s="64"/>
      <c r="M1508" s="64"/>
      <c r="N1508" s="64"/>
      <c r="O1508" s="64"/>
      <c r="P1508" s="64"/>
      <c r="Q1508" s="56">
        <f>RDS2CLD_4-(Hypo2CI_4*RDS2CLD_4)</f>
        <v>0.34246866666666664</v>
      </c>
      <c r="R1508" s="56"/>
      <c r="S1508" s="129"/>
      <c r="T1508" s="105"/>
      <c r="U1508" s="133"/>
      <c r="V1508" s="133">
        <v>0</v>
      </c>
      <c r="W1508" s="133"/>
      <c r="X1508" s="133"/>
      <c r="Y1508" s="133"/>
      <c r="Z1508" s="134">
        <f t="shared" si="128"/>
        <v>0</v>
      </c>
      <c r="AA1508" s="6">
        <f t="shared" si="127"/>
        <v>0</v>
      </c>
    </row>
    <row r="1509" spans="1:27" x14ac:dyDescent="0.3">
      <c r="A1509" s="41"/>
      <c r="B1509" s="41"/>
      <c r="C1509" s="41"/>
      <c r="D1509" s="41"/>
      <c r="E1509" s="41"/>
      <c r="F1509" s="41"/>
      <c r="G1509" s="64"/>
      <c r="H1509" s="64"/>
      <c r="I1509" s="64"/>
      <c r="J1509" s="64"/>
      <c r="K1509" s="64"/>
      <c r="L1509" s="64"/>
      <c r="M1509" s="64"/>
      <c r="N1509" s="64"/>
      <c r="O1509" s="54" t="s">
        <v>161</v>
      </c>
      <c r="P1509" s="64"/>
      <c r="Q1509" s="57">
        <f>c_lung+c_hosp_fu+c_CSG</f>
        <v>54529.510902399998</v>
      </c>
      <c r="R1509" s="57"/>
      <c r="S1509" s="129"/>
      <c r="T1509" s="105"/>
      <c r="U1509" s="133"/>
      <c r="V1509" s="133"/>
      <c r="W1509" s="133"/>
      <c r="X1509" s="133"/>
      <c r="Y1509" s="133"/>
      <c r="Z1509" s="134">
        <f t="shared" si="128"/>
        <v>0</v>
      </c>
      <c r="AA1509" s="6">
        <f t="shared" si="127"/>
        <v>0</v>
      </c>
    </row>
    <row r="1510" spans="1:27" x14ac:dyDescent="0.3">
      <c r="A1510" s="41"/>
      <c r="B1510" s="41"/>
      <c r="C1510" s="41"/>
      <c r="D1510" s="41"/>
      <c r="E1510" s="41"/>
      <c r="F1510" s="41"/>
      <c r="G1510" s="64"/>
      <c r="H1510" s="64"/>
      <c r="I1510" s="64"/>
      <c r="J1510" s="64"/>
      <c r="K1510" s="64"/>
      <c r="L1510" s="64"/>
      <c r="M1510" s="64"/>
      <c r="N1510" s="64"/>
      <c r="O1510" s="56">
        <f>SGA_prem_2hypoglycaemia_4</f>
        <v>0.2155</v>
      </c>
      <c r="P1510" s="64"/>
      <c r="Q1510" s="54" t="s">
        <v>226</v>
      </c>
      <c r="R1510" s="54"/>
      <c r="S1510" s="129"/>
      <c r="T1510" s="105"/>
      <c r="U1510" s="133">
        <f>$K$1497*$I$1486*$G$1507*$E$1436*$C$1505*$A$1460*$M$1512*$O$1510*Q1511</f>
        <v>0</v>
      </c>
      <c r="V1510" s="133"/>
      <c r="W1510" s="134">
        <f>$K$1498+$I$1487+$G$1508+$E$1437+$C$1506+$A$1461+$M$1513+$O$1511+Q1512</f>
        <v>22379.042108108108</v>
      </c>
      <c r="X1510" s="133">
        <f>u_CongnitiveImpairement</f>
        <v>17.270393127285455</v>
      </c>
      <c r="Y1510" s="133"/>
      <c r="Z1510" s="134">
        <f t="shared" si="128"/>
        <v>0</v>
      </c>
      <c r="AA1510" s="6">
        <f t="shared" si="127"/>
        <v>0</v>
      </c>
    </row>
    <row r="1511" spans="1:27" x14ac:dyDescent="0.3">
      <c r="A1511" s="41"/>
      <c r="B1511" s="41"/>
      <c r="C1511" s="41"/>
      <c r="D1511" s="41"/>
      <c r="E1511" s="41"/>
      <c r="F1511" s="41"/>
      <c r="G1511" s="64"/>
      <c r="H1511" s="64"/>
      <c r="I1511" s="64"/>
      <c r="J1511" s="64"/>
      <c r="K1511" s="64"/>
      <c r="L1511" s="64"/>
      <c r="M1511" s="54" t="s">
        <v>203</v>
      </c>
      <c r="N1511" s="64"/>
      <c r="O1511" s="57">
        <f>c_hypo</f>
        <v>2936.2604000000001</v>
      </c>
      <c r="P1511" s="64"/>
      <c r="Q1511" s="56">
        <f>Hypo2CI_4-(Hypo2CI_4*RDS2CLD_4)</f>
        <v>3.2801999999999998E-2</v>
      </c>
      <c r="R1511" s="56"/>
      <c r="S1511" s="129"/>
      <c r="T1511" s="105"/>
      <c r="U1511" s="133"/>
      <c r="V1511" s="133">
        <v>0</v>
      </c>
      <c r="W1511" s="133"/>
      <c r="X1511" s="133"/>
      <c r="Y1511" s="133"/>
      <c r="Z1511" s="134">
        <f t="shared" si="128"/>
        <v>0</v>
      </c>
      <c r="AA1511" s="6">
        <f t="shared" si="127"/>
        <v>0</v>
      </c>
    </row>
    <row r="1512" spans="1:27" x14ac:dyDescent="0.3">
      <c r="A1512" s="41"/>
      <c r="B1512" s="41"/>
      <c r="C1512" s="41"/>
      <c r="D1512" s="41"/>
      <c r="E1512" s="41"/>
      <c r="F1512" s="41"/>
      <c r="G1512" s="64"/>
      <c r="H1512" s="64"/>
      <c r="I1512" s="64"/>
      <c r="J1512" s="64"/>
      <c r="K1512" s="64"/>
      <c r="L1512" s="64"/>
      <c r="M1512" s="56">
        <f>S_prem_2noRDS_4</f>
        <v>0.55000000000000004</v>
      </c>
      <c r="N1512" s="64"/>
      <c r="O1512" s="53"/>
      <c r="P1512" s="64"/>
      <c r="Q1512" s="57">
        <f>c_cog+c_hosp_fu+c_CSG</f>
        <v>15766</v>
      </c>
      <c r="R1512" s="57"/>
      <c r="S1512" s="129"/>
      <c r="T1512" s="105"/>
      <c r="U1512" s="133"/>
      <c r="V1512" s="133"/>
      <c r="W1512" s="133"/>
      <c r="X1512" s="133"/>
      <c r="Y1512" s="133"/>
      <c r="Z1512" s="134">
        <f t="shared" si="128"/>
        <v>0</v>
      </c>
      <c r="AA1512" s="6">
        <f t="shared" si="127"/>
        <v>0</v>
      </c>
    </row>
    <row r="1513" spans="1:27" x14ac:dyDescent="0.3">
      <c r="A1513" s="41"/>
      <c r="B1513" s="41"/>
      <c r="C1513" s="41"/>
      <c r="D1513" s="41"/>
      <c r="E1513" s="41"/>
      <c r="F1513" s="41"/>
      <c r="G1513" s="65"/>
      <c r="H1513" s="64"/>
      <c r="I1513" s="64"/>
      <c r="J1513" s="64"/>
      <c r="K1513" s="64"/>
      <c r="L1513" s="64"/>
      <c r="M1513" s="57"/>
      <c r="N1513" s="64"/>
      <c r="O1513" s="65"/>
      <c r="P1513" s="64"/>
      <c r="Q1513" s="54" t="s">
        <v>369</v>
      </c>
      <c r="R1513" s="54"/>
      <c r="S1513" s="129"/>
      <c r="T1513" s="105"/>
      <c r="U1513" s="133">
        <f>$K$1497*$I$1486*$G$1507*$E$1436*$C$1505*$A$1460*$M$1512*$O$1510*Q1514</f>
        <v>0</v>
      </c>
      <c r="V1513" s="133"/>
      <c r="W1513" s="134">
        <f>$K$1498+$I$1487+$G$1508+$E$1437+$C$1506+$A$1461+$M$1513+$O$1511+Q1515</f>
        <v>64961.553010508105</v>
      </c>
      <c r="X1513" s="133">
        <f>u_ChronicResp+u_CongnitiveImpairement</f>
        <v>17.805052694763283</v>
      </c>
      <c r="Y1513" s="133"/>
      <c r="Z1513" s="134">
        <f t="shared" si="128"/>
        <v>0</v>
      </c>
      <c r="AA1513" s="6">
        <f t="shared" si="127"/>
        <v>0</v>
      </c>
    </row>
    <row r="1514" spans="1:27" x14ac:dyDescent="0.3">
      <c r="A1514" s="41"/>
      <c r="B1514" s="41"/>
      <c r="C1514" s="41"/>
      <c r="D1514" s="41"/>
      <c r="E1514" s="41"/>
      <c r="F1514" s="41"/>
      <c r="G1514" s="64"/>
      <c r="H1514" s="64"/>
      <c r="I1514" s="64"/>
      <c r="J1514" s="64"/>
      <c r="K1514" s="64"/>
      <c r="L1514" s="64"/>
      <c r="M1514" s="65"/>
      <c r="N1514" s="64"/>
      <c r="O1514" s="41"/>
      <c r="P1514" s="64"/>
      <c r="Q1514" s="56">
        <f>Hypo2CI_4*RDS2CLD_4</f>
        <v>1.8531333333333334E-2</v>
      </c>
      <c r="R1514" s="56"/>
      <c r="S1514" s="129"/>
      <c r="T1514" s="105"/>
      <c r="U1514" s="133"/>
      <c r="V1514" s="133">
        <v>0</v>
      </c>
      <c r="W1514" s="133"/>
      <c r="X1514" s="133"/>
      <c r="Y1514" s="133"/>
      <c r="Z1514" s="134">
        <f t="shared" si="128"/>
        <v>0</v>
      </c>
      <c r="AA1514" s="6">
        <f t="shared" si="127"/>
        <v>0</v>
      </c>
    </row>
    <row r="1515" spans="1:27" x14ac:dyDescent="0.3">
      <c r="A1515" s="41"/>
      <c r="B1515" s="41"/>
      <c r="C1515" s="41"/>
      <c r="D1515" s="41"/>
      <c r="E1515" s="41"/>
      <c r="F1515" s="41"/>
      <c r="G1515" s="64"/>
      <c r="H1515" s="64"/>
      <c r="I1515" s="64"/>
      <c r="J1515" s="64"/>
      <c r="K1515" s="64"/>
      <c r="L1515" s="64"/>
      <c r="M1515" s="65"/>
      <c r="N1515" s="64"/>
      <c r="O1515" s="41"/>
      <c r="P1515" s="64"/>
      <c r="Q1515" s="57">
        <f>c_lung+c_cog+c_hosp_fu+c_CSG</f>
        <v>58348.510902399998</v>
      </c>
      <c r="R1515" s="57"/>
      <c r="S1515" s="129"/>
      <c r="T1515" s="105"/>
      <c r="U1515" s="133"/>
      <c r="V1515" s="133"/>
      <c r="W1515" s="133"/>
      <c r="X1515" s="133"/>
      <c r="Y1515" s="133"/>
      <c r="Z1515" s="134">
        <f t="shared" si="128"/>
        <v>0</v>
      </c>
      <c r="AA1515" s="6">
        <f t="shared" si="127"/>
        <v>0</v>
      </c>
    </row>
    <row r="1516" spans="1:27" x14ac:dyDescent="0.3">
      <c r="A1516" s="41"/>
      <c r="B1516" s="41"/>
      <c r="C1516" s="41"/>
      <c r="D1516" s="41"/>
      <c r="E1516" s="41"/>
      <c r="F1516" s="41"/>
      <c r="G1516" s="64"/>
      <c r="H1516" s="64"/>
      <c r="I1516" s="64"/>
      <c r="J1516" s="64"/>
      <c r="K1516" s="64"/>
      <c r="L1516" s="64"/>
      <c r="M1516" s="65"/>
      <c r="N1516" s="64"/>
      <c r="O1516" s="41"/>
      <c r="P1516" s="64"/>
      <c r="Q1516" s="54" t="s">
        <v>370</v>
      </c>
      <c r="R1516" s="54"/>
      <c r="T1516" s="105"/>
      <c r="U1516" s="133">
        <f>$K$1497*$I$1486*$G$1507*$E$1436*$C$1505*$A$1460*$M$1512*$O$1510*Q1517</f>
        <v>0</v>
      </c>
      <c r="V1516" s="133"/>
      <c r="W1516" s="134">
        <f>$K$1498+$I$1487+$G$1508+$E$1437+$C$1506+$A$1461+$M$1513+$O$1511+Q1518</f>
        <v>21016.042108108108</v>
      </c>
      <c r="X1516" s="133">
        <f>u_Healthy</f>
        <v>0</v>
      </c>
      <c r="Y1516" s="133"/>
      <c r="Z1516" s="134">
        <f t="shared" si="128"/>
        <v>0</v>
      </c>
      <c r="AA1516" s="6">
        <f t="shared" si="127"/>
        <v>0</v>
      </c>
    </row>
    <row r="1517" spans="1:27" x14ac:dyDescent="0.3">
      <c r="A1517" s="41"/>
      <c r="B1517" s="41"/>
      <c r="C1517" s="41"/>
      <c r="D1517" s="41"/>
      <c r="E1517" s="41"/>
      <c r="F1517" s="41"/>
      <c r="G1517" s="64"/>
      <c r="H1517" s="64"/>
      <c r="I1517" s="64"/>
      <c r="J1517" s="64"/>
      <c r="K1517" s="64"/>
      <c r="L1517" s="64"/>
      <c r="M1517" s="65"/>
      <c r="N1517" s="64"/>
      <c r="O1517" s="65"/>
      <c r="P1517" s="64"/>
      <c r="Q1517" s="56">
        <f>1-Q1508-Q1511-Q1514</f>
        <v>0.60619800000000001</v>
      </c>
      <c r="R1517" s="56"/>
      <c r="S1517" s="129"/>
      <c r="T1517" s="105"/>
      <c r="U1517" s="133"/>
      <c r="V1517" s="133">
        <v>0</v>
      </c>
      <c r="W1517" s="133"/>
      <c r="X1517" s="133"/>
      <c r="Y1517" s="133"/>
      <c r="Z1517" s="134">
        <f t="shared" si="128"/>
        <v>0</v>
      </c>
      <c r="AA1517" s="6">
        <f t="shared" si="127"/>
        <v>0</v>
      </c>
    </row>
    <row r="1518" spans="1:27" x14ac:dyDescent="0.3">
      <c r="A1518" s="41"/>
      <c r="B1518" s="41"/>
      <c r="C1518" s="41"/>
      <c r="D1518" s="41"/>
      <c r="E1518" s="41"/>
      <c r="F1518" s="41"/>
      <c r="G1518" s="64"/>
      <c r="H1518" s="64"/>
      <c r="I1518" s="64"/>
      <c r="J1518" s="64"/>
      <c r="K1518" s="64"/>
      <c r="L1518" s="64"/>
      <c r="M1518" s="65"/>
      <c r="N1518" s="64"/>
      <c r="O1518" s="64"/>
      <c r="P1518" s="64"/>
      <c r="Q1518" s="57">
        <f>c_clinic_fu+c_CSG</f>
        <v>14403</v>
      </c>
      <c r="R1518" s="57"/>
      <c r="S1518" s="130"/>
      <c r="T1518" s="105"/>
      <c r="U1518" s="133"/>
      <c r="V1518" s="133"/>
      <c r="W1518" s="133"/>
      <c r="X1518" s="133"/>
      <c r="Y1518" s="133"/>
      <c r="Z1518" s="134">
        <f t="shared" si="128"/>
        <v>0</v>
      </c>
      <c r="AA1518" s="6">
        <f t="shared" si="127"/>
        <v>0</v>
      </c>
    </row>
    <row r="1519" spans="1:27" x14ac:dyDescent="0.3">
      <c r="A1519" s="41"/>
      <c r="B1519" s="41"/>
      <c r="C1519" s="41"/>
      <c r="D1519" s="41"/>
      <c r="E1519" s="41"/>
      <c r="F1519" s="41"/>
      <c r="G1519" s="64"/>
      <c r="H1519" s="64"/>
      <c r="I1519" s="64"/>
      <c r="J1519" s="64"/>
      <c r="K1519" s="64"/>
      <c r="L1519" s="64"/>
      <c r="M1519" s="65"/>
      <c r="N1519" s="64"/>
      <c r="O1519" s="64"/>
      <c r="P1519" s="64"/>
      <c r="Q1519" s="65"/>
      <c r="R1519" s="65"/>
      <c r="S1519" s="129"/>
      <c r="T1519" s="105"/>
      <c r="U1519" s="133"/>
      <c r="V1519" s="133"/>
      <c r="W1519" s="133"/>
      <c r="X1519" s="133"/>
      <c r="Y1519" s="133"/>
      <c r="Z1519" s="134">
        <f t="shared" si="128"/>
        <v>0</v>
      </c>
      <c r="AA1519" s="6">
        <f t="shared" si="127"/>
        <v>0</v>
      </c>
    </row>
    <row r="1520" spans="1:27" x14ac:dyDescent="0.3">
      <c r="A1520" s="41"/>
      <c r="B1520" s="41"/>
      <c r="C1520" s="41"/>
      <c r="D1520" s="41"/>
      <c r="E1520" s="41"/>
      <c r="F1520" s="41"/>
      <c r="G1520" s="64"/>
      <c r="H1520" s="64"/>
      <c r="I1520" s="64"/>
      <c r="J1520" s="64"/>
      <c r="K1520" s="64"/>
      <c r="L1520" s="64"/>
      <c r="M1520" s="65"/>
      <c r="N1520" s="64"/>
      <c r="O1520" s="64"/>
      <c r="P1520" s="64"/>
      <c r="Q1520" s="54" t="s">
        <v>368</v>
      </c>
      <c r="R1520" s="54"/>
      <c r="S1520" s="129"/>
      <c r="T1520" s="105"/>
      <c r="U1520" s="133">
        <f>$K$1497*$I$1486*$G$1507*$E$1436*$C$1505*$A$1460*$M$1512*$O$1524*Q1521</f>
        <v>0</v>
      </c>
      <c r="V1520" s="133"/>
      <c r="W1520" s="134">
        <f>$K$1498+$I$1487+$G$1508+$E$1437+$C$1506+$A$1461+$M$1513+$O$1525+Q1522</f>
        <v>58206.292610508106</v>
      </c>
      <c r="X1520" s="133">
        <f>u_ChronicResp</f>
        <v>0.53465956747782661</v>
      </c>
      <c r="Y1520" s="133"/>
      <c r="Z1520" s="134">
        <f t="shared" si="128"/>
        <v>0</v>
      </c>
      <c r="AA1520" s="6">
        <f t="shared" si="127"/>
        <v>0</v>
      </c>
    </row>
    <row r="1521" spans="1:27" x14ac:dyDescent="0.3">
      <c r="A1521" s="41"/>
      <c r="B1521" s="41"/>
      <c r="C1521" s="41"/>
      <c r="D1521" s="41"/>
      <c r="E1521" s="41"/>
      <c r="F1521" s="41"/>
      <c r="G1521" s="64"/>
      <c r="H1521" s="64"/>
      <c r="I1521" s="64"/>
      <c r="J1521" s="64"/>
      <c r="K1521" s="64"/>
      <c r="L1521" s="64"/>
      <c r="M1521" s="65"/>
      <c r="N1521" s="64"/>
      <c r="O1521" s="64"/>
      <c r="P1521" s="64"/>
      <c r="Q1521" s="56">
        <f>RDS2CLD_4-(RDS2CLD_4*noHypo2CI_4)</f>
        <v>0.34905610687022898</v>
      </c>
      <c r="R1521" s="56"/>
      <c r="S1521" s="129"/>
      <c r="T1521" s="105"/>
      <c r="U1521" s="133"/>
      <c r="V1521" s="133">
        <v>0</v>
      </c>
      <c r="W1521" s="133"/>
      <c r="X1521" s="133"/>
      <c r="Y1521" s="133"/>
      <c r="Z1521" s="134">
        <f t="shared" si="128"/>
        <v>0</v>
      </c>
      <c r="AA1521" s="6">
        <f t="shared" si="127"/>
        <v>0</v>
      </c>
    </row>
    <row r="1522" spans="1:27" x14ac:dyDescent="0.3">
      <c r="A1522" s="41"/>
      <c r="B1522" s="41"/>
      <c r="C1522" s="41"/>
      <c r="D1522" s="41"/>
      <c r="E1522" s="41"/>
      <c r="F1522" s="41"/>
      <c r="G1522" s="64"/>
      <c r="H1522" s="64"/>
      <c r="I1522" s="64"/>
      <c r="J1522" s="64"/>
      <c r="K1522" s="64"/>
      <c r="L1522" s="64"/>
      <c r="M1522" s="65"/>
      <c r="N1522" s="64"/>
      <c r="O1522" s="64"/>
      <c r="P1522" s="64"/>
      <c r="Q1522" s="57">
        <f>c_lung+c_hosp_fu+c_CSG</f>
        <v>54529.510902399998</v>
      </c>
      <c r="R1522" s="57"/>
      <c r="S1522" s="129"/>
      <c r="T1522" s="105"/>
      <c r="U1522" s="133"/>
      <c r="V1522" s="133"/>
      <c r="W1522" s="133"/>
      <c r="X1522" s="133"/>
      <c r="Y1522" s="133"/>
      <c r="Z1522" s="134">
        <f t="shared" si="128"/>
        <v>0</v>
      </c>
      <c r="AA1522" s="6">
        <f t="shared" si="127"/>
        <v>0</v>
      </c>
    </row>
    <row r="1523" spans="1:27" x14ac:dyDescent="0.3">
      <c r="A1523" s="41"/>
      <c r="B1523" s="41"/>
      <c r="C1523" s="41"/>
      <c r="D1523" s="41"/>
      <c r="E1523" s="41"/>
      <c r="F1523" s="41"/>
      <c r="G1523" s="64"/>
      <c r="H1523" s="64"/>
      <c r="I1523" s="64"/>
      <c r="J1523" s="64"/>
      <c r="K1523" s="64"/>
      <c r="L1523" s="64"/>
      <c r="M1523" s="65"/>
      <c r="N1523" s="64"/>
      <c r="O1523" s="54" t="s">
        <v>371</v>
      </c>
      <c r="P1523" s="64"/>
      <c r="Q1523" s="54" t="s">
        <v>226</v>
      </c>
      <c r="R1523" s="54"/>
      <c r="S1523" s="129"/>
      <c r="T1523" s="105"/>
      <c r="U1523" s="133">
        <f>$K$1497*$I$1486*$G$1507*$E$1436*$C$1505*$A$1460*$M$1512*$O$1524*Q1524</f>
        <v>0</v>
      </c>
      <c r="V1523" s="133"/>
      <c r="W1523" s="134">
        <f>$K$1498+$I$1487+$G$1508+$E$1437+$C$1506+$A$1461+$M$1513+$O$1525+Q1525</f>
        <v>19442.781708108108</v>
      </c>
      <c r="X1523" s="133">
        <f>u_CongnitiveImpairement</f>
        <v>17.270393127285455</v>
      </c>
      <c r="Y1523" s="133"/>
      <c r="Z1523" s="134">
        <f t="shared" si="128"/>
        <v>0</v>
      </c>
      <c r="AA1523" s="6">
        <f t="shared" si="127"/>
        <v>0</v>
      </c>
    </row>
    <row r="1524" spans="1:27" x14ac:dyDescent="0.3">
      <c r="A1524" s="41"/>
      <c r="B1524" s="41"/>
      <c r="C1524" s="41"/>
      <c r="D1524" s="41"/>
      <c r="E1524" s="41"/>
      <c r="F1524" s="41"/>
      <c r="G1524" s="64"/>
      <c r="H1524" s="64"/>
      <c r="I1524" s="64"/>
      <c r="J1524" s="64"/>
      <c r="K1524" s="64"/>
      <c r="L1524" s="64"/>
      <c r="M1524" s="65"/>
      <c r="N1524" s="64"/>
      <c r="O1524" s="56">
        <f>SGA_prem_2normoglycaemia_4</f>
        <v>0.78449999999999998</v>
      </c>
      <c r="P1524" s="64"/>
      <c r="Q1524" s="56">
        <f>noHypo2CI_4-(RDS2CLD_4*noHypo2CI_4)</f>
        <v>2.1141683406990762E-2</v>
      </c>
      <c r="R1524" s="56"/>
      <c r="S1524" s="129"/>
      <c r="T1524" s="105"/>
      <c r="U1524" s="133"/>
      <c r="V1524" s="133">
        <v>0</v>
      </c>
      <c r="W1524" s="133"/>
      <c r="X1524" s="133"/>
      <c r="Y1524" s="133"/>
      <c r="Z1524" s="134">
        <f t="shared" si="128"/>
        <v>0</v>
      </c>
      <c r="AA1524" s="6">
        <f t="shared" si="127"/>
        <v>0</v>
      </c>
    </row>
    <row r="1525" spans="1:27" x14ac:dyDescent="0.3">
      <c r="A1525" s="41"/>
      <c r="B1525" s="41"/>
      <c r="C1525" s="41"/>
      <c r="D1525" s="41"/>
      <c r="E1525" s="41"/>
      <c r="F1525" s="41"/>
      <c r="G1525" s="64"/>
      <c r="H1525" s="64"/>
      <c r="I1525" s="64"/>
      <c r="J1525" s="64"/>
      <c r="K1525" s="64"/>
      <c r="L1525" s="64"/>
      <c r="M1525" s="65"/>
      <c r="N1525" s="64"/>
      <c r="O1525" s="57"/>
      <c r="P1525" s="64"/>
      <c r="Q1525" s="57">
        <f>c_cog+c_hosp_fu+c_CSG</f>
        <v>15766</v>
      </c>
      <c r="R1525" s="57"/>
      <c r="S1525" s="129"/>
      <c r="T1525" s="105"/>
      <c r="U1525" s="133"/>
      <c r="V1525" s="133"/>
      <c r="W1525" s="133"/>
      <c r="X1525" s="133"/>
      <c r="Y1525" s="133"/>
      <c r="Z1525" s="134">
        <f t="shared" si="128"/>
        <v>0</v>
      </c>
      <c r="AA1525" s="6">
        <f t="shared" si="127"/>
        <v>0</v>
      </c>
    </row>
    <row r="1526" spans="1:27" x14ac:dyDescent="0.3">
      <c r="A1526" s="41"/>
      <c r="B1526" s="41"/>
      <c r="C1526" s="41"/>
      <c r="D1526" s="41"/>
      <c r="E1526" s="41"/>
      <c r="F1526" s="41"/>
      <c r="G1526" s="64"/>
      <c r="H1526" s="64"/>
      <c r="I1526" s="64"/>
      <c r="J1526" s="64"/>
      <c r="K1526" s="64"/>
      <c r="L1526" s="64"/>
      <c r="M1526" s="65"/>
      <c r="N1526" s="64"/>
      <c r="O1526" s="64"/>
      <c r="P1526" s="64"/>
      <c r="Q1526" s="54" t="s">
        <v>369</v>
      </c>
      <c r="R1526" s="54"/>
      <c r="S1526" s="129"/>
      <c r="T1526" s="105"/>
      <c r="U1526" s="133">
        <f>$K$1497*$I$1486*$G$1507*$E$1436*$C$1505*$A$1460*$M$1512*$O$1524*Q1527</f>
        <v>0</v>
      </c>
      <c r="V1526" s="133"/>
      <c r="W1526" s="134">
        <f>$K$1498+$I$1487+$G$1508+$E$1437+$C$1506+$A$1461+$M$1513+$O$1525+Q1528</f>
        <v>62025.292610508106</v>
      </c>
      <c r="X1526" s="133">
        <f>u_ChronicResp+u_CongnitiveImpairement</f>
        <v>17.805052694763283</v>
      </c>
      <c r="Y1526" s="133"/>
      <c r="Z1526" s="134">
        <f t="shared" si="128"/>
        <v>0</v>
      </c>
      <c r="AA1526" s="6">
        <f t="shared" si="127"/>
        <v>0</v>
      </c>
    </row>
    <row r="1527" spans="1:27" x14ac:dyDescent="0.3">
      <c r="A1527" s="41"/>
      <c r="B1527" s="41"/>
      <c r="C1527" s="41"/>
      <c r="D1527" s="41"/>
      <c r="E1527" s="41"/>
      <c r="F1527" s="41"/>
      <c r="G1527" s="64"/>
      <c r="H1527" s="64"/>
      <c r="I1527" s="64"/>
      <c r="J1527" s="64"/>
      <c r="K1527" s="64"/>
      <c r="L1527" s="64"/>
      <c r="M1527" s="65"/>
      <c r="N1527" s="64"/>
      <c r="O1527" s="64"/>
      <c r="P1527" s="64"/>
      <c r="Q1527" s="56">
        <f>RDS2CLD_4*noHypo2CI_4</f>
        <v>1.1943893129770991E-2</v>
      </c>
      <c r="R1527" s="56"/>
      <c r="S1527" s="129"/>
      <c r="T1527" s="105"/>
      <c r="U1527" s="133"/>
      <c r="V1527" s="133">
        <v>0</v>
      </c>
      <c r="W1527" s="133"/>
      <c r="X1527" s="133"/>
      <c r="Y1527" s="133"/>
      <c r="Z1527" s="134">
        <f t="shared" si="128"/>
        <v>0</v>
      </c>
      <c r="AA1527" s="6">
        <f t="shared" si="127"/>
        <v>0</v>
      </c>
    </row>
    <row r="1528" spans="1:27" x14ac:dyDescent="0.3">
      <c r="A1528" s="41"/>
      <c r="B1528" s="41"/>
      <c r="C1528" s="41"/>
      <c r="D1528" s="41"/>
      <c r="E1528" s="41"/>
      <c r="F1528" s="41"/>
      <c r="G1528" s="64"/>
      <c r="H1528" s="64"/>
      <c r="I1528" s="64"/>
      <c r="J1528" s="64"/>
      <c r="K1528" s="64"/>
      <c r="L1528" s="64"/>
      <c r="M1528" s="65"/>
      <c r="N1528" s="64"/>
      <c r="O1528" s="64"/>
      <c r="P1528" s="64"/>
      <c r="Q1528" s="57">
        <f>c_cog+c_lung+c_hosp_fu+c_CSG</f>
        <v>58348.510902399998</v>
      </c>
      <c r="R1528" s="57"/>
      <c r="S1528" s="129"/>
      <c r="T1528" s="105"/>
      <c r="U1528" s="133"/>
      <c r="V1528" s="133"/>
      <c r="W1528" s="133"/>
      <c r="X1528" s="133"/>
      <c r="Y1528" s="133"/>
      <c r="Z1528" s="134">
        <f t="shared" si="128"/>
        <v>0</v>
      </c>
      <c r="AA1528" s="6">
        <f t="shared" si="127"/>
        <v>0</v>
      </c>
    </row>
    <row r="1529" spans="1:27" x14ac:dyDescent="0.3">
      <c r="A1529" s="41"/>
      <c r="B1529" s="41"/>
      <c r="C1529" s="41"/>
      <c r="D1529" s="41"/>
      <c r="E1529" s="41"/>
      <c r="F1529" s="41"/>
      <c r="G1529" s="64"/>
      <c r="H1529" s="64"/>
      <c r="I1529" s="64"/>
      <c r="J1529" s="64"/>
      <c r="K1529" s="64"/>
      <c r="L1529" s="64"/>
      <c r="M1529" s="65"/>
      <c r="N1529" s="64"/>
      <c r="O1529" s="64"/>
      <c r="P1529" s="64"/>
      <c r="Q1529" s="54" t="s">
        <v>370</v>
      </c>
      <c r="R1529" s="54"/>
      <c r="T1529" s="105"/>
      <c r="U1529" s="133">
        <f>$K$1497*$I$1486*$G$1507*$E$1436*$C$1505*$A$1460*$M$1512*$O$1524*Q1530</f>
        <v>0</v>
      </c>
      <c r="V1529" s="133"/>
      <c r="W1529" s="134">
        <f>$K$1498+$I$1487+$G$1508+$E$1437+$C$1506+$A$1461+$M$1513+$O$1525+Q1531</f>
        <v>18079.781708108108</v>
      </c>
      <c r="X1529" s="133">
        <f>u_Healthy</f>
        <v>0</v>
      </c>
      <c r="Y1529" s="133"/>
      <c r="Z1529" s="134">
        <f t="shared" si="128"/>
        <v>0</v>
      </c>
      <c r="AA1529" s="6">
        <f t="shared" si="127"/>
        <v>0</v>
      </c>
    </row>
    <row r="1530" spans="1:27" x14ac:dyDescent="0.3">
      <c r="A1530" s="41"/>
      <c r="B1530" s="41"/>
      <c r="C1530" s="41"/>
      <c r="D1530" s="41"/>
      <c r="E1530" s="41"/>
      <c r="F1530" s="41"/>
      <c r="G1530" s="64"/>
      <c r="H1530" s="64"/>
      <c r="I1530" s="64"/>
      <c r="J1530" s="64"/>
      <c r="K1530" s="64"/>
      <c r="L1530" s="64"/>
      <c r="M1530" s="65"/>
      <c r="N1530" s="64"/>
      <c r="O1530" s="64"/>
      <c r="P1530" s="64"/>
      <c r="Q1530" s="56">
        <f>1-Q1527-Q1524-Q1521</f>
        <v>0.61785831659300938</v>
      </c>
      <c r="R1530" s="56"/>
      <c r="S1530" s="129"/>
      <c r="T1530" s="105"/>
      <c r="U1530" s="133"/>
      <c r="V1530" s="133">
        <v>0</v>
      </c>
      <c r="W1530" s="133"/>
      <c r="X1530" s="133"/>
      <c r="Y1530" s="133"/>
      <c r="Z1530" s="134">
        <f t="shared" si="128"/>
        <v>0</v>
      </c>
      <c r="AA1530" s="6">
        <f t="shared" si="127"/>
        <v>0</v>
      </c>
    </row>
    <row r="1531" spans="1:27" x14ac:dyDescent="0.3">
      <c r="A1531" s="41"/>
      <c r="B1531" s="41"/>
      <c r="C1531" s="41"/>
      <c r="D1531" s="41"/>
      <c r="E1531" s="41"/>
      <c r="F1531" s="41"/>
      <c r="G1531" s="64"/>
      <c r="H1531" s="64"/>
      <c r="I1531" s="64"/>
      <c r="J1531" s="64"/>
      <c r="K1531" s="64"/>
      <c r="L1531" s="64"/>
      <c r="M1531" s="65"/>
      <c r="N1531" s="64"/>
      <c r="O1531" s="64"/>
      <c r="P1531" s="64"/>
      <c r="Q1531" s="57">
        <f>c_clinic_fu+c_CSG</f>
        <v>14403</v>
      </c>
      <c r="R1531" s="57"/>
      <c r="S1531" s="129"/>
      <c r="T1531" s="105"/>
      <c r="U1531" s="133"/>
      <c r="V1531" s="133"/>
      <c r="W1531" s="133"/>
      <c r="X1531" s="133"/>
      <c r="Y1531" s="133"/>
      <c r="Z1531" s="134">
        <f t="shared" si="128"/>
        <v>0</v>
      </c>
      <c r="AA1531" s="6">
        <f t="shared" si="127"/>
        <v>0</v>
      </c>
    </row>
    <row r="1532" spans="1:27" x14ac:dyDescent="0.3">
      <c r="A1532" s="41"/>
      <c r="B1532" s="41"/>
      <c r="C1532" s="41"/>
      <c r="D1532" s="41"/>
      <c r="E1532" s="41"/>
      <c r="F1532" s="41"/>
      <c r="G1532" s="64"/>
      <c r="H1532" s="64"/>
      <c r="I1532" s="64"/>
      <c r="J1532" s="64"/>
      <c r="K1532" s="64"/>
      <c r="L1532" s="64"/>
      <c r="M1532" s="65"/>
      <c r="N1532" s="64"/>
      <c r="O1532" s="64"/>
      <c r="P1532" s="64"/>
      <c r="Q1532" s="65"/>
      <c r="R1532" s="65"/>
      <c r="S1532" s="129"/>
      <c r="T1532" s="105"/>
      <c r="U1532" s="133"/>
      <c r="V1532" s="133"/>
      <c r="W1532" s="133"/>
      <c r="X1532" s="133"/>
      <c r="Y1532" s="133"/>
      <c r="Z1532" s="134">
        <f t="shared" si="128"/>
        <v>0</v>
      </c>
      <c r="AA1532" s="6">
        <f t="shared" si="127"/>
        <v>0</v>
      </c>
    </row>
    <row r="1533" spans="1:27" x14ac:dyDescent="0.3">
      <c r="A1533" s="41"/>
      <c r="B1533" s="41"/>
      <c r="C1533" s="41"/>
      <c r="D1533" s="41"/>
      <c r="E1533" s="41"/>
      <c r="F1533" s="41"/>
      <c r="G1533" s="64"/>
      <c r="H1533" s="64"/>
      <c r="I1533" s="64"/>
      <c r="J1533" s="64"/>
      <c r="K1533" s="54" t="s">
        <v>165</v>
      </c>
      <c r="L1533" s="54"/>
      <c r="M1533" s="54"/>
      <c r="N1533" s="54"/>
      <c r="O1533" s="54"/>
      <c r="P1533" s="54"/>
      <c r="Q1533" s="54"/>
      <c r="R1533" s="54"/>
      <c r="S1533" s="129"/>
      <c r="T1533" s="105"/>
      <c r="U1533" s="133">
        <f>$K$1534*$I$1542*$G$1507*$E$1436*$C$1505*$A$1460</f>
        <v>3.180512596551397E-4</v>
      </c>
      <c r="V1533" s="133">
        <v>3.180512596551397E-4</v>
      </c>
      <c r="W1533" s="134">
        <f>$K$1535+$I$1543+$G$1508+$E$1437+$C$1506+$A$1461</f>
        <v>5468.7817081081084</v>
      </c>
      <c r="X1533" s="133">
        <f>u_Death</f>
        <v>19.181538114427529</v>
      </c>
      <c r="Y1533" s="133"/>
      <c r="Z1533" s="134">
        <f t="shared" si="128"/>
        <v>1.7393529110427703</v>
      </c>
      <c r="AA1533" s="6">
        <f t="shared" si="127"/>
        <v>6.1007123594167484E-3</v>
      </c>
    </row>
    <row r="1534" spans="1:27" x14ac:dyDescent="0.3">
      <c r="A1534" s="41"/>
      <c r="B1534" s="41"/>
      <c r="C1534" s="41"/>
      <c r="D1534" s="41"/>
      <c r="E1534" s="41"/>
      <c r="F1534" s="41"/>
      <c r="G1534" s="64"/>
      <c r="H1534" s="64"/>
      <c r="I1534" s="64"/>
      <c r="J1534" s="64"/>
      <c r="K1534" s="56">
        <f>AGA_prem_2d_4</f>
        <v>3.5174999999999998E-2</v>
      </c>
      <c r="L1534" s="64"/>
      <c r="M1534" s="64"/>
      <c r="N1534" s="64"/>
      <c r="O1534" s="64"/>
      <c r="P1534" s="64"/>
      <c r="Q1534" s="64"/>
      <c r="R1534" s="64"/>
      <c r="S1534" s="129"/>
      <c r="T1534" s="105"/>
      <c r="U1534" s="133"/>
      <c r="V1534" s="133"/>
      <c r="W1534" s="133"/>
      <c r="X1534" s="133"/>
      <c r="Y1534" s="133"/>
      <c r="Z1534" s="134">
        <f t="shared" si="128"/>
        <v>0</v>
      </c>
      <c r="AA1534" s="6">
        <f t="shared" si="127"/>
        <v>0</v>
      </c>
    </row>
    <row r="1535" spans="1:27" x14ac:dyDescent="0.3">
      <c r="A1535" s="41"/>
      <c r="B1535" s="41"/>
      <c r="C1535" s="41"/>
      <c r="D1535" s="41"/>
      <c r="E1535" s="41"/>
      <c r="F1535" s="41"/>
      <c r="G1535" s="64"/>
      <c r="H1535" s="64"/>
      <c r="I1535" s="64"/>
      <c r="J1535" s="64"/>
      <c r="K1535" s="57">
        <f>c_SB</f>
        <v>1792</v>
      </c>
      <c r="L1535" s="64"/>
      <c r="M1535" s="64"/>
      <c r="N1535" s="64"/>
      <c r="O1535" s="64"/>
      <c r="P1535" s="64"/>
      <c r="Q1535" s="64"/>
      <c r="R1535" s="64"/>
      <c r="S1535" s="129"/>
      <c r="T1535" s="105"/>
      <c r="U1535" s="133"/>
      <c r="V1535" s="133"/>
      <c r="W1535" s="133"/>
      <c r="X1535" s="133"/>
      <c r="Y1535" s="133"/>
      <c r="Z1535" s="134">
        <f t="shared" si="128"/>
        <v>0</v>
      </c>
      <c r="AA1535" s="6">
        <f t="shared" si="127"/>
        <v>0</v>
      </c>
    </row>
    <row r="1536" spans="1:27" x14ac:dyDescent="0.3">
      <c r="A1536" s="41"/>
      <c r="B1536" s="41"/>
      <c r="C1536" s="41"/>
      <c r="D1536" s="41"/>
      <c r="E1536" s="41"/>
      <c r="F1536" s="41"/>
      <c r="G1536" s="64"/>
      <c r="H1536" s="64"/>
      <c r="I1536" s="64"/>
      <c r="J1536" s="64"/>
      <c r="K1536" s="53"/>
      <c r="L1536" s="53"/>
      <c r="M1536" s="53"/>
      <c r="N1536" s="53"/>
      <c r="O1536" s="53"/>
      <c r="P1536" s="53"/>
      <c r="Q1536" s="53"/>
      <c r="R1536" s="53"/>
      <c r="S1536" s="129"/>
      <c r="T1536" s="105"/>
      <c r="U1536" s="133"/>
      <c r="V1536" s="133"/>
      <c r="W1536" s="133"/>
      <c r="X1536" s="133"/>
      <c r="Y1536" s="133"/>
      <c r="Z1536" s="134">
        <f t="shared" si="128"/>
        <v>0</v>
      </c>
      <c r="AA1536" s="6">
        <f t="shared" si="127"/>
        <v>0</v>
      </c>
    </row>
    <row r="1537" spans="1:27" x14ac:dyDescent="0.3">
      <c r="A1537" s="41"/>
      <c r="B1537" s="41"/>
      <c r="C1537" s="41"/>
      <c r="D1537" s="41"/>
      <c r="E1537" s="41"/>
      <c r="F1537" s="41"/>
      <c r="G1537" s="64"/>
      <c r="H1537" s="64"/>
      <c r="I1537" s="64"/>
      <c r="J1537" s="64"/>
      <c r="K1537" s="53"/>
      <c r="L1537" s="53"/>
      <c r="M1537" s="53"/>
      <c r="N1537" s="53"/>
      <c r="O1537" s="53"/>
      <c r="P1537" s="53"/>
      <c r="Q1537" s="54" t="s">
        <v>368</v>
      </c>
      <c r="R1537" s="54"/>
      <c r="S1537" s="129"/>
      <c r="T1537" s="105"/>
      <c r="U1537" s="133">
        <f>$K$1553*$I$1542*$G$1507*$E$1436*$C$1505*$A$1460*$M$1548*$O$1543*Q1538</f>
        <v>2.0166762222624391E-4</v>
      </c>
      <c r="V1537" s="133">
        <v>2.0166762222624391E-4</v>
      </c>
      <c r="W1537" s="134">
        <f>$K$1554+$I$1543+$G$1508+$E$1437+$C$1506+$A$1461+$M$1549+$O$1544+Q1539</f>
        <v>91738.163158713738</v>
      </c>
      <c r="X1537" s="133">
        <f>u_ChronicResp</f>
        <v>0.53465956747782661</v>
      </c>
      <c r="Y1537" s="133"/>
      <c r="Z1537" s="134">
        <f t="shared" si="128"/>
        <v>18.50061723162101</v>
      </c>
      <c r="AA1537" s="6">
        <f t="shared" si="127"/>
        <v>1.0782352367376531E-4</v>
      </c>
    </row>
    <row r="1538" spans="1:27" x14ac:dyDescent="0.3">
      <c r="A1538" s="41"/>
      <c r="B1538" s="41"/>
      <c r="C1538" s="41"/>
      <c r="D1538" s="41"/>
      <c r="E1538" s="41"/>
      <c r="F1538" s="41"/>
      <c r="G1538" s="64"/>
      <c r="H1538" s="64"/>
      <c r="I1538" s="64"/>
      <c r="J1538" s="64"/>
      <c r="K1538" s="53"/>
      <c r="L1538" s="53"/>
      <c r="M1538" s="53"/>
      <c r="N1538" s="53"/>
      <c r="O1538" s="64"/>
      <c r="P1538" s="64"/>
      <c r="Q1538" s="56">
        <f>RDS2CLD_4-(Hypo2CI_4*RDS2CLD_4)</f>
        <v>0.34246866666666664</v>
      </c>
      <c r="R1538" s="56"/>
      <c r="S1538" s="129"/>
      <c r="T1538" s="105"/>
      <c r="U1538" s="133"/>
      <c r="V1538" s="133"/>
      <c r="W1538" s="133"/>
      <c r="X1538" s="133"/>
      <c r="Y1538" s="133"/>
      <c r="Z1538" s="134">
        <f t="shared" si="128"/>
        <v>0</v>
      </c>
      <c r="AA1538" s="6">
        <f t="shared" si="127"/>
        <v>0</v>
      </c>
    </row>
    <row r="1539" spans="1:27" x14ac:dyDescent="0.3">
      <c r="A1539" s="41"/>
      <c r="B1539" s="41"/>
      <c r="C1539" s="41"/>
      <c r="D1539" s="41"/>
      <c r="E1539" s="41"/>
      <c r="F1539" s="41"/>
      <c r="G1539" s="64"/>
      <c r="H1539" s="64"/>
      <c r="I1539" s="64"/>
      <c r="J1539" s="64"/>
      <c r="K1539" s="53"/>
      <c r="L1539" s="53"/>
      <c r="M1539" s="53"/>
      <c r="N1539" s="53"/>
      <c r="O1539" s="64"/>
      <c r="P1539" s="64"/>
      <c r="Q1539" s="57">
        <f>c_lung+c_hosp_fu+c_CSG</f>
        <v>54529.510902399998</v>
      </c>
      <c r="R1539" s="57"/>
      <c r="S1539" s="129"/>
      <c r="T1539" s="105"/>
      <c r="U1539" s="133"/>
      <c r="V1539" s="133"/>
      <c r="W1539" s="133"/>
      <c r="X1539" s="133"/>
      <c r="Y1539" s="133"/>
      <c r="Z1539" s="134">
        <f t="shared" si="128"/>
        <v>0</v>
      </c>
      <c r="AA1539" s="6">
        <f t="shared" si="127"/>
        <v>0</v>
      </c>
    </row>
    <row r="1540" spans="1:27" x14ac:dyDescent="0.3">
      <c r="A1540" s="41"/>
      <c r="B1540" s="41"/>
      <c r="C1540" s="41"/>
      <c r="D1540" s="41"/>
      <c r="E1540" s="41"/>
      <c r="F1540" s="41"/>
      <c r="G1540" s="64"/>
      <c r="H1540" s="64"/>
      <c r="I1540" s="64"/>
      <c r="J1540" s="64"/>
      <c r="K1540" s="53"/>
      <c r="L1540" s="53"/>
      <c r="M1540" s="53"/>
      <c r="N1540" s="53"/>
      <c r="O1540" s="64"/>
      <c r="P1540" s="64"/>
      <c r="Q1540" s="54" t="s">
        <v>226</v>
      </c>
      <c r="R1540" s="54"/>
      <c r="S1540" s="129"/>
      <c r="T1540" s="105"/>
      <c r="U1540" s="133">
        <f>$K$1553*$I$1542*$G$1507*$E$1436*$C$1505*$A$1460*$M$1548*$O$1543*Q1541</f>
        <v>1.9315931611062969E-5</v>
      </c>
      <c r="V1540" s="133">
        <v>1.9315931611062969E-5</v>
      </c>
      <c r="W1540" s="134">
        <f>$K$1554+$I$1543+$G$1508+$E$1437+$C$1506+$A$1461+$M$1549+$O$1544+Q1542</f>
        <v>52974.652256313741</v>
      </c>
      <c r="X1540" s="133">
        <f>u_CongnitiveImpairement</f>
        <v>17.270393127285455</v>
      </c>
      <c r="Y1540" s="133"/>
      <c r="Z1540" s="134">
        <f t="shared" si="128"/>
        <v>1.0232547601027988</v>
      </c>
      <c r="AA1540" s="6">
        <f t="shared" si="127"/>
        <v>3.3359373254281778E-4</v>
      </c>
    </row>
    <row r="1541" spans="1:27" x14ac:dyDescent="0.3">
      <c r="A1541" s="41"/>
      <c r="B1541" s="41"/>
      <c r="C1541" s="41"/>
      <c r="D1541" s="41"/>
      <c r="E1541" s="41"/>
      <c r="F1541" s="41"/>
      <c r="G1541" s="64"/>
      <c r="H1541" s="64"/>
      <c r="I1541" s="54" t="s">
        <v>425</v>
      </c>
      <c r="J1541" s="64"/>
      <c r="K1541" s="64"/>
      <c r="L1541" s="64"/>
      <c r="M1541" s="64"/>
      <c r="N1541" s="64"/>
      <c r="O1541" s="64"/>
      <c r="P1541" s="64"/>
      <c r="Q1541" s="56">
        <f>Hypo2CI_4-(Hypo2CI_4*RDS2CLD_4)</f>
        <v>3.2801999999999998E-2</v>
      </c>
      <c r="R1541" s="56"/>
      <c r="S1541" s="129"/>
      <c r="T1541" s="105"/>
      <c r="U1541" s="133"/>
      <c r="V1541" s="133"/>
      <c r="W1541" s="133"/>
      <c r="X1541" s="133"/>
      <c r="Y1541" s="133"/>
      <c r="Z1541" s="134">
        <f t="shared" si="128"/>
        <v>0</v>
      </c>
      <c r="AA1541" s="6">
        <f t="shared" si="127"/>
        <v>0</v>
      </c>
    </row>
    <row r="1542" spans="1:27" x14ac:dyDescent="0.3">
      <c r="A1542" s="41"/>
      <c r="B1542" s="41"/>
      <c r="C1542" s="41"/>
      <c r="D1542" s="41"/>
      <c r="E1542" s="41"/>
      <c r="F1542" s="41"/>
      <c r="G1542" s="64"/>
      <c r="H1542" s="64"/>
      <c r="I1542" s="56">
        <f>NBW_prem_2AGA_4</f>
        <v>1</v>
      </c>
      <c r="J1542" s="64"/>
      <c r="K1542" s="64"/>
      <c r="L1542" s="64"/>
      <c r="M1542" s="64"/>
      <c r="N1542" s="64"/>
      <c r="O1542" s="54" t="s">
        <v>161</v>
      </c>
      <c r="P1542" s="64"/>
      <c r="Q1542" s="57">
        <f>c_cog+c_hosp_fu+c_CSG</f>
        <v>15766</v>
      </c>
      <c r="R1542" s="57"/>
      <c r="S1542" s="129"/>
      <c r="T1542" s="105"/>
      <c r="U1542" s="133"/>
      <c r="V1542" s="133"/>
      <c r="W1542" s="133"/>
      <c r="X1542" s="133"/>
      <c r="Y1542" s="133"/>
      <c r="Z1542" s="134">
        <f t="shared" si="128"/>
        <v>0</v>
      </c>
      <c r="AA1542" s="6">
        <f t="shared" si="127"/>
        <v>0</v>
      </c>
    </row>
    <row r="1543" spans="1:27" x14ac:dyDescent="0.3">
      <c r="A1543" s="41"/>
      <c r="B1543" s="41"/>
      <c r="C1543" s="41"/>
      <c r="D1543" s="41"/>
      <c r="E1543" s="41"/>
      <c r="F1543" s="41"/>
      <c r="G1543" s="64"/>
      <c r="H1543" s="64"/>
      <c r="I1543" s="57"/>
      <c r="J1543" s="64"/>
      <c r="K1543" s="64"/>
      <c r="L1543" s="64"/>
      <c r="M1543" s="64"/>
      <c r="N1543" s="64"/>
      <c r="O1543" s="56">
        <f>AGA_prem_2hypoglycaemia_4</f>
        <v>0.15</v>
      </c>
      <c r="P1543" s="64"/>
      <c r="Q1543" s="54" t="s">
        <v>369</v>
      </c>
      <c r="R1543" s="54"/>
      <c r="S1543" s="129"/>
      <c r="T1543" s="105"/>
      <c r="U1543" s="133">
        <f>$K$1553*$I$1542*$G$1507*$E$1436*$C$1505*$A$1460*$M$1548*$O$1543*Q1544</f>
        <v>1.0912443367126341E-5</v>
      </c>
      <c r="V1543" s="133">
        <v>1.0912443367126341E-5</v>
      </c>
      <c r="W1543" s="134">
        <f>$K$1554+$I$1543+$G$1508+$E$1437+$C$1506+$A$1461+$M$1549+$O$1544+Q1545</f>
        <v>95557.163158713738</v>
      </c>
      <c r="X1543" s="133">
        <f>u_ChronicResp+u_CongnitiveImpairement</f>
        <v>17.805052694763283</v>
      </c>
      <c r="Y1543" s="133"/>
      <c r="Z1543" s="134">
        <f t="shared" si="128"/>
        <v>1.0427621312927153</v>
      </c>
      <c r="AA1543" s="6">
        <f t="shared" si="127"/>
        <v>1.9429662918030459E-4</v>
      </c>
    </row>
    <row r="1544" spans="1:27" x14ac:dyDescent="0.3">
      <c r="A1544" s="41"/>
      <c r="B1544" s="41"/>
      <c r="C1544" s="41"/>
      <c r="D1544" s="41"/>
      <c r="E1544" s="41"/>
      <c r="F1544" s="41"/>
      <c r="G1544" s="64"/>
      <c r="H1544" s="64"/>
      <c r="I1544" s="64"/>
      <c r="J1544" s="64"/>
      <c r="K1544" s="64"/>
      <c r="L1544" s="64"/>
      <c r="M1544" s="64"/>
      <c r="N1544" s="64"/>
      <c r="O1544" s="57">
        <f>c_hypo</f>
        <v>2936.2604000000001</v>
      </c>
      <c r="P1544" s="64"/>
      <c r="Q1544" s="56">
        <f>Hypo2CI_4*RDS2CLD_4</f>
        <v>1.8531333333333334E-2</v>
      </c>
      <c r="R1544" s="56"/>
      <c r="S1544" s="129"/>
      <c r="T1544" s="105"/>
      <c r="U1544" s="133"/>
      <c r="V1544" s="133"/>
      <c r="W1544" s="133"/>
      <c r="X1544" s="133"/>
      <c r="Y1544" s="133"/>
      <c r="Z1544" s="134">
        <f t="shared" si="128"/>
        <v>0</v>
      </c>
      <c r="AA1544" s="6">
        <f t="shared" si="127"/>
        <v>0</v>
      </c>
    </row>
    <row r="1545" spans="1:27" x14ac:dyDescent="0.3">
      <c r="A1545" s="41"/>
      <c r="B1545" s="41"/>
      <c r="C1545" s="41"/>
      <c r="D1545" s="41"/>
      <c r="E1545" s="41"/>
      <c r="F1545" s="41"/>
      <c r="G1545" s="64"/>
      <c r="H1545" s="64"/>
      <c r="I1545" s="64"/>
      <c r="J1545" s="64"/>
      <c r="K1545" s="64"/>
      <c r="L1545" s="64"/>
      <c r="M1545" s="65"/>
      <c r="N1545" s="64"/>
      <c r="O1545" s="53"/>
      <c r="P1545" s="64"/>
      <c r="Q1545" s="57">
        <f>c_lung+c_cog+c_hosp_fu+c_CSG</f>
        <v>58348.510902399998</v>
      </c>
      <c r="R1545" s="57"/>
      <c r="S1545" s="129"/>
      <c r="T1545" s="105"/>
      <c r="U1545" s="133"/>
      <c r="V1545" s="133"/>
      <c r="W1545" s="133"/>
      <c r="X1545" s="133"/>
      <c r="Y1545" s="133"/>
      <c r="Z1545" s="134">
        <f t="shared" si="128"/>
        <v>0</v>
      </c>
      <c r="AA1545" s="6">
        <f t="shared" si="127"/>
        <v>0</v>
      </c>
    </row>
    <row r="1546" spans="1:27" x14ac:dyDescent="0.3">
      <c r="A1546" s="41"/>
      <c r="B1546" s="41"/>
      <c r="C1546" s="41"/>
      <c r="D1546" s="41"/>
      <c r="E1546" s="41"/>
      <c r="F1546" s="41"/>
      <c r="G1546" s="64"/>
      <c r="H1546" s="64"/>
      <c r="I1546" s="64"/>
      <c r="J1546" s="64"/>
      <c r="K1546" s="64"/>
      <c r="L1546" s="64"/>
      <c r="M1546" s="64"/>
      <c r="N1546" s="64"/>
      <c r="O1546" s="64"/>
      <c r="P1546" s="64"/>
      <c r="Q1546" s="54" t="s">
        <v>370</v>
      </c>
      <c r="R1546" s="54"/>
      <c r="S1546" s="129"/>
      <c r="T1546" s="105"/>
      <c r="U1546" s="133">
        <f>$K$1553*$I$1542*$G$1507*$E$1436*$C$1505*$A$1460*$M$1548*$O$1543*Q1547</f>
        <v>3.5696845042263126E-4</v>
      </c>
      <c r="V1546" s="133">
        <v>3.5696845042263126E-4</v>
      </c>
      <c r="W1546" s="134">
        <f>$K$1554+$I$1543+$G$1508+$E$1437+$C$1506+$A$1461+$M$1549+$O$1544+Q1548</f>
        <v>51611.652256313741</v>
      </c>
      <c r="X1546" s="133">
        <f>u_Healthy</f>
        <v>0</v>
      </c>
      <c r="Y1546" s="133"/>
      <c r="Z1546" s="134">
        <f t="shared" si="128"/>
        <v>18.423731529688016</v>
      </c>
      <c r="AA1546" s="6">
        <f t="shared" si="127"/>
        <v>0</v>
      </c>
    </row>
    <row r="1547" spans="1:27" x14ac:dyDescent="0.3">
      <c r="A1547" s="41"/>
      <c r="B1547" s="41"/>
      <c r="C1547" s="41"/>
      <c r="D1547" s="41"/>
      <c r="E1547" s="41"/>
      <c r="F1547" s="41"/>
      <c r="G1547" s="64"/>
      <c r="H1547" s="64"/>
      <c r="I1547" s="64"/>
      <c r="J1547" s="64"/>
      <c r="K1547" s="64"/>
      <c r="L1547" s="64"/>
      <c r="M1547" s="54" t="s">
        <v>9</v>
      </c>
      <c r="N1547" s="64"/>
      <c r="O1547" s="64"/>
      <c r="P1547" s="64"/>
      <c r="Q1547" s="56">
        <f>1-Q1538-Q1541-Q1544</f>
        <v>0.60619800000000001</v>
      </c>
      <c r="R1547" s="56"/>
      <c r="S1547" s="129"/>
      <c r="T1547" s="105"/>
      <c r="U1547" s="133"/>
      <c r="V1547" s="133"/>
      <c r="W1547" s="133"/>
      <c r="X1547" s="133"/>
      <c r="Y1547" s="133"/>
      <c r="Z1547" s="134">
        <f t="shared" si="128"/>
        <v>0</v>
      </c>
      <c r="AA1547" s="6">
        <f t="shared" si="127"/>
        <v>0</v>
      </c>
    </row>
    <row r="1548" spans="1:27" x14ac:dyDescent="0.3">
      <c r="A1548" s="41"/>
      <c r="B1548" s="41"/>
      <c r="C1548" s="41"/>
      <c r="D1548" s="41"/>
      <c r="E1548" s="41"/>
      <c r="F1548" s="41"/>
      <c r="G1548" s="64"/>
      <c r="H1548" s="64"/>
      <c r="I1548" s="64"/>
      <c r="J1548" s="64"/>
      <c r="K1548" s="65"/>
      <c r="L1548" s="64"/>
      <c r="M1548" s="56">
        <f>S_prem_2RDS_4</f>
        <v>0.45</v>
      </c>
      <c r="N1548" s="64"/>
      <c r="O1548" s="64"/>
      <c r="P1548" s="64"/>
      <c r="Q1548" s="57">
        <f>c_clinic_fu+c_CSG</f>
        <v>14403</v>
      </c>
      <c r="R1548" s="57"/>
      <c r="S1548" s="129"/>
      <c r="T1548" s="105"/>
      <c r="U1548" s="133"/>
      <c r="V1548" s="133"/>
      <c r="W1548" s="133"/>
      <c r="X1548" s="133"/>
      <c r="Y1548" s="133"/>
      <c r="Z1548" s="134">
        <f t="shared" si="128"/>
        <v>0</v>
      </c>
      <c r="AA1548" s="6">
        <f t="shared" si="127"/>
        <v>0</v>
      </c>
    </row>
    <row r="1549" spans="1:27" x14ac:dyDescent="0.3">
      <c r="A1549" s="41"/>
      <c r="B1549" s="41"/>
      <c r="C1549" s="41"/>
      <c r="D1549" s="41"/>
      <c r="E1549" s="41"/>
      <c r="F1549" s="41"/>
      <c r="G1549" s="64"/>
      <c r="H1549" s="64"/>
      <c r="I1549" s="64"/>
      <c r="J1549" s="64"/>
      <c r="K1549" s="65"/>
      <c r="L1549" s="64"/>
      <c r="M1549" s="57">
        <f>c_RDS</f>
        <v>30595.610148205637</v>
      </c>
      <c r="N1549" s="64"/>
      <c r="O1549" s="64"/>
      <c r="P1549" s="64"/>
      <c r="Q1549" s="65"/>
      <c r="R1549" s="65"/>
      <c r="S1549" s="129"/>
      <c r="T1549" s="105"/>
      <c r="U1549" s="133"/>
      <c r="V1549" s="133"/>
      <c r="W1549" s="133"/>
      <c r="X1549" s="133"/>
      <c r="Y1549" s="133"/>
      <c r="Z1549" s="134">
        <f t="shared" si="128"/>
        <v>0</v>
      </c>
      <c r="AA1549" s="6">
        <f t="shared" ref="AA1549:AA1612" si="129">U1549*X1549</f>
        <v>0</v>
      </c>
    </row>
    <row r="1550" spans="1:27" x14ac:dyDescent="0.3">
      <c r="A1550" s="41"/>
      <c r="B1550" s="41"/>
      <c r="C1550" s="41"/>
      <c r="D1550" s="41"/>
      <c r="E1550" s="41"/>
      <c r="F1550" s="41"/>
      <c r="G1550" s="64"/>
      <c r="H1550" s="64"/>
      <c r="I1550" s="64"/>
      <c r="J1550" s="64"/>
      <c r="K1550" s="64"/>
      <c r="L1550" s="64"/>
      <c r="M1550" s="64"/>
      <c r="N1550" s="64"/>
      <c r="O1550" s="64"/>
      <c r="P1550" s="64"/>
      <c r="Q1550" s="54" t="s">
        <v>368</v>
      </c>
      <c r="R1550" s="54"/>
      <c r="S1550" s="129"/>
      <c r="T1550" s="105"/>
      <c r="U1550" s="133">
        <f>$K$1553*$I$1542*$G$1507*$E$1436*$C$1505*$A$1460*$M$1548*$O$1553*Q1551</f>
        <v>1.1647648121902823E-3</v>
      </c>
      <c r="V1550" s="133">
        <v>1.1647648121902823E-3</v>
      </c>
      <c r="W1550" s="134">
        <f>$K$1554+$I$1543+$G$1508+$E$1437+$C$1506+$A$1461+$M$1549+$O$1554+Q1552</f>
        <v>88801.902758713739</v>
      </c>
      <c r="X1550" s="133">
        <f>u_ChronicResp</f>
        <v>0.53465956747782661</v>
      </c>
      <c r="Y1550" s="133"/>
      <c r="Z1550" s="134">
        <f t="shared" si="128"/>
        <v>103.43333158889291</v>
      </c>
      <c r="AA1550" s="6">
        <f t="shared" si="129"/>
        <v>6.2275265069904821E-4</v>
      </c>
    </row>
    <row r="1551" spans="1:27" x14ac:dyDescent="0.3">
      <c r="A1551" s="41"/>
      <c r="B1551" s="41"/>
      <c r="C1551" s="41"/>
      <c r="D1551" s="41"/>
      <c r="E1551" s="41"/>
      <c r="F1551" s="41"/>
      <c r="G1551" s="64"/>
      <c r="H1551" s="64"/>
      <c r="I1551" s="64"/>
      <c r="J1551" s="64"/>
      <c r="K1551" s="64"/>
      <c r="L1551" s="64"/>
      <c r="M1551" s="64"/>
      <c r="N1551" s="64"/>
      <c r="O1551" s="64"/>
      <c r="P1551" s="64"/>
      <c r="Q1551" s="56">
        <f>RDS2CLD_4-(RDS2CLD_4*noHypo2CI_4)</f>
        <v>0.34905610687022898</v>
      </c>
      <c r="R1551" s="56"/>
      <c r="S1551" s="129"/>
      <c r="T1551" s="105"/>
      <c r="U1551" s="133"/>
      <c r="V1551" s="133"/>
      <c r="W1551" s="133"/>
      <c r="X1551" s="133"/>
      <c r="Y1551" s="133"/>
      <c r="Z1551" s="134">
        <f t="shared" ref="Z1551:Z1614" si="130">U1551*W1551</f>
        <v>0</v>
      </c>
      <c r="AA1551" s="6">
        <f t="shared" si="129"/>
        <v>0</v>
      </c>
    </row>
    <row r="1552" spans="1:27" x14ac:dyDescent="0.3">
      <c r="A1552" s="41"/>
      <c r="B1552" s="41"/>
      <c r="C1552" s="41"/>
      <c r="D1552" s="41"/>
      <c r="E1552" s="41"/>
      <c r="F1552" s="41"/>
      <c r="G1552" s="64"/>
      <c r="H1552" s="64"/>
      <c r="I1552" s="64"/>
      <c r="J1552" s="64"/>
      <c r="K1552" s="54" t="s">
        <v>37</v>
      </c>
      <c r="L1552" s="64"/>
      <c r="M1552" s="65"/>
      <c r="N1552" s="64"/>
      <c r="O1552" s="54" t="s">
        <v>371</v>
      </c>
      <c r="P1552" s="64"/>
      <c r="Q1552" s="57">
        <f>c_lung+c_hosp_fu+c_CSG</f>
        <v>54529.510902399998</v>
      </c>
      <c r="R1552" s="57"/>
      <c r="S1552" s="129"/>
      <c r="T1552" s="105"/>
      <c r="U1552" s="133"/>
      <c r="V1552" s="133"/>
      <c r="W1552" s="133"/>
      <c r="X1552" s="133"/>
      <c r="Y1552" s="133"/>
      <c r="Z1552" s="134">
        <f t="shared" si="130"/>
        <v>0</v>
      </c>
      <c r="AA1552" s="6">
        <f t="shared" si="129"/>
        <v>0</v>
      </c>
    </row>
    <row r="1553" spans="1:27" x14ac:dyDescent="0.3">
      <c r="A1553" s="41"/>
      <c r="B1553" s="41"/>
      <c r="C1553" s="41"/>
      <c r="D1553" s="41"/>
      <c r="E1553" s="41"/>
      <c r="F1553" s="41"/>
      <c r="G1553" s="64"/>
      <c r="H1553" s="64"/>
      <c r="I1553" s="64"/>
      <c r="J1553" s="64"/>
      <c r="K1553" s="56">
        <f>AGA_prem_2s_4</f>
        <v>0.96482500000000004</v>
      </c>
      <c r="L1553" s="64"/>
      <c r="M1553" s="64"/>
      <c r="N1553" s="64"/>
      <c r="O1553" s="56">
        <f>AGA_prem_2normoglycaemia_4</f>
        <v>0.85</v>
      </c>
      <c r="P1553" s="64"/>
      <c r="Q1553" s="54" t="s">
        <v>226</v>
      </c>
      <c r="R1553" s="54"/>
      <c r="S1553" s="129"/>
      <c r="T1553" s="105"/>
      <c r="U1553" s="133">
        <f>$K$1553*$I$1542*$G$1507*$E$1436*$C$1505*$A$1460*$M$1548*$O$1553*Q1554</f>
        <v>7.0547652421062041E-5</v>
      </c>
      <c r="V1553" s="133">
        <v>7.0547652421062041E-5</v>
      </c>
      <c r="W1553" s="134">
        <f>$K$1554+$I$1543+$G$1508+$E$1437+$C$1506+$A$1461+$M$1549+$O$1554+Q1555</f>
        <v>50038.391856313741</v>
      </c>
      <c r="X1553" s="133">
        <f>u_CongnitiveImpairement</f>
        <v>17.270393127285455</v>
      </c>
      <c r="Y1553" s="133"/>
      <c r="Z1553" s="134">
        <f t="shared" si="130"/>
        <v>3.530091076388123</v>
      </c>
      <c r="AA1553" s="6">
        <f t="shared" si="129"/>
        <v>1.2183856915188331E-3</v>
      </c>
    </row>
    <row r="1554" spans="1:27" x14ac:dyDescent="0.3">
      <c r="A1554" s="41"/>
      <c r="B1554" s="41"/>
      <c r="C1554" s="41"/>
      <c r="D1554" s="41"/>
      <c r="E1554" s="41"/>
      <c r="F1554" s="41"/>
      <c r="G1554" s="64"/>
      <c r="H1554" s="64"/>
      <c r="I1554" s="64"/>
      <c r="J1554" s="64"/>
      <c r="K1554" s="57"/>
      <c r="L1554" s="64"/>
      <c r="M1554" s="64"/>
      <c r="N1554" s="64"/>
      <c r="O1554" s="57"/>
      <c r="P1554" s="64"/>
      <c r="Q1554" s="56">
        <f>noHypo2CI_4-(RDS2CLD_4*noHypo2CI_4)</f>
        <v>2.1141683406990762E-2</v>
      </c>
      <c r="R1554" s="56"/>
      <c r="S1554" s="129"/>
      <c r="T1554" s="105"/>
      <c r="U1554" s="133"/>
      <c r="V1554" s="133"/>
      <c r="W1554" s="133"/>
      <c r="X1554" s="133"/>
      <c r="Y1554" s="133"/>
      <c r="Z1554" s="134">
        <f t="shared" si="130"/>
        <v>0</v>
      </c>
      <c r="AA1554" s="6">
        <f t="shared" si="129"/>
        <v>0</v>
      </c>
    </row>
    <row r="1555" spans="1:27" x14ac:dyDescent="0.3">
      <c r="A1555" s="41"/>
      <c r="B1555" s="41"/>
      <c r="C1555" s="41"/>
      <c r="D1555" s="41"/>
      <c r="E1555" s="41"/>
      <c r="F1555" s="41"/>
      <c r="G1555" s="64"/>
      <c r="H1555" s="64"/>
      <c r="I1555" s="64"/>
      <c r="J1555" s="64"/>
      <c r="K1555" s="64"/>
      <c r="L1555" s="64"/>
      <c r="M1555" s="64"/>
      <c r="N1555" s="64"/>
      <c r="O1555" s="53"/>
      <c r="P1555" s="64"/>
      <c r="Q1555" s="57">
        <f>c_cog+c_hosp_fu+c_CSG</f>
        <v>15766</v>
      </c>
      <c r="R1555" s="57"/>
      <c r="S1555" s="129"/>
      <c r="T1555" s="105"/>
      <c r="U1555" s="133"/>
      <c r="V1555" s="133"/>
      <c r="W1555" s="133"/>
      <c r="X1555" s="133"/>
      <c r="Y1555" s="133"/>
      <c r="Z1555" s="134">
        <f t="shared" si="130"/>
        <v>0</v>
      </c>
      <c r="AA1555" s="6">
        <f t="shared" si="129"/>
        <v>0</v>
      </c>
    </row>
    <row r="1556" spans="1:27" x14ac:dyDescent="0.3">
      <c r="A1556" s="41"/>
      <c r="B1556" s="41"/>
      <c r="C1556" s="41"/>
      <c r="D1556" s="41"/>
      <c r="E1556" s="41"/>
      <c r="F1556" s="41"/>
      <c r="G1556" s="64"/>
      <c r="H1556" s="64"/>
      <c r="I1556" s="64"/>
      <c r="J1556" s="64"/>
      <c r="K1556" s="64"/>
      <c r="L1556" s="64"/>
      <c r="M1556" s="64"/>
      <c r="N1556" s="64"/>
      <c r="O1556" s="53"/>
      <c r="P1556" s="64"/>
      <c r="Q1556" s="54" t="s">
        <v>369</v>
      </c>
      <c r="R1556" s="54"/>
      <c r="S1556" s="129"/>
      <c r="T1556" s="105"/>
      <c r="U1556" s="133">
        <f>$K$1553*$I$1542*$G$1507*$E$1436*$C$1505*$A$1460*$M$1548*$O$1553*Q1557</f>
        <v>3.9855559505482618E-5</v>
      </c>
      <c r="V1556" s="133">
        <v>3.9855559505482618E-5</v>
      </c>
      <c r="W1556" s="134">
        <f>$K$1554+$I$1543+$G$1508+$E$1437+$C$1506+$A$1461+$M$1549+$O$1554+Q1558</f>
        <v>92620.902758713739</v>
      </c>
      <c r="X1556" s="133">
        <f>u_ChronicResp+u_CongnitiveImpairement</f>
        <v>17.805052694763283</v>
      </c>
      <c r="Y1556" s="133"/>
      <c r="Z1556" s="134">
        <f t="shared" si="130"/>
        <v>3.6914579013514346</v>
      </c>
      <c r="AA1556" s="6">
        <f t="shared" si="129"/>
        <v>7.0963033717439165E-4</v>
      </c>
    </row>
    <row r="1557" spans="1:27" x14ac:dyDescent="0.3">
      <c r="A1557" s="41"/>
      <c r="B1557" s="41"/>
      <c r="C1557" s="41"/>
      <c r="D1557" s="41"/>
      <c r="E1557" s="41"/>
      <c r="F1557" s="41"/>
      <c r="G1557" s="64"/>
      <c r="H1557" s="64"/>
      <c r="I1557" s="64"/>
      <c r="J1557" s="64"/>
      <c r="K1557" s="64"/>
      <c r="L1557" s="64"/>
      <c r="M1557" s="64"/>
      <c r="N1557" s="64"/>
      <c r="O1557" s="53"/>
      <c r="P1557" s="64"/>
      <c r="Q1557" s="56">
        <f>RDS2CLD_4*noHypo2CI_4</f>
        <v>1.1943893129770991E-2</v>
      </c>
      <c r="R1557" s="56"/>
      <c r="S1557" s="129"/>
      <c r="T1557" s="105"/>
      <c r="U1557" s="133"/>
      <c r="V1557" s="133"/>
      <c r="W1557" s="133"/>
      <c r="X1557" s="133"/>
      <c r="Y1557" s="133"/>
      <c r="Z1557" s="134">
        <f t="shared" si="130"/>
        <v>0</v>
      </c>
      <c r="AA1557" s="6">
        <f t="shared" si="129"/>
        <v>0</v>
      </c>
    </row>
    <row r="1558" spans="1:27" x14ac:dyDescent="0.3">
      <c r="A1558" s="41"/>
      <c r="B1558" s="41"/>
      <c r="C1558" s="41"/>
      <c r="D1558" s="41"/>
      <c r="E1558" s="41"/>
      <c r="F1558" s="41"/>
      <c r="G1558" s="64"/>
      <c r="H1558" s="64"/>
      <c r="I1558" s="64"/>
      <c r="J1558" s="64"/>
      <c r="K1558" s="64"/>
      <c r="L1558" s="64"/>
      <c r="M1558" s="64"/>
      <c r="N1558" s="64"/>
      <c r="O1558" s="53"/>
      <c r="P1558" s="64"/>
      <c r="Q1558" s="57">
        <f>c_cog+c_lung+c_hosp_fu+c_CSG</f>
        <v>58348.510902399998</v>
      </c>
      <c r="R1558" s="57"/>
      <c r="S1558" s="129"/>
      <c r="T1558" s="105"/>
      <c r="U1558" s="133"/>
      <c r="V1558" s="133"/>
      <c r="W1558" s="133"/>
      <c r="X1558" s="133"/>
      <c r="Y1558" s="133"/>
      <c r="Z1558" s="134">
        <f t="shared" si="130"/>
        <v>0</v>
      </c>
      <c r="AA1558" s="6">
        <f t="shared" si="129"/>
        <v>0</v>
      </c>
    </row>
    <row r="1559" spans="1:27" x14ac:dyDescent="0.3">
      <c r="A1559" s="41"/>
      <c r="B1559" s="41"/>
      <c r="C1559" s="41"/>
      <c r="D1559" s="41"/>
      <c r="E1559" s="41"/>
      <c r="F1559" s="41"/>
      <c r="G1559" s="64"/>
      <c r="H1559" s="64"/>
      <c r="I1559" s="64"/>
      <c r="J1559" s="64"/>
      <c r="K1559" s="64"/>
      <c r="L1559" s="64"/>
      <c r="M1559" s="64"/>
      <c r="N1559" s="64"/>
      <c r="O1559" s="53"/>
      <c r="P1559" s="64"/>
      <c r="Q1559" s="54" t="s">
        <v>370</v>
      </c>
      <c r="R1559" s="54"/>
      <c r="T1559" s="105"/>
      <c r="U1559" s="133">
        <f>$K$1553*$I$1542*$G$1507*$E$1436*$C$1505*$A$1460*$M$1548*$O$1553*Q1560</f>
        <v>2.0617305124365388E-3</v>
      </c>
      <c r="V1559" s="133">
        <v>2.0617305124365388E-3</v>
      </c>
      <c r="W1559" s="134">
        <f>$K$1554+$I$1543+$G$1508+$E$1437+$C$1506+$A$1461+$M$1549+$O$1554+Q1561</f>
        <v>48675.391856313741</v>
      </c>
      <c r="X1559" s="133">
        <f>u_Healthy</f>
        <v>0</v>
      </c>
      <c r="Y1559" s="133"/>
      <c r="Z1559" s="134">
        <f t="shared" si="130"/>
        <v>100.35554059496705</v>
      </c>
      <c r="AA1559" s="6">
        <f t="shared" si="129"/>
        <v>0</v>
      </c>
    </row>
    <row r="1560" spans="1:27" x14ac:dyDescent="0.3">
      <c r="A1560" s="41"/>
      <c r="B1560" s="41"/>
      <c r="C1560" s="41"/>
      <c r="D1560" s="41"/>
      <c r="E1560" s="41"/>
      <c r="F1560" s="41"/>
      <c r="G1560" s="64"/>
      <c r="H1560" s="64"/>
      <c r="I1560" s="64"/>
      <c r="J1560" s="64"/>
      <c r="K1560" s="64"/>
      <c r="L1560" s="64"/>
      <c r="M1560" s="64"/>
      <c r="N1560" s="64"/>
      <c r="O1560" s="53"/>
      <c r="P1560" s="64"/>
      <c r="Q1560" s="56">
        <f>1-Q1557-Q1554-Q1551</f>
        <v>0.61785831659300938</v>
      </c>
      <c r="R1560" s="56"/>
      <c r="S1560" s="129"/>
      <c r="T1560" s="105"/>
      <c r="U1560" s="133"/>
      <c r="V1560" s="133"/>
      <c r="W1560" s="133"/>
      <c r="X1560" s="133"/>
      <c r="Y1560" s="133"/>
      <c r="Z1560" s="134">
        <f t="shared" si="130"/>
        <v>0</v>
      </c>
      <c r="AA1560" s="6">
        <f t="shared" si="129"/>
        <v>0</v>
      </c>
    </row>
    <row r="1561" spans="1:27" x14ac:dyDescent="0.3">
      <c r="A1561" s="41"/>
      <c r="B1561" s="41"/>
      <c r="C1561" s="41"/>
      <c r="D1561" s="41"/>
      <c r="E1561" s="41"/>
      <c r="F1561" s="41"/>
      <c r="G1561" s="64"/>
      <c r="H1561" s="64"/>
      <c r="I1561" s="64"/>
      <c r="J1561" s="64"/>
      <c r="K1561" s="64"/>
      <c r="L1561" s="64"/>
      <c r="M1561" s="64"/>
      <c r="N1561" s="64"/>
      <c r="O1561" s="64"/>
      <c r="P1561" s="64"/>
      <c r="Q1561" s="57">
        <f>c_clinic_fu+c_CSG</f>
        <v>14403</v>
      </c>
      <c r="R1561" s="57"/>
      <c r="S1561" s="129"/>
      <c r="T1561" s="105"/>
      <c r="U1561" s="133"/>
      <c r="V1561" s="133"/>
      <c r="W1561" s="133"/>
      <c r="X1561" s="133"/>
      <c r="Y1561" s="133"/>
      <c r="Z1561" s="134">
        <f t="shared" si="130"/>
        <v>0</v>
      </c>
      <c r="AA1561" s="6">
        <f t="shared" si="129"/>
        <v>0</v>
      </c>
    </row>
    <row r="1562" spans="1:27" x14ac:dyDescent="0.3">
      <c r="A1562" s="41"/>
      <c r="B1562" s="41"/>
      <c r="C1562" s="41"/>
      <c r="D1562" s="41"/>
      <c r="E1562" s="41"/>
      <c r="F1562" s="41"/>
      <c r="G1562" s="64"/>
      <c r="H1562" s="64"/>
      <c r="I1562" s="64"/>
      <c r="J1562" s="64"/>
      <c r="K1562" s="64"/>
      <c r="L1562" s="64"/>
      <c r="M1562" s="64"/>
      <c r="N1562" s="64"/>
      <c r="O1562" s="64"/>
      <c r="P1562" s="64"/>
      <c r="Q1562" s="65"/>
      <c r="R1562" s="65"/>
      <c r="S1562" s="129"/>
      <c r="T1562" s="105"/>
      <c r="U1562" s="133"/>
      <c r="V1562" s="133"/>
      <c r="W1562" s="133"/>
      <c r="X1562" s="133"/>
      <c r="Y1562" s="133"/>
      <c r="Z1562" s="134">
        <f t="shared" si="130"/>
        <v>0</v>
      </c>
      <c r="AA1562" s="6">
        <f t="shared" si="129"/>
        <v>0</v>
      </c>
    </row>
    <row r="1563" spans="1:27" x14ac:dyDescent="0.3">
      <c r="A1563" s="41"/>
      <c r="B1563" s="41"/>
      <c r="C1563" s="41"/>
      <c r="D1563" s="41"/>
      <c r="E1563" s="41"/>
      <c r="F1563" s="41"/>
      <c r="G1563" s="53"/>
      <c r="H1563" s="64"/>
      <c r="I1563" s="64"/>
      <c r="J1563" s="64"/>
      <c r="K1563" s="64"/>
      <c r="L1563" s="64"/>
      <c r="M1563" s="64"/>
      <c r="N1563" s="64"/>
      <c r="O1563" s="64"/>
      <c r="P1563" s="64"/>
      <c r="Q1563" s="54" t="s">
        <v>368</v>
      </c>
      <c r="R1563" s="54"/>
      <c r="S1563" s="129"/>
      <c r="T1563" s="105"/>
      <c r="U1563" s="133">
        <f>$K$1553*$I$1542*$G$1507*$E$1436*$C$1505*$A$1460*$M$1568*$O$1566*Q1564</f>
        <v>2.4648264938763152E-4</v>
      </c>
      <c r="V1563" s="133">
        <v>2.4648264938763152E-4</v>
      </c>
      <c r="W1563" s="134">
        <f>$K$1554+$I$1543+$G$1508+$E$1437+$C$1506+$A$1461+$M$1569+$O$1567+Q1565</f>
        <v>61142.553010508105</v>
      </c>
      <c r="X1563" s="133">
        <f>u_ChronicResp</f>
        <v>0.53465956747782661</v>
      </c>
      <c r="Y1563" s="133"/>
      <c r="Z1563" s="134">
        <f t="shared" si="130"/>
        <v>15.070578456353743</v>
      </c>
      <c r="AA1563" s="6">
        <f t="shared" si="129"/>
        <v>1.3178430671237986E-4</v>
      </c>
    </row>
    <row r="1564" spans="1:27" x14ac:dyDescent="0.3">
      <c r="A1564" s="41"/>
      <c r="B1564" s="41"/>
      <c r="C1564" s="41"/>
      <c r="D1564" s="41"/>
      <c r="E1564" s="41"/>
      <c r="F1564" s="41"/>
      <c r="G1564" s="64"/>
      <c r="H1564" s="64"/>
      <c r="I1564" s="64"/>
      <c r="J1564" s="64"/>
      <c r="K1564" s="64"/>
      <c r="L1564" s="64"/>
      <c r="M1564" s="64"/>
      <c r="N1564" s="64"/>
      <c r="O1564" s="64"/>
      <c r="P1564" s="64"/>
      <c r="Q1564" s="56">
        <f>RDS2CLD_4-(Hypo2CI_4*RDS2CLD_4)</f>
        <v>0.34246866666666664</v>
      </c>
      <c r="R1564" s="56"/>
      <c r="S1564" s="129"/>
      <c r="T1564" s="105"/>
      <c r="U1564" s="133"/>
      <c r="V1564" s="133"/>
      <c r="W1564" s="133"/>
      <c r="X1564" s="133"/>
      <c r="Y1564" s="133"/>
      <c r="Z1564" s="134">
        <f t="shared" si="130"/>
        <v>0</v>
      </c>
      <c r="AA1564" s="6">
        <f t="shared" si="129"/>
        <v>0</v>
      </c>
    </row>
    <row r="1565" spans="1:27" x14ac:dyDescent="0.3">
      <c r="A1565" s="41"/>
      <c r="B1565" s="41"/>
      <c r="C1565" s="41"/>
      <c r="D1565" s="41"/>
      <c r="E1565" s="41"/>
      <c r="F1565" s="41"/>
      <c r="G1565" s="64"/>
      <c r="H1565" s="64"/>
      <c r="I1565" s="64"/>
      <c r="J1565" s="64"/>
      <c r="K1565" s="64"/>
      <c r="L1565" s="64"/>
      <c r="M1565" s="64"/>
      <c r="N1565" s="64"/>
      <c r="O1565" s="54" t="s">
        <v>161</v>
      </c>
      <c r="P1565" s="64"/>
      <c r="Q1565" s="57">
        <f>c_lung+c_hosp_fu+c_CSG</f>
        <v>54529.510902399998</v>
      </c>
      <c r="R1565" s="57"/>
      <c r="S1565" s="129"/>
      <c r="T1565" s="105"/>
      <c r="U1565" s="133"/>
      <c r="V1565" s="133"/>
      <c r="W1565" s="133"/>
      <c r="X1565" s="133"/>
      <c r="Y1565" s="133"/>
      <c r="Z1565" s="134">
        <f t="shared" si="130"/>
        <v>0</v>
      </c>
      <c r="AA1565" s="6">
        <f t="shared" si="129"/>
        <v>0</v>
      </c>
    </row>
    <row r="1566" spans="1:27" x14ac:dyDescent="0.3">
      <c r="A1566" s="41"/>
      <c r="B1566" s="41"/>
      <c r="C1566" s="41"/>
      <c r="D1566" s="41"/>
      <c r="E1566" s="41"/>
      <c r="F1566" s="41"/>
      <c r="G1566" s="64"/>
      <c r="H1566" s="64"/>
      <c r="I1566" s="64"/>
      <c r="J1566" s="64"/>
      <c r="K1566" s="64"/>
      <c r="L1566" s="64"/>
      <c r="M1566" s="64"/>
      <c r="N1566" s="64"/>
      <c r="O1566" s="56">
        <f>AGA_prem_2hypoglycaemia_4</f>
        <v>0.15</v>
      </c>
      <c r="P1566" s="64"/>
      <c r="Q1566" s="54" t="s">
        <v>226</v>
      </c>
      <c r="R1566" s="54"/>
      <c r="S1566" s="129"/>
      <c r="T1566" s="105"/>
      <c r="U1566" s="133">
        <f>$K$1553*$I$1542*$G$1507*$E$1436*$C$1505*$A$1460*$M$1568*$O$1566*Q1567</f>
        <v>2.3608360857965852E-5</v>
      </c>
      <c r="V1566" s="133">
        <v>2.3608360857965852E-5</v>
      </c>
      <c r="W1566" s="134">
        <f>$K$1554+$I$1543+$G$1508+$E$1437+$C$1506+$A$1461+$M$1569+$O$1567+Q1568</f>
        <v>22379.042108108108</v>
      </c>
      <c r="X1566" s="133">
        <f>u_CongnitiveImpairement</f>
        <v>17.270393127285455</v>
      </c>
      <c r="Y1566" s="133"/>
      <c r="Z1566" s="134">
        <f t="shared" si="130"/>
        <v>0.52833250174382906</v>
      </c>
      <c r="AA1566" s="6">
        <f t="shared" si="129"/>
        <v>4.0772567310788839E-4</v>
      </c>
    </row>
    <row r="1567" spans="1:27" x14ac:dyDescent="0.3">
      <c r="A1567" s="41"/>
      <c r="B1567" s="41"/>
      <c r="C1567" s="41"/>
      <c r="D1567" s="41"/>
      <c r="E1567" s="41"/>
      <c r="F1567" s="41"/>
      <c r="G1567" s="64"/>
      <c r="H1567" s="64"/>
      <c r="I1567" s="64"/>
      <c r="J1567" s="64"/>
      <c r="K1567" s="64"/>
      <c r="L1567" s="64"/>
      <c r="M1567" s="54" t="s">
        <v>203</v>
      </c>
      <c r="N1567" s="64"/>
      <c r="O1567" s="57">
        <f>c_hypo</f>
        <v>2936.2604000000001</v>
      </c>
      <c r="P1567" s="64"/>
      <c r="Q1567" s="56">
        <f>Hypo2CI_4-(Hypo2CI_4*RDS2CLD_4)</f>
        <v>3.2801999999999998E-2</v>
      </c>
      <c r="R1567" s="56"/>
      <c r="S1567" s="129"/>
      <c r="T1567" s="105"/>
      <c r="U1567" s="133"/>
      <c r="V1567" s="133"/>
      <c r="W1567" s="133"/>
      <c r="X1567" s="133"/>
      <c r="Y1567" s="133"/>
      <c r="Z1567" s="134">
        <f t="shared" si="130"/>
        <v>0</v>
      </c>
      <c r="AA1567" s="6">
        <f t="shared" si="129"/>
        <v>0</v>
      </c>
    </row>
    <row r="1568" spans="1:27" x14ac:dyDescent="0.3">
      <c r="A1568" s="41"/>
      <c r="B1568" s="41"/>
      <c r="C1568" s="41"/>
      <c r="D1568" s="41"/>
      <c r="E1568" s="41"/>
      <c r="F1568" s="41"/>
      <c r="G1568" s="64"/>
      <c r="H1568" s="64"/>
      <c r="I1568" s="64"/>
      <c r="J1568" s="64"/>
      <c r="K1568" s="64"/>
      <c r="L1568" s="64"/>
      <c r="M1568" s="56">
        <f>S_prem_2noRDS_4</f>
        <v>0.55000000000000004</v>
      </c>
      <c r="N1568" s="64"/>
      <c r="O1568" s="53"/>
      <c r="P1568" s="64"/>
      <c r="Q1568" s="57">
        <f>c_cog+c_hosp_fu+c_CSG</f>
        <v>15766</v>
      </c>
      <c r="R1568" s="57"/>
      <c r="S1568" s="129"/>
      <c r="T1568" s="105"/>
      <c r="U1568" s="133"/>
      <c r="V1568" s="133"/>
      <c r="W1568" s="133"/>
      <c r="X1568" s="133"/>
      <c r="Y1568" s="133"/>
      <c r="Z1568" s="134">
        <f t="shared" si="130"/>
        <v>0</v>
      </c>
      <c r="AA1568" s="6">
        <f t="shared" si="129"/>
        <v>0</v>
      </c>
    </row>
    <row r="1569" spans="1:27" x14ac:dyDescent="0.3">
      <c r="A1569" s="41"/>
      <c r="B1569" s="41"/>
      <c r="C1569" s="41"/>
      <c r="D1569" s="41"/>
      <c r="E1569" s="41"/>
      <c r="F1569" s="41"/>
      <c r="G1569" s="64"/>
      <c r="H1569" s="64"/>
      <c r="I1569" s="64"/>
      <c r="J1569" s="64"/>
      <c r="K1569" s="64"/>
      <c r="L1569" s="64"/>
      <c r="M1569" s="57"/>
      <c r="N1569" s="64"/>
      <c r="O1569" s="65"/>
      <c r="P1569" s="64"/>
      <c r="Q1569" s="54" t="s">
        <v>369</v>
      </c>
      <c r="R1569" s="54"/>
      <c r="S1569" s="129"/>
      <c r="T1569" s="105"/>
      <c r="U1569" s="133">
        <f>$K$1553*$I$1542*$G$1507*$E$1436*$C$1505*$A$1460*$M$1568*$O$1566*Q1570</f>
        <v>1.3337430782043308E-5</v>
      </c>
      <c r="V1569" s="133">
        <v>1.3337430782043308E-5</v>
      </c>
      <c r="W1569" s="134">
        <f>$K$1554+$I$1543+$G$1508+$E$1437+$C$1506+$A$1461+$M$1569+$O$1567+Q1571</f>
        <v>64961.553010508105</v>
      </c>
      <c r="X1569" s="133">
        <f>u_ChronicResp+u_CongnitiveImpairement</f>
        <v>17.805052694763283</v>
      </c>
      <c r="Y1569" s="133"/>
      <c r="Z1569" s="134">
        <f t="shared" si="130"/>
        <v>0.8664202167716889</v>
      </c>
      <c r="AA1569" s="6">
        <f t="shared" si="129"/>
        <v>2.3747365788703896E-4</v>
      </c>
    </row>
    <row r="1570" spans="1:27" x14ac:dyDescent="0.3">
      <c r="A1570" s="41"/>
      <c r="B1570" s="41"/>
      <c r="C1570" s="41"/>
      <c r="D1570" s="41"/>
      <c r="E1570" s="41"/>
      <c r="F1570" s="41"/>
      <c r="G1570" s="64"/>
      <c r="H1570" s="64"/>
      <c r="I1570" s="53"/>
      <c r="J1570" s="53"/>
      <c r="K1570" s="64"/>
      <c r="L1570" s="64"/>
      <c r="M1570" s="65"/>
      <c r="N1570" s="64"/>
      <c r="O1570" s="41"/>
      <c r="P1570" s="64"/>
      <c r="Q1570" s="56">
        <f>Hypo2CI_4*RDS2CLD_4</f>
        <v>1.8531333333333334E-2</v>
      </c>
      <c r="R1570" s="56"/>
      <c r="S1570" s="129"/>
      <c r="T1570" s="105"/>
      <c r="U1570" s="133"/>
      <c r="V1570" s="133"/>
      <c r="W1570" s="133"/>
      <c r="X1570" s="133"/>
      <c r="Y1570" s="133"/>
      <c r="Z1570" s="134">
        <f t="shared" si="130"/>
        <v>0</v>
      </c>
      <c r="AA1570" s="6">
        <f t="shared" si="129"/>
        <v>0</v>
      </c>
    </row>
    <row r="1571" spans="1:27" x14ac:dyDescent="0.3">
      <c r="A1571" s="41"/>
      <c r="B1571" s="41"/>
      <c r="C1571" s="41"/>
      <c r="D1571" s="41"/>
      <c r="E1571" s="41"/>
      <c r="F1571" s="41"/>
      <c r="G1571" s="64"/>
      <c r="H1571" s="64"/>
      <c r="I1571" s="53"/>
      <c r="J1571" s="53"/>
      <c r="K1571" s="64"/>
      <c r="L1571" s="64"/>
      <c r="M1571" s="65"/>
      <c r="N1571" s="64"/>
      <c r="O1571" s="41"/>
      <c r="P1571" s="64"/>
      <c r="Q1571" s="57">
        <f>c_lung+c_cog+c_hosp_fu+c_CSG</f>
        <v>58348.510902399998</v>
      </c>
      <c r="R1571" s="57"/>
      <c r="S1571" s="129"/>
      <c r="T1571" s="105"/>
      <c r="U1571" s="133"/>
      <c r="V1571" s="133"/>
      <c r="W1571" s="133"/>
      <c r="X1571" s="133"/>
      <c r="Y1571" s="133"/>
      <c r="Z1571" s="134">
        <f t="shared" si="130"/>
        <v>0</v>
      </c>
      <c r="AA1571" s="6">
        <f t="shared" si="129"/>
        <v>0</v>
      </c>
    </row>
    <row r="1572" spans="1:27" x14ac:dyDescent="0.3">
      <c r="A1572" s="41"/>
      <c r="B1572" s="41"/>
      <c r="C1572" s="41"/>
      <c r="D1572" s="41"/>
      <c r="E1572" s="41"/>
      <c r="F1572" s="41"/>
      <c r="G1572" s="64"/>
      <c r="H1572" s="64"/>
      <c r="I1572" s="53"/>
      <c r="J1572" s="53"/>
      <c r="K1572" s="64"/>
      <c r="L1572" s="64"/>
      <c r="M1572" s="65"/>
      <c r="N1572" s="64"/>
      <c r="O1572" s="41"/>
      <c r="P1572" s="64"/>
      <c r="Q1572" s="54" t="s">
        <v>370</v>
      </c>
      <c r="R1572" s="54"/>
      <c r="T1572" s="105"/>
      <c r="U1572" s="133">
        <f>$K$1553*$I$1542*$G$1507*$E$1436*$C$1505*$A$1460*$M$1568*$O$1566*Q1573</f>
        <v>4.3629477273877156E-4</v>
      </c>
      <c r="V1572" s="133">
        <v>4.3629477273877156E-4</v>
      </c>
      <c r="W1572" s="134">
        <f>$K$1554+$I$1543+$G$1508+$E$1437+$C$1506+$A$1461+$M$1569+$O$1567+Q1574</f>
        <v>21016.042108108108</v>
      </c>
      <c r="X1572" s="133">
        <f>u_Healthy</f>
        <v>0</v>
      </c>
      <c r="Y1572" s="133"/>
      <c r="Z1572" s="134">
        <f t="shared" si="130"/>
        <v>9.1691893154254807</v>
      </c>
      <c r="AA1572" s="6">
        <f t="shared" si="129"/>
        <v>0</v>
      </c>
    </row>
    <row r="1573" spans="1:27" x14ac:dyDescent="0.3">
      <c r="A1573" s="41"/>
      <c r="B1573" s="41"/>
      <c r="C1573" s="41"/>
      <c r="D1573" s="41"/>
      <c r="E1573" s="41"/>
      <c r="F1573" s="41"/>
      <c r="G1573" s="64"/>
      <c r="H1573" s="64"/>
      <c r="I1573" s="53"/>
      <c r="J1573" s="53"/>
      <c r="K1573" s="64"/>
      <c r="L1573" s="64"/>
      <c r="M1573" s="65"/>
      <c r="N1573" s="64"/>
      <c r="O1573" s="65"/>
      <c r="P1573" s="64"/>
      <c r="Q1573" s="56">
        <f>1-Q1564-Q1567-Q1570</f>
        <v>0.60619800000000001</v>
      </c>
      <c r="R1573" s="56"/>
      <c r="S1573" s="129"/>
      <c r="T1573" s="105"/>
      <c r="U1573" s="133"/>
      <c r="V1573" s="133"/>
      <c r="W1573" s="133"/>
      <c r="X1573" s="133"/>
      <c r="Y1573" s="133"/>
      <c r="Z1573" s="134">
        <f t="shared" si="130"/>
        <v>0</v>
      </c>
      <c r="AA1573" s="6">
        <f t="shared" si="129"/>
        <v>0</v>
      </c>
    </row>
    <row r="1574" spans="1:27" x14ac:dyDescent="0.3">
      <c r="A1574" s="41"/>
      <c r="B1574" s="41"/>
      <c r="C1574" s="41"/>
      <c r="D1574" s="41"/>
      <c r="E1574" s="41"/>
      <c r="F1574" s="41"/>
      <c r="G1574" s="64"/>
      <c r="H1574" s="64"/>
      <c r="I1574" s="53"/>
      <c r="J1574" s="53"/>
      <c r="K1574" s="64"/>
      <c r="L1574" s="64"/>
      <c r="M1574" s="65"/>
      <c r="N1574" s="64"/>
      <c r="O1574" s="64"/>
      <c r="P1574" s="64"/>
      <c r="Q1574" s="57">
        <f>c_clinic_fu+c_CSG</f>
        <v>14403</v>
      </c>
      <c r="R1574" s="57"/>
      <c r="S1574" s="130"/>
      <c r="T1574" s="105"/>
      <c r="U1574" s="133"/>
      <c r="V1574" s="133"/>
      <c r="W1574" s="133"/>
      <c r="X1574" s="133"/>
      <c r="Y1574" s="133"/>
      <c r="Z1574" s="134">
        <f t="shared" si="130"/>
        <v>0</v>
      </c>
      <c r="AA1574" s="6">
        <f t="shared" si="129"/>
        <v>0</v>
      </c>
    </row>
    <row r="1575" spans="1:27" x14ac:dyDescent="0.3">
      <c r="A1575" s="41"/>
      <c r="B1575" s="41"/>
      <c r="C1575" s="41"/>
      <c r="D1575" s="41"/>
      <c r="E1575" s="41"/>
      <c r="F1575" s="41"/>
      <c r="G1575" s="64"/>
      <c r="H1575" s="64"/>
      <c r="I1575" s="41"/>
      <c r="J1575" s="64"/>
      <c r="K1575" s="64"/>
      <c r="L1575" s="64"/>
      <c r="M1575" s="65"/>
      <c r="N1575" s="64"/>
      <c r="O1575" s="64"/>
      <c r="P1575" s="64"/>
      <c r="Q1575" s="65"/>
      <c r="R1575" s="65"/>
      <c r="S1575" s="129"/>
      <c r="T1575" s="105"/>
      <c r="U1575" s="133"/>
      <c r="V1575" s="133"/>
      <c r="W1575" s="133"/>
      <c r="X1575" s="133"/>
      <c r="Y1575" s="133"/>
      <c r="Z1575" s="134">
        <f t="shared" si="130"/>
        <v>0</v>
      </c>
      <c r="AA1575" s="6">
        <f t="shared" si="129"/>
        <v>0</v>
      </c>
    </row>
    <row r="1576" spans="1:27" x14ac:dyDescent="0.3">
      <c r="A1576" s="41"/>
      <c r="B1576" s="41"/>
      <c r="C1576" s="41"/>
      <c r="D1576" s="41"/>
      <c r="E1576" s="41"/>
      <c r="F1576" s="41"/>
      <c r="G1576" s="64"/>
      <c r="H1576" s="64"/>
      <c r="I1576" s="41"/>
      <c r="J1576" s="64"/>
      <c r="K1576" s="64"/>
      <c r="L1576" s="64"/>
      <c r="M1576" s="65"/>
      <c r="N1576" s="64"/>
      <c r="O1576" s="64"/>
      <c r="P1576" s="64"/>
      <c r="Q1576" s="54" t="s">
        <v>368</v>
      </c>
      <c r="R1576" s="54"/>
      <c r="S1576" s="129"/>
      <c r="T1576" s="105"/>
      <c r="U1576" s="133">
        <f>$K$1553*$I$1542*$G$1507*$E$1436*$C$1505*$A$1460*$M$1568*$O$1580*Q1577</f>
        <v>1.423601437121456E-3</v>
      </c>
      <c r="V1576" s="133">
        <v>1.423601437121456E-3</v>
      </c>
      <c r="W1576" s="134">
        <f>$K$1554+$I$1543+$G$1508+$E$1437+$C$1506+$A$1461+$M$1569+$O$1581+Q1578</f>
        <v>58206.292610508106</v>
      </c>
      <c r="X1576" s="133">
        <f>u_ChronicResp</f>
        <v>0.53465956747782661</v>
      </c>
      <c r="Y1576" s="133"/>
      <c r="Z1576" s="134">
        <f t="shared" si="130"/>
        <v>82.86256180983132</v>
      </c>
      <c r="AA1576" s="6">
        <f t="shared" si="129"/>
        <v>7.6114212863217004E-4</v>
      </c>
    </row>
    <row r="1577" spans="1:27" x14ac:dyDescent="0.3">
      <c r="A1577" s="41"/>
      <c r="B1577" s="41"/>
      <c r="C1577" s="41"/>
      <c r="D1577" s="41"/>
      <c r="E1577" s="41"/>
      <c r="F1577" s="41"/>
      <c r="G1577" s="64"/>
      <c r="H1577" s="64"/>
      <c r="I1577" s="41"/>
      <c r="J1577" s="64"/>
      <c r="K1577" s="64"/>
      <c r="L1577" s="64"/>
      <c r="M1577" s="65"/>
      <c r="N1577" s="64"/>
      <c r="O1577" s="64"/>
      <c r="P1577" s="64"/>
      <c r="Q1577" s="56">
        <f>RDS2CLD_4-(RDS2CLD_4*noHypo2CI_4)</f>
        <v>0.34905610687022898</v>
      </c>
      <c r="R1577" s="56"/>
      <c r="S1577" s="129"/>
      <c r="T1577" s="105"/>
      <c r="U1577" s="133"/>
      <c r="V1577" s="133"/>
      <c r="W1577" s="133"/>
      <c r="X1577" s="133"/>
      <c r="Y1577" s="133"/>
      <c r="Z1577" s="134">
        <f t="shared" si="130"/>
        <v>0</v>
      </c>
      <c r="AA1577" s="6">
        <f t="shared" si="129"/>
        <v>0</v>
      </c>
    </row>
    <row r="1578" spans="1:27" x14ac:dyDescent="0.3">
      <c r="A1578" s="41"/>
      <c r="B1578" s="41"/>
      <c r="C1578" s="41"/>
      <c r="D1578" s="41"/>
      <c r="E1578" s="41"/>
      <c r="F1578" s="41"/>
      <c r="G1578" s="64"/>
      <c r="H1578" s="64"/>
      <c r="I1578" s="64"/>
      <c r="J1578" s="64"/>
      <c r="K1578" s="64"/>
      <c r="L1578" s="64"/>
      <c r="M1578" s="65"/>
      <c r="N1578" s="64"/>
      <c r="O1578" s="64"/>
      <c r="P1578" s="64"/>
      <c r="Q1578" s="57">
        <f>c_lung+c_hosp_fu+c_CSG</f>
        <v>54529.510902399998</v>
      </c>
      <c r="R1578" s="57"/>
      <c r="S1578" s="129"/>
      <c r="T1578" s="105"/>
      <c r="U1578" s="133"/>
      <c r="V1578" s="133"/>
      <c r="W1578" s="133"/>
      <c r="X1578" s="133"/>
      <c r="Y1578" s="133"/>
      <c r="Z1578" s="134">
        <f t="shared" si="130"/>
        <v>0</v>
      </c>
      <c r="AA1578" s="6">
        <f t="shared" si="129"/>
        <v>0</v>
      </c>
    </row>
    <row r="1579" spans="1:27" x14ac:dyDescent="0.3">
      <c r="A1579" s="41"/>
      <c r="B1579" s="41"/>
      <c r="C1579" s="41"/>
      <c r="D1579" s="41"/>
      <c r="E1579" s="41"/>
      <c r="F1579" s="41"/>
      <c r="G1579" s="64"/>
      <c r="H1579" s="64"/>
      <c r="I1579" s="64"/>
      <c r="J1579" s="64"/>
      <c r="K1579" s="64"/>
      <c r="L1579" s="64"/>
      <c r="M1579" s="65"/>
      <c r="N1579" s="64"/>
      <c r="O1579" s="54" t="s">
        <v>371</v>
      </c>
      <c r="P1579" s="64"/>
      <c r="Q1579" s="54" t="s">
        <v>226</v>
      </c>
      <c r="R1579" s="54"/>
      <c r="S1579" s="129"/>
      <c r="T1579" s="105"/>
      <c r="U1579" s="133">
        <f>$K$1553*$I$1542*$G$1507*$E$1436*$C$1505*$A$1460*$M$1568*$O$1580*Q1580</f>
        <v>8.6224908514631385E-5</v>
      </c>
      <c r="V1579" s="133">
        <v>8.6224908514631385E-5</v>
      </c>
      <c r="W1579" s="134">
        <f>$K$1554+$I$1543+$G$1508+$E$1437+$C$1506+$A$1461+$M$1569+$O$1581+Q1581</f>
        <v>19442.781708108108</v>
      </c>
      <c r="X1579" s="133">
        <f>u_CongnitiveImpairement</f>
        <v>17.270393127285455</v>
      </c>
      <c r="Y1579" s="133"/>
      <c r="Z1579" s="134">
        <f t="shared" si="130"/>
        <v>1.6764520740515703</v>
      </c>
      <c r="AA1579" s="6">
        <f t="shared" si="129"/>
        <v>1.4891380674119071E-3</v>
      </c>
    </row>
    <row r="1580" spans="1:27" x14ac:dyDescent="0.3">
      <c r="A1580" s="41"/>
      <c r="B1580" s="41"/>
      <c r="C1580" s="41"/>
      <c r="D1580" s="41"/>
      <c r="E1580" s="41"/>
      <c r="F1580" s="41"/>
      <c r="G1580" s="64"/>
      <c r="H1580" s="64"/>
      <c r="I1580" s="64"/>
      <c r="J1580" s="64"/>
      <c r="K1580" s="64"/>
      <c r="L1580" s="64"/>
      <c r="M1580" s="65"/>
      <c r="N1580" s="64"/>
      <c r="O1580" s="56">
        <f>AGA_prem_2normoglycaemia_4</f>
        <v>0.85</v>
      </c>
      <c r="P1580" s="64"/>
      <c r="Q1580" s="56">
        <f>noHypo2CI_4-(RDS2CLD_4*noHypo2CI_4)</f>
        <v>2.1141683406990762E-2</v>
      </c>
      <c r="R1580" s="56"/>
      <c r="S1580" s="129"/>
      <c r="T1580" s="105"/>
      <c r="U1580" s="133"/>
      <c r="V1580" s="133"/>
      <c r="W1580" s="133"/>
      <c r="X1580" s="133"/>
      <c r="Y1580" s="133"/>
      <c r="Z1580" s="134">
        <f t="shared" si="130"/>
        <v>0</v>
      </c>
      <c r="AA1580" s="6">
        <f t="shared" si="129"/>
        <v>0</v>
      </c>
    </row>
    <row r="1581" spans="1:27" x14ac:dyDescent="0.3">
      <c r="A1581" s="41"/>
      <c r="B1581" s="41"/>
      <c r="C1581" s="41"/>
      <c r="D1581" s="41"/>
      <c r="E1581" s="41"/>
      <c r="F1581" s="41"/>
      <c r="G1581" s="64"/>
      <c r="H1581" s="64"/>
      <c r="I1581" s="64"/>
      <c r="J1581" s="64"/>
      <c r="K1581" s="64"/>
      <c r="L1581" s="64"/>
      <c r="M1581" s="65"/>
      <c r="N1581" s="64"/>
      <c r="O1581" s="57"/>
      <c r="P1581" s="64"/>
      <c r="Q1581" s="57">
        <f>c_cog+c_hosp_fu+c_CSG</f>
        <v>15766</v>
      </c>
      <c r="R1581" s="57"/>
      <c r="S1581" s="129"/>
      <c r="T1581" s="105"/>
      <c r="U1581" s="133"/>
      <c r="V1581" s="133"/>
      <c r="W1581" s="133"/>
      <c r="X1581" s="133"/>
      <c r="Y1581" s="133"/>
      <c r="Z1581" s="134">
        <f t="shared" si="130"/>
        <v>0</v>
      </c>
      <c r="AA1581" s="6">
        <f t="shared" si="129"/>
        <v>0</v>
      </c>
    </row>
    <row r="1582" spans="1:27" x14ac:dyDescent="0.3">
      <c r="A1582" s="41"/>
      <c r="B1582" s="41"/>
      <c r="C1582" s="41"/>
      <c r="D1582" s="41"/>
      <c r="E1582" s="41"/>
      <c r="F1582" s="41"/>
      <c r="G1582" s="65"/>
      <c r="H1582" s="64"/>
      <c r="I1582" s="64"/>
      <c r="J1582" s="64"/>
      <c r="K1582" s="64"/>
      <c r="L1582" s="64"/>
      <c r="M1582" s="65"/>
      <c r="N1582" s="64"/>
      <c r="O1582" s="64"/>
      <c r="P1582" s="64"/>
      <c r="Q1582" s="54" t="s">
        <v>369</v>
      </c>
      <c r="R1582" s="54"/>
      <c r="S1582" s="129"/>
      <c r="T1582" s="105"/>
      <c r="U1582" s="133">
        <f>$K$1553*$I$1542*$G$1507*$E$1436*$C$1505*$A$1460*$M$1568*$O$1580*Q1583</f>
        <v>4.8712350506700979E-5</v>
      </c>
      <c r="V1582" s="133">
        <v>4.8712350506700979E-5</v>
      </c>
      <c r="W1582" s="134">
        <f>$K$1554+$I$1543+$G$1508+$E$1437+$C$1506+$A$1461+$M$1569+$O$1581+Q1584</f>
        <v>62025.292610508106</v>
      </c>
      <c r="X1582" s="133">
        <f>u_ChronicResp+u_CongnitiveImpairement</f>
        <v>17.805052694763283</v>
      </c>
      <c r="Y1582" s="133"/>
      <c r="Z1582" s="134">
        <f t="shared" si="130"/>
        <v>3.0213977939237608</v>
      </c>
      <c r="AA1582" s="6">
        <f t="shared" si="129"/>
        <v>8.6732596765758986E-4</v>
      </c>
    </row>
    <row r="1583" spans="1:27" x14ac:dyDescent="0.3">
      <c r="A1583" s="41"/>
      <c r="B1583" s="41"/>
      <c r="C1583" s="41"/>
      <c r="D1583" s="41"/>
      <c r="E1583" s="41"/>
      <c r="F1583" s="41"/>
      <c r="G1583" s="64"/>
      <c r="H1583" s="64"/>
      <c r="I1583" s="64"/>
      <c r="J1583" s="64"/>
      <c r="K1583" s="64"/>
      <c r="L1583" s="64"/>
      <c r="M1583" s="53"/>
      <c r="N1583" s="64"/>
      <c r="O1583" s="64"/>
      <c r="P1583" s="64"/>
      <c r="Q1583" s="56">
        <f>RDS2CLD_4*noHypo2CI_4</f>
        <v>1.1943893129770991E-2</v>
      </c>
      <c r="R1583" s="56"/>
      <c r="S1583" s="129"/>
      <c r="T1583" s="105"/>
      <c r="U1583" s="133"/>
      <c r="V1583" s="133"/>
      <c r="W1583" s="133"/>
      <c r="X1583" s="133"/>
      <c r="Y1583" s="133"/>
      <c r="Z1583" s="134">
        <f t="shared" si="130"/>
        <v>0</v>
      </c>
      <c r="AA1583" s="6">
        <f t="shared" si="129"/>
        <v>0</v>
      </c>
    </row>
    <row r="1584" spans="1:27" x14ac:dyDescent="0.3">
      <c r="A1584" s="41"/>
      <c r="B1584" s="41"/>
      <c r="C1584" s="41"/>
      <c r="D1584" s="41"/>
      <c r="E1584" s="41"/>
      <c r="F1584" s="41"/>
      <c r="G1584" s="64"/>
      <c r="H1584" s="64"/>
      <c r="I1584" s="64"/>
      <c r="J1584" s="64"/>
      <c r="K1584" s="64"/>
      <c r="L1584" s="64"/>
      <c r="M1584" s="44"/>
      <c r="N1584" s="64"/>
      <c r="O1584" s="64"/>
      <c r="P1584" s="64"/>
      <c r="Q1584" s="57">
        <f>c_cog+c_lung+c_hosp_fu+c_CSG</f>
        <v>58348.510902399998</v>
      </c>
      <c r="R1584" s="57"/>
      <c r="S1584" s="129"/>
      <c r="T1584" s="105"/>
      <c r="U1584" s="133"/>
      <c r="V1584" s="133"/>
      <c r="W1584" s="133"/>
      <c r="X1584" s="133"/>
      <c r="Y1584" s="133"/>
      <c r="Z1584" s="134">
        <f t="shared" si="130"/>
        <v>0</v>
      </c>
      <c r="AA1584" s="6">
        <f t="shared" si="129"/>
        <v>0</v>
      </c>
    </row>
    <row r="1585" spans="1:27" x14ac:dyDescent="0.3">
      <c r="A1585" s="41"/>
      <c r="B1585" s="41"/>
      <c r="C1585" s="41"/>
      <c r="D1585" s="41"/>
      <c r="E1585" s="41"/>
      <c r="F1585" s="41"/>
      <c r="G1585" s="64"/>
      <c r="H1585" s="64"/>
      <c r="I1585" s="64"/>
      <c r="J1585" s="64"/>
      <c r="K1585" s="64"/>
      <c r="L1585" s="64"/>
      <c r="M1585" s="65"/>
      <c r="N1585" s="64"/>
      <c r="O1585" s="64"/>
      <c r="P1585" s="64"/>
      <c r="Q1585" s="54" t="s">
        <v>370</v>
      </c>
      <c r="R1585" s="54"/>
      <c r="T1585" s="105"/>
      <c r="U1585" s="133">
        <f>$K$1553*$I$1542*$G$1507*$E$1436*$C$1505*$A$1460*$M$1568*$O$1580*Q1586</f>
        <v>2.5198928485335478E-3</v>
      </c>
      <c r="V1585" s="133">
        <v>2.5198928485335478E-3</v>
      </c>
      <c r="W1585" s="134">
        <f>$K$1554+$I$1543+$G$1508+$E$1437+$C$1506+$A$1461+$M$1569+$O$1581+Q1587</f>
        <v>18079.781708108108</v>
      </c>
      <c r="X1585" s="133">
        <f>u_Healthy</f>
        <v>0</v>
      </c>
      <c r="Y1585" s="133"/>
      <c r="Z1585" s="134">
        <f t="shared" si="130"/>
        <v>45.559112629309276</v>
      </c>
      <c r="AA1585" s="6">
        <f t="shared" si="129"/>
        <v>0</v>
      </c>
    </row>
    <row r="1586" spans="1:27" x14ac:dyDescent="0.3">
      <c r="A1586" s="41"/>
      <c r="B1586" s="41"/>
      <c r="C1586" s="41"/>
      <c r="D1586" s="41"/>
      <c r="E1586" s="41"/>
      <c r="F1586" s="41"/>
      <c r="G1586" s="64"/>
      <c r="H1586" s="64"/>
      <c r="I1586" s="64"/>
      <c r="J1586" s="64"/>
      <c r="K1586" s="64"/>
      <c r="L1586" s="64"/>
      <c r="M1586" s="65"/>
      <c r="N1586" s="44"/>
      <c r="O1586" s="64"/>
      <c r="P1586" s="64"/>
      <c r="Q1586" s="56">
        <f>1-Q1583-Q1580-Q1577</f>
        <v>0.61785831659300938</v>
      </c>
      <c r="R1586" s="56"/>
      <c r="S1586" s="129"/>
      <c r="T1586" s="105"/>
      <c r="U1586" s="133"/>
      <c r="V1586" s="133"/>
      <c r="W1586" s="133"/>
      <c r="X1586" s="133"/>
      <c r="Y1586" s="133"/>
      <c r="Z1586" s="134">
        <f t="shared" si="130"/>
        <v>0</v>
      </c>
      <c r="AA1586" s="6">
        <f t="shared" si="129"/>
        <v>0</v>
      </c>
    </row>
    <row r="1587" spans="1:27" x14ac:dyDescent="0.3">
      <c r="A1587" s="41"/>
      <c r="B1587" s="41"/>
      <c r="C1587" s="41"/>
      <c r="D1587" s="41"/>
      <c r="E1587" s="41"/>
      <c r="F1587" s="41"/>
      <c r="G1587" s="64"/>
      <c r="H1587" s="64"/>
      <c r="I1587" s="64"/>
      <c r="J1587" s="64"/>
      <c r="K1587" s="64"/>
      <c r="L1587" s="64"/>
      <c r="M1587" s="65"/>
      <c r="N1587" s="64"/>
      <c r="O1587" s="64"/>
      <c r="P1587" s="64"/>
      <c r="Q1587" s="57">
        <f>c_clinic_fu+c_CSG</f>
        <v>14403</v>
      </c>
      <c r="R1587" s="57"/>
      <c r="T1587" s="105"/>
      <c r="U1587" s="133"/>
      <c r="V1587" s="133"/>
      <c r="W1587" s="133"/>
      <c r="X1587" s="133"/>
      <c r="Y1587" s="133"/>
      <c r="Z1587" s="134">
        <f t="shared" si="130"/>
        <v>0</v>
      </c>
      <c r="AA1587" s="6">
        <f t="shared" si="129"/>
        <v>0</v>
      </c>
    </row>
    <row r="1588" spans="1:27" x14ac:dyDescent="0.3">
      <c r="A1588" s="41"/>
      <c r="B1588" s="41"/>
      <c r="C1588" s="41"/>
      <c r="D1588" s="41"/>
      <c r="E1588" s="41"/>
      <c r="F1588" s="41"/>
      <c r="G1588" s="64"/>
      <c r="H1588" s="64"/>
      <c r="I1588" s="64"/>
      <c r="J1588" s="64"/>
      <c r="K1588" s="64"/>
      <c r="L1588" s="64"/>
      <c r="M1588" s="65"/>
      <c r="N1588" s="64"/>
      <c r="O1588" s="64"/>
      <c r="P1588" s="64"/>
      <c r="Q1588" s="65"/>
      <c r="R1588" s="65"/>
      <c r="S1588" s="129"/>
      <c r="T1588" s="105"/>
      <c r="U1588" s="133"/>
      <c r="V1588" s="133"/>
      <c r="W1588" s="133"/>
      <c r="X1588" s="133"/>
      <c r="Y1588" s="133"/>
      <c r="Z1588" s="134">
        <f t="shared" si="130"/>
        <v>0</v>
      </c>
      <c r="AA1588" s="6">
        <f t="shared" si="129"/>
        <v>0</v>
      </c>
    </row>
    <row r="1589" spans="1:27" x14ac:dyDescent="0.3">
      <c r="A1589" s="41"/>
      <c r="B1589" s="41"/>
      <c r="C1589" s="41"/>
      <c r="D1589" s="41"/>
      <c r="E1589" s="41"/>
      <c r="F1589" s="41"/>
      <c r="G1589" s="64"/>
      <c r="H1589" s="64"/>
      <c r="I1589" s="64"/>
      <c r="J1589" s="64"/>
      <c r="K1589" s="54" t="s">
        <v>165</v>
      </c>
      <c r="L1589" s="54"/>
      <c r="M1589" s="54"/>
      <c r="N1589" s="54"/>
      <c r="O1589" s="54"/>
      <c r="P1589" s="54"/>
      <c r="Q1589" s="54"/>
      <c r="R1589" s="54"/>
      <c r="S1589" s="129"/>
      <c r="T1589" s="105"/>
      <c r="U1589" s="133">
        <f>$K$1590*$I$1598*$G$1622*$E$1659*$C$1505*$A$1460</f>
        <v>6.2091620433443457E-4</v>
      </c>
      <c r="V1589" s="133">
        <v>6.2091620433443457E-4</v>
      </c>
      <c r="W1589" s="134">
        <f>$K$1591+$I$1599+$G$1623+$E$1660+$C$1506+$A$1461</f>
        <v>200443.76559999998</v>
      </c>
      <c r="X1589" s="133">
        <f>u_Death</f>
        <v>19.181538114427529</v>
      </c>
      <c r="Y1589" s="133"/>
      <c r="Z1589" s="134">
        <f t="shared" si="130"/>
        <v>124.45878211885309</v>
      </c>
      <c r="AA1589" s="6">
        <f t="shared" si="129"/>
        <v>1.1910127839306629E-2</v>
      </c>
    </row>
    <row r="1590" spans="1:27" x14ac:dyDescent="0.3">
      <c r="A1590" s="41"/>
      <c r="B1590" s="41"/>
      <c r="C1590" s="41"/>
      <c r="D1590" s="41"/>
      <c r="E1590" s="41"/>
      <c r="F1590" s="41"/>
      <c r="G1590" s="64"/>
      <c r="H1590" s="64"/>
      <c r="I1590" s="64"/>
      <c r="J1590" s="64"/>
      <c r="K1590" s="56">
        <f>SGA_term_2d_4</f>
        <v>1.3200000000000002E-2</v>
      </c>
      <c r="L1590" s="64"/>
      <c r="M1590" s="64"/>
      <c r="N1590" s="64"/>
      <c r="O1590" s="64"/>
      <c r="P1590" s="64"/>
      <c r="Q1590" s="64"/>
      <c r="R1590" s="64"/>
      <c r="S1590" s="129"/>
      <c r="T1590" s="105"/>
      <c r="U1590" s="133"/>
      <c r="V1590" s="133"/>
      <c r="W1590" s="133"/>
      <c r="X1590" s="133"/>
      <c r="Y1590" s="133"/>
      <c r="Z1590" s="134">
        <f t="shared" si="130"/>
        <v>0</v>
      </c>
      <c r="AA1590" s="6">
        <f t="shared" si="129"/>
        <v>0</v>
      </c>
    </row>
    <row r="1591" spans="1:27" x14ac:dyDescent="0.3">
      <c r="A1591" s="41"/>
      <c r="B1591" s="41"/>
      <c r="C1591" s="41"/>
      <c r="D1591" s="41"/>
      <c r="E1591" s="41"/>
      <c r="F1591" s="41"/>
      <c r="G1591" s="64"/>
      <c r="H1591" s="64"/>
      <c r="I1591" s="64"/>
      <c r="J1591" s="64"/>
      <c r="K1591" s="57">
        <f>c_SB</f>
        <v>1792</v>
      </c>
      <c r="L1591" s="64"/>
      <c r="M1591" s="64"/>
      <c r="N1591" s="64"/>
      <c r="O1591" s="64"/>
      <c r="P1591" s="64"/>
      <c r="Q1591" s="64"/>
      <c r="R1591" s="64"/>
      <c r="S1591" s="129"/>
      <c r="T1591" s="105"/>
      <c r="U1591" s="133"/>
      <c r="V1591" s="133"/>
      <c r="W1591" s="133"/>
      <c r="X1591" s="133"/>
      <c r="Y1591" s="133"/>
      <c r="Z1591" s="134">
        <f t="shared" si="130"/>
        <v>0</v>
      </c>
      <c r="AA1591" s="6">
        <f t="shared" si="129"/>
        <v>0</v>
      </c>
    </row>
    <row r="1592" spans="1:27" x14ac:dyDescent="0.3">
      <c r="A1592" s="41"/>
      <c r="B1592" s="41"/>
      <c r="C1592" s="41"/>
      <c r="D1592" s="41"/>
      <c r="E1592" s="41"/>
      <c r="F1592" s="41"/>
      <c r="G1592" s="53"/>
      <c r="H1592" s="53"/>
      <c r="I1592" s="53"/>
      <c r="J1592" s="53"/>
      <c r="K1592" s="53"/>
      <c r="L1592" s="53"/>
      <c r="M1592" s="53"/>
      <c r="N1592" s="53"/>
      <c r="O1592" s="53"/>
      <c r="P1592" s="53"/>
      <c r="Q1592" s="53"/>
      <c r="R1592" s="53"/>
      <c r="S1592" s="129"/>
      <c r="T1592" s="105"/>
      <c r="U1592" s="133"/>
      <c r="V1592" s="133"/>
      <c r="W1592" s="133"/>
      <c r="X1592" s="133"/>
      <c r="Y1592" s="133"/>
      <c r="Z1592" s="134">
        <f t="shared" si="130"/>
        <v>0</v>
      </c>
      <c r="AA1592" s="6">
        <f t="shared" si="129"/>
        <v>0</v>
      </c>
    </row>
    <row r="1593" spans="1:27" x14ac:dyDescent="0.3">
      <c r="A1593" s="41"/>
      <c r="B1593" s="41"/>
      <c r="C1593" s="41"/>
      <c r="D1593" s="41"/>
      <c r="E1593" s="41"/>
      <c r="F1593" s="41"/>
      <c r="G1593" s="53"/>
      <c r="H1593" s="53"/>
      <c r="I1593" s="53"/>
      <c r="J1593" s="53"/>
      <c r="K1593" s="53"/>
      <c r="L1593" s="53"/>
      <c r="M1593" s="53"/>
      <c r="N1593" s="53"/>
      <c r="O1593" s="53"/>
      <c r="P1593" s="53"/>
      <c r="Q1593" s="54" t="s">
        <v>368</v>
      </c>
      <c r="R1593" s="54"/>
      <c r="S1593" s="129"/>
      <c r="T1593" s="105"/>
      <c r="U1593" s="133">
        <f>$K$1609*$I$1598*$G$1622*$E$1659*$C$1505*$A$1460*$M$1604*$O$1599*Q1594</f>
        <v>0</v>
      </c>
      <c r="V1593" s="133"/>
      <c r="W1593" s="134">
        <f>$K$1610+$I$1599+$G$1623+$E$1660+$C$1506+$A$1461+$M$1605+$O$1600+Q1595</f>
        <v>286713.14705060562</v>
      </c>
      <c r="X1593" s="133">
        <f>u_ChronicResp</f>
        <v>0.53465956747782661</v>
      </c>
      <c r="Y1593" s="133"/>
      <c r="Z1593" s="134">
        <f t="shared" si="130"/>
        <v>0</v>
      </c>
      <c r="AA1593" s="6">
        <f t="shared" si="129"/>
        <v>0</v>
      </c>
    </row>
    <row r="1594" spans="1:27" x14ac:dyDescent="0.3">
      <c r="A1594" s="41"/>
      <c r="B1594" s="41"/>
      <c r="C1594" s="41"/>
      <c r="D1594" s="41"/>
      <c r="E1594" s="41"/>
      <c r="F1594" s="41"/>
      <c r="G1594" s="53"/>
      <c r="H1594" s="53"/>
      <c r="I1594" s="53"/>
      <c r="J1594" s="53"/>
      <c r="K1594" s="53"/>
      <c r="L1594" s="53"/>
      <c r="M1594" s="53"/>
      <c r="N1594" s="53"/>
      <c r="O1594" s="64"/>
      <c r="P1594" s="64"/>
      <c r="Q1594" s="56">
        <f>RDS2CLD_4-(Hypo2CI_4*RDS2CLD_4)</f>
        <v>0.34246866666666664</v>
      </c>
      <c r="R1594" s="56"/>
      <c r="S1594" s="129"/>
      <c r="T1594" s="105"/>
      <c r="U1594" s="133"/>
      <c r="V1594" s="133">
        <v>0</v>
      </c>
      <c r="W1594" s="133"/>
      <c r="X1594" s="133"/>
      <c r="Y1594" s="133"/>
      <c r="Z1594" s="134">
        <f t="shared" si="130"/>
        <v>0</v>
      </c>
      <c r="AA1594" s="6">
        <f t="shared" si="129"/>
        <v>0</v>
      </c>
    </row>
    <row r="1595" spans="1:27" x14ac:dyDescent="0.3">
      <c r="A1595" s="41"/>
      <c r="B1595" s="41"/>
      <c r="C1595" s="41"/>
      <c r="D1595" s="41"/>
      <c r="E1595" s="41"/>
      <c r="F1595" s="41"/>
      <c r="G1595" s="53"/>
      <c r="H1595" s="53"/>
      <c r="I1595" s="53"/>
      <c r="J1595" s="53"/>
      <c r="K1595" s="53"/>
      <c r="L1595" s="53"/>
      <c r="M1595" s="53"/>
      <c r="N1595" s="53"/>
      <c r="O1595" s="64"/>
      <c r="P1595" s="64"/>
      <c r="Q1595" s="57">
        <f>c_lung+c_hosp_fu+c_CSG</f>
        <v>54529.510902399998</v>
      </c>
      <c r="R1595" s="57"/>
      <c r="S1595" s="129"/>
      <c r="T1595" s="105"/>
      <c r="U1595" s="133"/>
      <c r="V1595" s="133"/>
      <c r="W1595" s="133"/>
      <c r="X1595" s="133"/>
      <c r="Y1595" s="133"/>
      <c r="Z1595" s="134">
        <f t="shared" si="130"/>
        <v>0</v>
      </c>
      <c r="AA1595" s="6">
        <f t="shared" si="129"/>
        <v>0</v>
      </c>
    </row>
    <row r="1596" spans="1:27" x14ac:dyDescent="0.3">
      <c r="A1596" s="10"/>
      <c r="B1596" s="10"/>
      <c r="C1596" s="10"/>
      <c r="D1596" s="10"/>
      <c r="E1596" s="10"/>
      <c r="F1596" s="41"/>
      <c r="G1596" s="53"/>
      <c r="H1596" s="53"/>
      <c r="I1596" s="53"/>
      <c r="J1596" s="53"/>
      <c r="K1596" s="53"/>
      <c r="L1596" s="53"/>
      <c r="M1596" s="53"/>
      <c r="N1596" s="53"/>
      <c r="O1596" s="64"/>
      <c r="P1596" s="64"/>
      <c r="Q1596" s="54" t="s">
        <v>226</v>
      </c>
      <c r="R1596" s="54"/>
      <c r="S1596" s="129"/>
      <c r="T1596" s="105"/>
      <c r="U1596" s="133">
        <f>$K$1609*$I$1598*$G$1622*$E$1659*$C$1505*$A$1460*$M$1604*$O$1599*Q1597</f>
        <v>0</v>
      </c>
      <c r="V1596" s="133"/>
      <c r="W1596" s="134">
        <f>$K$1610+$I$1599+$G$1623+$E$1660+$C$1506+$A$1461+$M$1605+$O$1600+Q1598</f>
        <v>247949.63614820561</v>
      </c>
      <c r="X1596" s="133">
        <f>u_CongnitiveImpairement</f>
        <v>17.270393127285455</v>
      </c>
      <c r="Y1596" s="133"/>
      <c r="Z1596" s="134">
        <f t="shared" si="130"/>
        <v>0</v>
      </c>
      <c r="AA1596" s="6">
        <f t="shared" si="129"/>
        <v>0</v>
      </c>
    </row>
    <row r="1597" spans="1:27" x14ac:dyDescent="0.3">
      <c r="A1597" s="10"/>
      <c r="B1597" s="10"/>
      <c r="C1597" s="10"/>
      <c r="D1597" s="10"/>
      <c r="E1597" s="10"/>
      <c r="F1597" s="41"/>
      <c r="G1597" s="64"/>
      <c r="H1597" s="64"/>
      <c r="I1597" s="54" t="s">
        <v>164</v>
      </c>
      <c r="J1597" s="64"/>
      <c r="K1597" s="64"/>
      <c r="L1597" s="64"/>
      <c r="M1597" s="64"/>
      <c r="N1597" s="64"/>
      <c r="O1597" s="64"/>
      <c r="P1597" s="64"/>
      <c r="Q1597" s="56">
        <f>Hypo2CI_4-(Hypo2CI_4*RDS2CLD_4)</f>
        <v>3.2801999999999998E-2</v>
      </c>
      <c r="R1597" s="56"/>
      <c r="S1597" s="129"/>
      <c r="T1597" s="105"/>
      <c r="U1597" s="133"/>
      <c r="V1597" s="133">
        <v>0</v>
      </c>
      <c r="W1597" s="133"/>
      <c r="X1597" s="133"/>
      <c r="Y1597" s="133"/>
      <c r="Z1597" s="134">
        <f t="shared" si="130"/>
        <v>0</v>
      </c>
      <c r="AA1597" s="6">
        <f t="shared" si="129"/>
        <v>0</v>
      </c>
    </row>
    <row r="1598" spans="1:27" x14ac:dyDescent="0.3">
      <c r="A1598" s="10"/>
      <c r="B1598" s="10"/>
      <c r="C1598" s="10"/>
      <c r="D1598" s="10"/>
      <c r="E1598" s="10"/>
      <c r="F1598" s="41"/>
      <c r="G1598" s="64"/>
      <c r="H1598" s="64"/>
      <c r="I1598" s="56">
        <f>LBW_term_2SGA_4</f>
        <v>1</v>
      </c>
      <c r="J1598" s="64"/>
      <c r="K1598" s="64"/>
      <c r="L1598" s="64"/>
      <c r="M1598" s="64"/>
      <c r="N1598" s="64"/>
      <c r="O1598" s="54" t="s">
        <v>161</v>
      </c>
      <c r="P1598" s="64"/>
      <c r="Q1598" s="57">
        <f>c_cog+c_hosp_fu+c_CSG</f>
        <v>15766</v>
      </c>
      <c r="R1598" s="57"/>
      <c r="S1598" s="129"/>
      <c r="T1598" s="105"/>
      <c r="U1598" s="133"/>
      <c r="V1598" s="133"/>
      <c r="W1598" s="133"/>
      <c r="X1598" s="133"/>
      <c r="Y1598" s="133"/>
      <c r="Z1598" s="134">
        <f t="shared" si="130"/>
        <v>0</v>
      </c>
      <c r="AA1598" s="6">
        <f t="shared" si="129"/>
        <v>0</v>
      </c>
    </row>
    <row r="1599" spans="1:27" x14ac:dyDescent="0.3">
      <c r="A1599" s="10"/>
      <c r="B1599" s="10"/>
      <c r="C1599" s="10"/>
      <c r="D1599" s="10"/>
      <c r="E1599" s="10"/>
      <c r="F1599" s="41"/>
      <c r="G1599" s="64"/>
      <c r="H1599" s="64"/>
      <c r="I1599" s="57"/>
      <c r="J1599" s="64"/>
      <c r="K1599" s="64"/>
      <c r="L1599" s="64"/>
      <c r="M1599" s="64"/>
      <c r="N1599" s="64"/>
      <c r="O1599" s="56">
        <f>SGA_term_2hypoglycaemia_4</f>
        <v>0.26</v>
      </c>
      <c r="P1599" s="64"/>
      <c r="Q1599" s="54" t="s">
        <v>369</v>
      </c>
      <c r="R1599" s="54"/>
      <c r="S1599" s="129"/>
      <c r="T1599" s="105"/>
      <c r="U1599" s="133">
        <f>$K$1609*$I$1598*$G$1622*$E$1659*$C$1505*$A$1460*$M$1604*$O$1599*Q1600</f>
        <v>0</v>
      </c>
      <c r="V1599" s="133"/>
      <c r="W1599" s="134">
        <f>$K$1610+$I$1599+$G$1623+$E$1660+$C$1506+$A$1461+$M$1605+$O$1600+Q1601</f>
        <v>290532.14705060562</v>
      </c>
      <c r="X1599" s="133">
        <f>u_ChronicResp+u_CongnitiveImpairement</f>
        <v>17.805052694763283</v>
      </c>
      <c r="Y1599" s="133"/>
      <c r="Z1599" s="134">
        <f t="shared" si="130"/>
        <v>0</v>
      </c>
      <c r="AA1599" s="6">
        <f t="shared" si="129"/>
        <v>0</v>
      </c>
    </row>
    <row r="1600" spans="1:27" x14ac:dyDescent="0.3">
      <c r="A1600" s="10"/>
      <c r="B1600" s="10"/>
      <c r="C1600" s="10"/>
      <c r="D1600" s="10"/>
      <c r="E1600" s="10"/>
      <c r="F1600" s="41"/>
      <c r="G1600" s="64"/>
      <c r="H1600" s="64"/>
      <c r="I1600" s="64"/>
      <c r="J1600" s="64"/>
      <c r="K1600" s="64"/>
      <c r="L1600" s="64"/>
      <c r="M1600" s="64"/>
      <c r="N1600" s="64"/>
      <c r="O1600" s="57">
        <f>c_hypo</f>
        <v>2936.2604000000001</v>
      </c>
      <c r="P1600" s="64"/>
      <c r="Q1600" s="56">
        <f>Hypo2CI_4*RDS2CLD_4</f>
        <v>1.8531333333333334E-2</v>
      </c>
      <c r="R1600" s="56"/>
      <c r="S1600" s="129"/>
      <c r="T1600" s="105"/>
      <c r="U1600" s="133"/>
      <c r="V1600" s="133">
        <v>0</v>
      </c>
      <c r="W1600" s="133"/>
      <c r="X1600" s="133"/>
      <c r="Y1600" s="133"/>
      <c r="Z1600" s="134">
        <f t="shared" si="130"/>
        <v>0</v>
      </c>
      <c r="AA1600" s="6">
        <f t="shared" si="129"/>
        <v>0</v>
      </c>
    </row>
    <row r="1601" spans="1:27" x14ac:dyDescent="0.3">
      <c r="A1601" s="10"/>
      <c r="B1601" s="10"/>
      <c r="C1601" s="10"/>
      <c r="D1601" s="10"/>
      <c r="E1601" s="10"/>
      <c r="F1601" s="41"/>
      <c r="G1601" s="64"/>
      <c r="H1601" s="64"/>
      <c r="I1601" s="64"/>
      <c r="J1601" s="64"/>
      <c r="K1601" s="64"/>
      <c r="L1601" s="64"/>
      <c r="M1601" s="65"/>
      <c r="N1601" s="64"/>
      <c r="O1601" s="53"/>
      <c r="P1601" s="64"/>
      <c r="Q1601" s="57">
        <f>c_lung+c_cog+c_hosp_fu+c_CSG</f>
        <v>58348.510902399998</v>
      </c>
      <c r="R1601" s="57"/>
      <c r="S1601" s="129"/>
      <c r="T1601" s="105"/>
      <c r="U1601" s="133"/>
      <c r="V1601" s="133"/>
      <c r="W1601" s="133"/>
      <c r="X1601" s="133"/>
      <c r="Y1601" s="133"/>
      <c r="Z1601" s="134">
        <f t="shared" si="130"/>
        <v>0</v>
      </c>
      <c r="AA1601" s="6">
        <f t="shared" si="129"/>
        <v>0</v>
      </c>
    </row>
    <row r="1602" spans="1:27" x14ac:dyDescent="0.3">
      <c r="A1602" s="10"/>
      <c r="B1602" s="10"/>
      <c r="C1602" s="10"/>
      <c r="D1602" s="10"/>
      <c r="E1602" s="10"/>
      <c r="F1602" s="41"/>
      <c r="G1602" s="64"/>
      <c r="H1602" s="64"/>
      <c r="I1602" s="64"/>
      <c r="J1602" s="64"/>
      <c r="K1602" s="64"/>
      <c r="L1602" s="64"/>
      <c r="M1602" s="64"/>
      <c r="N1602" s="64"/>
      <c r="O1602" s="64"/>
      <c r="P1602" s="64"/>
      <c r="Q1602" s="54" t="s">
        <v>370</v>
      </c>
      <c r="R1602" s="54"/>
      <c r="S1602" s="129"/>
      <c r="T1602" s="105"/>
      <c r="U1602" s="133">
        <f>$K$1609*$I$1598*$G$1622*$E$1659*$C$1505*$A$1460*$M$1604*$O$1599*Q1603</f>
        <v>0</v>
      </c>
      <c r="V1602" s="133"/>
      <c r="W1602" s="134">
        <f>$K$1610+$I$1599+$G$1623+$E$1660+$C$1506+$A$1461+$M$1605+$O$1600+Q1604</f>
        <v>246586.63614820561</v>
      </c>
      <c r="X1602" s="133">
        <f>u_Healthy</f>
        <v>0</v>
      </c>
      <c r="Y1602" s="133"/>
      <c r="Z1602" s="134">
        <f t="shared" si="130"/>
        <v>0</v>
      </c>
      <c r="AA1602" s="6">
        <f t="shared" si="129"/>
        <v>0</v>
      </c>
    </row>
    <row r="1603" spans="1:27" x14ac:dyDescent="0.3">
      <c r="A1603" s="10"/>
      <c r="B1603" s="10"/>
      <c r="C1603" s="10"/>
      <c r="D1603" s="10"/>
      <c r="E1603" s="10"/>
      <c r="F1603" s="41"/>
      <c r="G1603" s="64"/>
      <c r="H1603" s="64"/>
      <c r="I1603" s="64"/>
      <c r="J1603" s="64"/>
      <c r="K1603" s="64"/>
      <c r="L1603" s="64"/>
      <c r="M1603" s="54" t="s">
        <v>9</v>
      </c>
      <c r="N1603" s="64"/>
      <c r="O1603" s="64"/>
      <c r="P1603" s="64"/>
      <c r="Q1603" s="56">
        <f>1-Q1594-Q1597-Q1600</f>
        <v>0.60619800000000001</v>
      </c>
      <c r="R1603" s="56"/>
      <c r="S1603" s="129"/>
      <c r="T1603" s="105"/>
      <c r="U1603" s="133"/>
      <c r="V1603" s="133">
        <v>0</v>
      </c>
      <c r="W1603" s="133"/>
      <c r="X1603" s="133"/>
      <c r="Y1603" s="133"/>
      <c r="Z1603" s="134">
        <f t="shared" si="130"/>
        <v>0</v>
      </c>
      <c r="AA1603" s="6">
        <f t="shared" si="129"/>
        <v>0</v>
      </c>
    </row>
    <row r="1604" spans="1:27" x14ac:dyDescent="0.3">
      <c r="A1604" s="10"/>
      <c r="B1604" s="10"/>
      <c r="C1604" s="10"/>
      <c r="D1604" s="10"/>
      <c r="E1604" s="10"/>
      <c r="F1604" s="41"/>
      <c r="G1604" s="64"/>
      <c r="H1604" s="64"/>
      <c r="I1604" s="64"/>
      <c r="J1604" s="64"/>
      <c r="K1604" s="65"/>
      <c r="L1604" s="64"/>
      <c r="M1604" s="56">
        <f>S_term_2RDS_4</f>
        <v>0</v>
      </c>
      <c r="N1604" s="64"/>
      <c r="O1604" s="64"/>
      <c r="P1604" s="64"/>
      <c r="Q1604" s="57">
        <f>c_clinic_fu+c_CSG</f>
        <v>14403</v>
      </c>
      <c r="R1604" s="57"/>
      <c r="S1604" s="129"/>
      <c r="T1604" s="105"/>
      <c r="U1604" s="133"/>
      <c r="V1604" s="133"/>
      <c r="W1604" s="133"/>
      <c r="X1604" s="133"/>
      <c r="Y1604" s="133"/>
      <c r="Z1604" s="134">
        <f t="shared" si="130"/>
        <v>0</v>
      </c>
      <c r="AA1604" s="6">
        <f t="shared" si="129"/>
        <v>0</v>
      </c>
    </row>
    <row r="1605" spans="1:27" x14ac:dyDescent="0.3">
      <c r="A1605" s="10"/>
      <c r="B1605" s="10"/>
      <c r="C1605" s="10"/>
      <c r="D1605" s="10"/>
      <c r="E1605" s="10"/>
      <c r="F1605" s="41"/>
      <c r="G1605" s="64"/>
      <c r="H1605" s="64"/>
      <c r="I1605" s="64"/>
      <c r="J1605" s="64"/>
      <c r="K1605" s="65"/>
      <c r="L1605" s="64"/>
      <c r="M1605" s="57">
        <f>c_RDS</f>
        <v>30595.610148205637</v>
      </c>
      <c r="N1605" s="64"/>
      <c r="O1605" s="64"/>
      <c r="P1605" s="64"/>
      <c r="Q1605" s="65"/>
      <c r="R1605" s="65"/>
      <c r="S1605" s="129"/>
      <c r="T1605" s="105"/>
      <c r="U1605" s="133"/>
      <c r="V1605" s="133"/>
      <c r="W1605" s="133"/>
      <c r="X1605" s="133"/>
      <c r="Y1605" s="133"/>
      <c r="Z1605" s="134">
        <f t="shared" si="130"/>
        <v>0</v>
      </c>
      <c r="AA1605" s="6">
        <f t="shared" si="129"/>
        <v>0</v>
      </c>
    </row>
    <row r="1606" spans="1:27" x14ac:dyDescent="0.3">
      <c r="A1606" s="10"/>
      <c r="B1606" s="10"/>
      <c r="C1606" s="10"/>
      <c r="D1606" s="10"/>
      <c r="E1606" s="10"/>
      <c r="F1606" s="41"/>
      <c r="G1606" s="64"/>
      <c r="H1606" s="64"/>
      <c r="I1606" s="64"/>
      <c r="J1606" s="64"/>
      <c r="K1606" s="64"/>
      <c r="L1606" s="64"/>
      <c r="M1606" s="64"/>
      <c r="N1606" s="64"/>
      <c r="O1606" s="64"/>
      <c r="P1606" s="64"/>
      <c r="Q1606" s="54" t="s">
        <v>368</v>
      </c>
      <c r="R1606" s="54"/>
      <c r="S1606" s="129"/>
      <c r="T1606" s="105"/>
      <c r="U1606" s="133">
        <f>$K$1609*$I$1598*$G$1622*$E$1659*$C$1505*$A$1460*$M$1604*$O$1609*Q1607</f>
        <v>0</v>
      </c>
      <c r="V1606" s="133"/>
      <c r="W1606" s="134">
        <f>$K$1610+$I$1599+$G$1623+$E$1660+$C$1506+$A$1461+$M$1605+$O$1610+Q1608</f>
        <v>283776.88665060559</v>
      </c>
      <c r="X1606" s="133">
        <f>u_ChronicResp</f>
        <v>0.53465956747782661</v>
      </c>
      <c r="Y1606" s="133"/>
      <c r="Z1606" s="134">
        <f t="shared" si="130"/>
        <v>0</v>
      </c>
      <c r="AA1606" s="6">
        <f t="shared" si="129"/>
        <v>0</v>
      </c>
    </row>
    <row r="1607" spans="1:27" x14ac:dyDescent="0.3">
      <c r="A1607" s="10"/>
      <c r="B1607" s="10"/>
      <c r="C1607" s="10"/>
      <c r="D1607" s="10"/>
      <c r="E1607" s="10"/>
      <c r="F1607" s="41"/>
      <c r="G1607" s="64"/>
      <c r="H1607" s="64"/>
      <c r="I1607" s="64"/>
      <c r="J1607" s="64"/>
      <c r="K1607" s="64"/>
      <c r="L1607" s="64"/>
      <c r="M1607" s="64"/>
      <c r="N1607" s="64"/>
      <c r="O1607" s="64"/>
      <c r="P1607" s="64"/>
      <c r="Q1607" s="56">
        <f>RDS2CLD_4-(RDS2CLD_4*noHypo2CI_4)</f>
        <v>0.34905610687022898</v>
      </c>
      <c r="R1607" s="56"/>
      <c r="S1607" s="129"/>
      <c r="T1607" s="105"/>
      <c r="U1607" s="133"/>
      <c r="V1607" s="133">
        <v>0</v>
      </c>
      <c r="W1607" s="133"/>
      <c r="X1607" s="133"/>
      <c r="Y1607" s="133"/>
      <c r="Z1607" s="134">
        <f t="shared" si="130"/>
        <v>0</v>
      </c>
      <c r="AA1607" s="6">
        <f t="shared" si="129"/>
        <v>0</v>
      </c>
    </row>
    <row r="1608" spans="1:27" x14ac:dyDescent="0.3">
      <c r="A1608" s="10"/>
      <c r="B1608" s="10"/>
      <c r="C1608" s="10"/>
      <c r="D1608" s="10"/>
      <c r="E1608" s="10"/>
      <c r="F1608" s="41"/>
      <c r="G1608" s="64"/>
      <c r="H1608" s="64"/>
      <c r="I1608" s="64"/>
      <c r="J1608" s="64"/>
      <c r="K1608" s="54" t="s">
        <v>37</v>
      </c>
      <c r="L1608" s="64"/>
      <c r="M1608" s="65"/>
      <c r="N1608" s="64"/>
      <c r="O1608" s="54" t="s">
        <v>371</v>
      </c>
      <c r="P1608" s="64"/>
      <c r="Q1608" s="57">
        <f>c_lung+c_hosp_fu+c_CSG</f>
        <v>54529.510902399998</v>
      </c>
      <c r="R1608" s="57"/>
      <c r="S1608" s="129"/>
      <c r="T1608" s="105"/>
      <c r="U1608" s="133"/>
      <c r="V1608" s="133"/>
      <c r="W1608" s="133"/>
      <c r="X1608" s="133"/>
      <c r="Y1608" s="133"/>
      <c r="Z1608" s="134">
        <f t="shared" si="130"/>
        <v>0</v>
      </c>
      <c r="AA1608" s="6">
        <f t="shared" si="129"/>
        <v>0</v>
      </c>
    </row>
    <row r="1609" spans="1:27" x14ac:dyDescent="0.3">
      <c r="A1609" s="10"/>
      <c r="B1609" s="10"/>
      <c r="C1609" s="10"/>
      <c r="D1609" s="10"/>
      <c r="E1609" s="10"/>
      <c r="F1609" s="41"/>
      <c r="G1609" s="64"/>
      <c r="H1609" s="64"/>
      <c r="I1609" s="64"/>
      <c r="J1609" s="64"/>
      <c r="K1609" s="56">
        <f>SGA_term_2s_4</f>
        <v>0.98680000000000001</v>
      </c>
      <c r="L1609" s="64"/>
      <c r="M1609" s="64"/>
      <c r="N1609" s="64"/>
      <c r="O1609" s="56">
        <f>SGA_term_2normoglycaemia_4</f>
        <v>0.74</v>
      </c>
      <c r="P1609" s="64"/>
      <c r="Q1609" s="54" t="s">
        <v>226</v>
      </c>
      <c r="R1609" s="54"/>
      <c r="S1609" s="129"/>
      <c r="T1609" s="105"/>
      <c r="U1609" s="133">
        <f>$K$1609*$I$1598*$G$1622*$E$1659*$C$1505*$A$1460*$M$1604*$O$1609*Q1610</f>
        <v>0</v>
      </c>
      <c r="V1609" s="133"/>
      <c r="W1609" s="134">
        <f>$K$1610+$I$1599+$G$1623+$E$1660+$C$1506+$A$1461+$M$1605+$O$1610+Q1611</f>
        <v>245013.37574820561</v>
      </c>
      <c r="X1609" s="133">
        <f>u_CongnitiveImpairement</f>
        <v>17.270393127285455</v>
      </c>
      <c r="Y1609" s="133"/>
      <c r="Z1609" s="134">
        <f t="shared" si="130"/>
        <v>0</v>
      </c>
      <c r="AA1609" s="6">
        <f t="shared" si="129"/>
        <v>0</v>
      </c>
    </row>
    <row r="1610" spans="1:27" x14ac:dyDescent="0.3">
      <c r="A1610" s="10"/>
      <c r="B1610" s="10"/>
      <c r="C1610" s="10"/>
      <c r="D1610" s="10"/>
      <c r="E1610" s="10"/>
      <c r="F1610" s="41"/>
      <c r="G1610" s="41"/>
      <c r="H1610" s="64"/>
      <c r="I1610" s="64"/>
      <c r="J1610" s="64"/>
      <c r="K1610" s="57"/>
      <c r="L1610" s="64"/>
      <c r="M1610" s="64"/>
      <c r="N1610" s="64"/>
      <c r="O1610" s="57"/>
      <c r="P1610" s="64"/>
      <c r="Q1610" s="56">
        <f>noHypo2CI_4-(RDS2CLD_4*noHypo2CI_4)</f>
        <v>2.1141683406990762E-2</v>
      </c>
      <c r="R1610" s="56"/>
      <c r="S1610" s="129"/>
      <c r="T1610" s="105"/>
      <c r="U1610" s="133"/>
      <c r="V1610" s="133">
        <v>0</v>
      </c>
      <c r="W1610" s="133"/>
      <c r="X1610" s="133"/>
      <c r="Y1610" s="133"/>
      <c r="Z1610" s="134">
        <f t="shared" si="130"/>
        <v>0</v>
      </c>
      <c r="AA1610" s="6">
        <f t="shared" si="129"/>
        <v>0</v>
      </c>
    </row>
    <row r="1611" spans="1:27" x14ac:dyDescent="0.3">
      <c r="A1611" s="10"/>
      <c r="B1611" s="10"/>
      <c r="C1611" s="10"/>
      <c r="D1611" s="10"/>
      <c r="E1611" s="10"/>
      <c r="F1611" s="41"/>
      <c r="G1611" s="41"/>
      <c r="H1611" s="64"/>
      <c r="I1611" s="64"/>
      <c r="J1611" s="64"/>
      <c r="K1611" s="64"/>
      <c r="L1611" s="64"/>
      <c r="M1611" s="64"/>
      <c r="N1611" s="64"/>
      <c r="O1611" s="53"/>
      <c r="P1611" s="64"/>
      <c r="Q1611" s="57">
        <f>c_cog+c_hosp_fu+c_CSG</f>
        <v>15766</v>
      </c>
      <c r="R1611" s="57"/>
      <c r="S1611" s="129"/>
      <c r="T1611" s="105"/>
      <c r="U1611" s="133"/>
      <c r="V1611" s="133"/>
      <c r="W1611" s="133"/>
      <c r="X1611" s="133"/>
      <c r="Y1611" s="133"/>
      <c r="Z1611" s="134">
        <f t="shared" si="130"/>
        <v>0</v>
      </c>
      <c r="AA1611" s="6">
        <f t="shared" si="129"/>
        <v>0</v>
      </c>
    </row>
    <row r="1612" spans="1:27" x14ac:dyDescent="0.3">
      <c r="A1612" s="10"/>
      <c r="B1612" s="10"/>
      <c r="C1612" s="10"/>
      <c r="D1612" s="10"/>
      <c r="E1612" s="10"/>
      <c r="F1612" s="41"/>
      <c r="G1612" s="41"/>
      <c r="H1612" s="64"/>
      <c r="I1612" s="64"/>
      <c r="J1612" s="64"/>
      <c r="K1612" s="64"/>
      <c r="L1612" s="64"/>
      <c r="M1612" s="64"/>
      <c r="N1612" s="64"/>
      <c r="O1612" s="53"/>
      <c r="P1612" s="64"/>
      <c r="Q1612" s="54" t="s">
        <v>369</v>
      </c>
      <c r="R1612" s="54"/>
      <c r="S1612" s="129"/>
      <c r="T1612" s="105"/>
      <c r="U1612" s="133">
        <f>$K$1609*$I$1598*$G$1622*$E$1659*$C$1505*$A$1460*$M$1604*$O$1609*Q1613</f>
        <v>0</v>
      </c>
      <c r="V1612" s="133"/>
      <c r="W1612" s="134">
        <f>$K$1610+$I$1599+$G$1623+$E$1660+$C$1506+$A$1461+$M$1605+$O$1610+Q1614</f>
        <v>287595.88665060559</v>
      </c>
      <c r="X1612" s="133">
        <f>u_ChronicResp+u_CongnitiveImpairement</f>
        <v>17.805052694763283</v>
      </c>
      <c r="Y1612" s="133"/>
      <c r="Z1612" s="134">
        <f t="shared" si="130"/>
        <v>0</v>
      </c>
      <c r="AA1612" s="6">
        <f t="shared" si="129"/>
        <v>0</v>
      </c>
    </row>
    <row r="1613" spans="1:27" x14ac:dyDescent="0.3">
      <c r="A1613" s="10"/>
      <c r="B1613" s="10"/>
      <c r="C1613" s="10"/>
      <c r="D1613" s="10"/>
      <c r="E1613" s="10"/>
      <c r="F1613" s="41"/>
      <c r="G1613" s="65"/>
      <c r="H1613" s="64"/>
      <c r="I1613" s="64"/>
      <c r="J1613" s="64"/>
      <c r="K1613" s="64"/>
      <c r="L1613" s="64"/>
      <c r="M1613" s="64"/>
      <c r="N1613" s="64"/>
      <c r="O1613" s="53"/>
      <c r="P1613" s="64"/>
      <c r="Q1613" s="56">
        <f>RDS2CLD_4*noHypo2CI_4</f>
        <v>1.1943893129770991E-2</v>
      </c>
      <c r="R1613" s="56"/>
      <c r="S1613" s="129"/>
      <c r="T1613" s="105"/>
      <c r="U1613" s="133"/>
      <c r="V1613" s="133">
        <v>0</v>
      </c>
      <c r="W1613" s="133"/>
      <c r="X1613" s="133"/>
      <c r="Y1613" s="133"/>
      <c r="Z1613" s="134">
        <f t="shared" si="130"/>
        <v>0</v>
      </c>
      <c r="AA1613" s="6">
        <f t="shared" ref="AA1613:AA1676" si="131">U1613*X1613</f>
        <v>0</v>
      </c>
    </row>
    <row r="1614" spans="1:27" x14ac:dyDescent="0.3">
      <c r="A1614" s="10"/>
      <c r="B1614" s="10"/>
      <c r="C1614" s="10"/>
      <c r="D1614" s="10"/>
      <c r="E1614" s="10"/>
      <c r="F1614" s="41"/>
      <c r="G1614" s="65"/>
      <c r="H1614" s="64"/>
      <c r="I1614" s="64"/>
      <c r="J1614" s="64"/>
      <c r="K1614" s="64"/>
      <c r="L1614" s="64"/>
      <c r="M1614" s="64"/>
      <c r="N1614" s="64"/>
      <c r="O1614" s="53"/>
      <c r="P1614" s="64"/>
      <c r="Q1614" s="57">
        <f>c_cog+c_lung+c_hosp_fu+c_CSG</f>
        <v>58348.510902399998</v>
      </c>
      <c r="R1614" s="57"/>
      <c r="S1614" s="129"/>
      <c r="T1614" s="105"/>
      <c r="U1614" s="133"/>
      <c r="V1614" s="133"/>
      <c r="W1614" s="133"/>
      <c r="X1614" s="133"/>
      <c r="Y1614" s="133"/>
      <c r="Z1614" s="134">
        <f t="shared" si="130"/>
        <v>0</v>
      </c>
      <c r="AA1614" s="6">
        <f t="shared" si="131"/>
        <v>0</v>
      </c>
    </row>
    <row r="1615" spans="1:27" x14ac:dyDescent="0.3">
      <c r="A1615" s="10"/>
      <c r="B1615" s="10"/>
      <c r="C1615" s="10"/>
      <c r="D1615" s="10"/>
      <c r="E1615" s="10"/>
      <c r="F1615" s="41"/>
      <c r="G1615" s="64"/>
      <c r="H1615" s="64"/>
      <c r="I1615" s="64"/>
      <c r="J1615" s="64"/>
      <c r="K1615" s="64"/>
      <c r="L1615" s="64"/>
      <c r="M1615" s="64"/>
      <c r="N1615" s="64"/>
      <c r="O1615" s="53"/>
      <c r="P1615" s="64"/>
      <c r="Q1615" s="54" t="s">
        <v>370</v>
      </c>
      <c r="R1615" s="54"/>
      <c r="T1615" s="105"/>
      <c r="U1615" s="133">
        <f>$K$1609*$I$1598*$G$1622*$E$1659*$C$1505*$A$1460*$M$1604*$O$1609*Q1616</f>
        <v>0</v>
      </c>
      <c r="V1615" s="133"/>
      <c r="W1615" s="134">
        <f>$K$1610+$I$1599+$G$1623+$E$1660+$C$1506+$A$1461+$M$1605+$O$1610+Q1617</f>
        <v>243650.37574820561</v>
      </c>
      <c r="X1615" s="133">
        <f>u_Healthy</f>
        <v>0</v>
      </c>
      <c r="Y1615" s="133"/>
      <c r="Z1615" s="134">
        <f t="shared" ref="Z1615:Z1678" si="132">U1615*W1615</f>
        <v>0</v>
      </c>
      <c r="AA1615" s="6">
        <f t="shared" si="131"/>
        <v>0</v>
      </c>
    </row>
    <row r="1616" spans="1:27" x14ac:dyDescent="0.3">
      <c r="A1616" s="10"/>
      <c r="B1616" s="10"/>
      <c r="C1616" s="10"/>
      <c r="D1616" s="10"/>
      <c r="E1616" s="10"/>
      <c r="F1616" s="41"/>
      <c r="G1616" s="64"/>
      <c r="H1616" s="64"/>
      <c r="I1616" s="64"/>
      <c r="J1616" s="64"/>
      <c r="K1616" s="64"/>
      <c r="L1616" s="64"/>
      <c r="M1616" s="64"/>
      <c r="N1616" s="64"/>
      <c r="O1616" s="53"/>
      <c r="P1616" s="64"/>
      <c r="Q1616" s="56">
        <f>1-Q1613-Q1610-Q1607</f>
        <v>0.61785831659300938</v>
      </c>
      <c r="R1616" s="56"/>
      <c r="S1616" s="129"/>
      <c r="T1616" s="105"/>
      <c r="U1616" s="133"/>
      <c r="V1616" s="133">
        <v>0</v>
      </c>
      <c r="W1616" s="133"/>
      <c r="X1616" s="133"/>
      <c r="Y1616" s="133"/>
      <c r="Z1616" s="134">
        <f t="shared" si="132"/>
        <v>0</v>
      </c>
      <c r="AA1616" s="6">
        <f t="shared" si="131"/>
        <v>0</v>
      </c>
    </row>
    <row r="1617" spans="1:27" x14ac:dyDescent="0.3">
      <c r="A1617" s="10"/>
      <c r="B1617" s="10"/>
      <c r="C1617" s="10"/>
      <c r="D1617" s="10"/>
      <c r="E1617" s="10"/>
      <c r="F1617" s="41"/>
      <c r="G1617" s="64"/>
      <c r="H1617" s="64"/>
      <c r="I1617" s="64"/>
      <c r="J1617" s="64"/>
      <c r="K1617" s="64"/>
      <c r="L1617" s="64"/>
      <c r="M1617" s="64"/>
      <c r="N1617" s="64"/>
      <c r="O1617" s="64"/>
      <c r="P1617" s="64"/>
      <c r="Q1617" s="57">
        <f>c_clinic_fu+c_CSG</f>
        <v>14403</v>
      </c>
      <c r="R1617" s="57"/>
      <c r="S1617" s="129"/>
      <c r="T1617" s="105"/>
      <c r="U1617" s="133"/>
      <c r="V1617" s="133"/>
      <c r="W1617" s="133"/>
      <c r="X1617" s="133"/>
      <c r="Y1617" s="133"/>
      <c r="Z1617" s="134">
        <f t="shared" si="132"/>
        <v>0</v>
      </c>
      <c r="AA1617" s="6">
        <f t="shared" si="131"/>
        <v>0</v>
      </c>
    </row>
    <row r="1618" spans="1:27" x14ac:dyDescent="0.3">
      <c r="A1618" s="10"/>
      <c r="B1618" s="10"/>
      <c r="C1618" s="10"/>
      <c r="D1618" s="10"/>
      <c r="E1618" s="10"/>
      <c r="F1618" s="41"/>
      <c r="G1618" s="64"/>
      <c r="H1618" s="64"/>
      <c r="I1618" s="64"/>
      <c r="J1618" s="64"/>
      <c r="K1618" s="64"/>
      <c r="L1618" s="64"/>
      <c r="M1618" s="64"/>
      <c r="N1618" s="64"/>
      <c r="O1618" s="64"/>
      <c r="P1618" s="64"/>
      <c r="Q1618" s="65"/>
      <c r="R1618" s="65"/>
      <c r="S1618" s="129"/>
      <c r="T1618" s="105"/>
      <c r="U1618" s="133"/>
      <c r="V1618" s="133"/>
      <c r="W1618" s="133"/>
      <c r="X1618" s="133"/>
      <c r="Y1618" s="133"/>
      <c r="Z1618" s="134">
        <f t="shared" si="132"/>
        <v>0</v>
      </c>
      <c r="AA1618" s="6">
        <f t="shared" si="131"/>
        <v>0</v>
      </c>
    </row>
    <row r="1619" spans="1:27" x14ac:dyDescent="0.3">
      <c r="A1619" s="10"/>
      <c r="B1619" s="10"/>
      <c r="C1619" s="10"/>
      <c r="D1619" s="10"/>
      <c r="E1619" s="10"/>
      <c r="F1619" s="41"/>
      <c r="G1619" s="64"/>
      <c r="H1619" s="64"/>
      <c r="I1619" s="64"/>
      <c r="J1619" s="64"/>
      <c r="K1619" s="64"/>
      <c r="L1619" s="64"/>
      <c r="M1619" s="64"/>
      <c r="N1619" s="64"/>
      <c r="O1619" s="64"/>
      <c r="P1619" s="64"/>
      <c r="Q1619" s="54" t="s">
        <v>368</v>
      </c>
      <c r="R1619" s="54"/>
      <c r="S1619" s="129"/>
      <c r="T1619" s="105"/>
      <c r="U1619" s="133">
        <f>$K$1609*$I$1598*$G$1622*$E$1659*$C$1505*$A$1460*$M$1624*$O$1622*Q1620</f>
        <v>4.1331616824192988E-3</v>
      </c>
      <c r="V1619" s="133">
        <v>4.1331616824192988E-3</v>
      </c>
      <c r="W1619" s="134">
        <f>$K$1610+$I$1599+$G$1623+$E$1660+$C$1506+$A$1461+$M$1625+$O$1623+Q1621</f>
        <v>256117.53690239997</v>
      </c>
      <c r="X1619" s="133">
        <f>u_ChronicResp</f>
        <v>0.53465956747782661</v>
      </c>
      <c r="Y1619" s="133"/>
      <c r="Z1619" s="134">
        <f t="shared" si="132"/>
        <v>1058.5751897206103</v>
      </c>
      <c r="AA1619" s="6">
        <f t="shared" si="131"/>
        <v>2.2098344374382284E-3</v>
      </c>
    </row>
    <row r="1620" spans="1:27" x14ac:dyDescent="0.3">
      <c r="A1620" s="10"/>
      <c r="B1620" s="10"/>
      <c r="C1620" s="10"/>
      <c r="D1620" s="10"/>
      <c r="E1620" s="10"/>
      <c r="F1620" s="41"/>
      <c r="G1620" s="64"/>
      <c r="H1620" s="64"/>
      <c r="I1620" s="64"/>
      <c r="J1620" s="64"/>
      <c r="K1620" s="64"/>
      <c r="L1620" s="64"/>
      <c r="M1620" s="64"/>
      <c r="N1620" s="64"/>
      <c r="O1620" s="64"/>
      <c r="P1620" s="64"/>
      <c r="Q1620" s="56">
        <f>RDS2CLD_4-(Hypo2CI_4*RDS2CLD_4)</f>
        <v>0.34246866666666664</v>
      </c>
      <c r="R1620" s="56"/>
      <c r="S1620" s="129"/>
      <c r="T1620" s="105"/>
      <c r="U1620" s="133"/>
      <c r="V1620" s="133"/>
      <c r="W1620" s="133"/>
      <c r="X1620" s="133"/>
      <c r="Y1620" s="133"/>
      <c r="Z1620" s="134">
        <f t="shared" si="132"/>
        <v>0</v>
      </c>
      <c r="AA1620" s="6">
        <f t="shared" si="131"/>
        <v>0</v>
      </c>
    </row>
    <row r="1621" spans="1:27" x14ac:dyDescent="0.3">
      <c r="A1621" s="10"/>
      <c r="B1621" s="10"/>
      <c r="C1621" s="10"/>
      <c r="D1621" s="10"/>
      <c r="E1621" s="10"/>
      <c r="F1621" s="41"/>
      <c r="G1621" s="54" t="s">
        <v>8</v>
      </c>
      <c r="H1621" s="64"/>
      <c r="I1621" s="64"/>
      <c r="J1621" s="64"/>
      <c r="K1621" s="64"/>
      <c r="L1621" s="64"/>
      <c r="M1621" s="64"/>
      <c r="N1621" s="64"/>
      <c r="O1621" s="54" t="s">
        <v>161</v>
      </c>
      <c r="P1621" s="64"/>
      <c r="Q1621" s="57">
        <f>c_lung+c_hosp_fu+c_CSG</f>
        <v>54529.510902399998</v>
      </c>
      <c r="R1621" s="57"/>
      <c r="S1621" s="129"/>
      <c r="T1621" s="105"/>
      <c r="U1621" s="133"/>
      <c r="V1621" s="133"/>
      <c r="W1621" s="133"/>
      <c r="X1621" s="133"/>
      <c r="Y1621" s="133"/>
      <c r="Z1621" s="134">
        <f t="shared" si="132"/>
        <v>0</v>
      </c>
      <c r="AA1621" s="6">
        <f t="shared" si="131"/>
        <v>0</v>
      </c>
    </row>
    <row r="1622" spans="1:27" x14ac:dyDescent="0.3">
      <c r="A1622" s="10"/>
      <c r="B1622" s="10"/>
      <c r="C1622" s="10"/>
      <c r="D1622" s="10"/>
      <c r="E1622" s="10"/>
      <c r="F1622" s="41"/>
      <c r="G1622" s="56">
        <f>Term2LBW_4</f>
        <v>0.34769230769230769</v>
      </c>
      <c r="H1622" s="64"/>
      <c r="I1622" s="64"/>
      <c r="J1622" s="64"/>
      <c r="K1622" s="64"/>
      <c r="L1622" s="64"/>
      <c r="M1622" s="64"/>
      <c r="N1622" s="64"/>
      <c r="O1622" s="56">
        <f>SGA_term_2hypoglycaemia_4</f>
        <v>0.26</v>
      </c>
      <c r="P1622" s="64"/>
      <c r="Q1622" s="54" t="s">
        <v>226</v>
      </c>
      <c r="R1622" s="54"/>
      <c r="S1622" s="129"/>
      <c r="T1622" s="105"/>
      <c r="U1622" s="133">
        <f>$K$1609*$I$1598*$G$1622*$E$1659*$C$1505*$A$1460*$M$1624*$O$1622*Q1623</f>
        <v>3.958784633534878E-4</v>
      </c>
      <c r="V1622" s="133">
        <v>3.958784633534878E-4</v>
      </c>
      <c r="W1622" s="134">
        <f>$K$1610+$I$1599+$G$1623+$E$1660+$C$1506+$A$1461+$M$1625+$O$1623+Q1624</f>
        <v>217354.02599999998</v>
      </c>
      <c r="X1622" s="133">
        <f>u_CongnitiveImpairement</f>
        <v>17.270393127285455</v>
      </c>
      <c r="Y1622" s="133"/>
      <c r="Z1622" s="134">
        <f t="shared" si="132"/>
        <v>86.045777816574031</v>
      </c>
      <c r="AA1622" s="6">
        <f t="shared" si="131"/>
        <v>6.8369766927404031E-3</v>
      </c>
    </row>
    <row r="1623" spans="1:27" x14ac:dyDescent="0.3">
      <c r="A1623" s="10"/>
      <c r="B1623" s="10"/>
      <c r="C1623" s="10"/>
      <c r="D1623" s="10"/>
      <c r="E1623" s="10"/>
      <c r="F1623" s="41"/>
      <c r="G1623" s="57">
        <f>c_LBW</f>
        <v>198651.76559999998</v>
      </c>
      <c r="H1623" s="64"/>
      <c r="I1623" s="64"/>
      <c r="J1623" s="64"/>
      <c r="K1623" s="64"/>
      <c r="L1623" s="64"/>
      <c r="M1623" s="54" t="s">
        <v>203</v>
      </c>
      <c r="N1623" s="64"/>
      <c r="O1623" s="57">
        <f>c_hypo</f>
        <v>2936.2604000000001</v>
      </c>
      <c r="P1623" s="64"/>
      <c r="Q1623" s="56">
        <f>Hypo2CI_4-(Hypo2CI_4*RDS2CLD_4)</f>
        <v>3.2801999999999998E-2</v>
      </c>
      <c r="R1623" s="56"/>
      <c r="S1623" s="129"/>
      <c r="T1623" s="105"/>
      <c r="U1623" s="133"/>
      <c r="V1623" s="133"/>
      <c r="W1623" s="133"/>
      <c r="X1623" s="133"/>
      <c r="Y1623" s="133"/>
      <c r="Z1623" s="134">
        <f t="shared" si="132"/>
        <v>0</v>
      </c>
      <c r="AA1623" s="6">
        <f t="shared" si="131"/>
        <v>0</v>
      </c>
    </row>
    <row r="1624" spans="1:27" x14ac:dyDescent="0.3">
      <c r="A1624" s="10"/>
      <c r="B1624" s="10"/>
      <c r="C1624" s="10"/>
      <c r="D1624" s="10"/>
      <c r="E1624" s="10"/>
      <c r="F1624" s="41"/>
      <c r="G1624" s="64"/>
      <c r="H1624" s="64"/>
      <c r="I1624" s="64"/>
      <c r="J1624" s="64"/>
      <c r="K1624" s="64"/>
      <c r="L1624" s="64"/>
      <c r="M1624" s="56">
        <f>S_term_2noRDS_4</f>
        <v>1</v>
      </c>
      <c r="N1624" s="64"/>
      <c r="O1624" s="53"/>
      <c r="P1624" s="64"/>
      <c r="Q1624" s="57">
        <f>c_cog+c_hosp_fu+c_CSG</f>
        <v>15766</v>
      </c>
      <c r="R1624" s="57"/>
      <c r="S1624" s="129"/>
      <c r="T1624" s="105"/>
      <c r="U1624" s="133"/>
      <c r="V1624" s="133"/>
      <c r="W1624" s="133"/>
      <c r="X1624" s="133"/>
      <c r="Y1624" s="133"/>
      <c r="Z1624" s="134">
        <f t="shared" si="132"/>
        <v>0</v>
      </c>
      <c r="AA1624" s="6">
        <f t="shared" si="131"/>
        <v>0</v>
      </c>
    </row>
    <row r="1625" spans="1:27" x14ac:dyDescent="0.3">
      <c r="A1625" s="10"/>
      <c r="B1625" s="10"/>
      <c r="C1625" s="10"/>
      <c r="D1625" s="10"/>
      <c r="E1625" s="10"/>
      <c r="F1625" s="41"/>
      <c r="G1625" s="64"/>
      <c r="H1625" s="64"/>
      <c r="I1625" s="64"/>
      <c r="J1625" s="64"/>
      <c r="K1625" s="64"/>
      <c r="L1625" s="64"/>
      <c r="M1625" s="57"/>
      <c r="N1625" s="64"/>
      <c r="O1625" s="65"/>
      <c r="P1625" s="64"/>
      <c r="Q1625" s="54" t="s">
        <v>369</v>
      </c>
      <c r="R1625" s="54"/>
      <c r="S1625" s="129"/>
      <c r="T1625" s="105"/>
      <c r="U1625" s="133">
        <f>$K$1609*$I$1598*$G$1622*$E$1659*$C$1505*$A$1460*$M$1624*$O$1622*Q1626</f>
        <v>2.2364964831081237E-4</v>
      </c>
      <c r="V1625" s="133">
        <v>2.2364964831081237E-4</v>
      </c>
      <c r="W1625" s="134">
        <f>$K$1610+$I$1599+$G$1623+$E$1660+$C$1506+$A$1461+$M$1625+$O$1623+Q1627</f>
        <v>259936.53690239997</v>
      </c>
      <c r="X1625" s="133">
        <f>u_ChronicResp+u_CongnitiveImpairement</f>
        <v>17.805052694763283</v>
      </c>
      <c r="Y1625" s="133"/>
      <c r="Z1625" s="134">
        <f t="shared" si="132"/>
        <v>58.134715061352253</v>
      </c>
      <c r="AA1625" s="6">
        <f t="shared" si="131"/>
        <v>3.9820937733392901E-3</v>
      </c>
    </row>
    <row r="1626" spans="1:27" x14ac:dyDescent="0.3">
      <c r="A1626" s="10"/>
      <c r="B1626" s="10"/>
      <c r="C1626" s="10"/>
      <c r="D1626" s="10"/>
      <c r="E1626" s="10"/>
      <c r="F1626" s="41"/>
      <c r="G1626" s="64"/>
      <c r="H1626" s="64"/>
      <c r="I1626" s="64"/>
      <c r="J1626" s="64"/>
      <c r="K1626" s="64"/>
      <c r="L1626" s="64"/>
      <c r="M1626" s="65"/>
      <c r="N1626" s="64"/>
      <c r="O1626" s="41"/>
      <c r="P1626" s="64"/>
      <c r="Q1626" s="56">
        <f>Hypo2CI_4*RDS2CLD_4</f>
        <v>1.8531333333333334E-2</v>
      </c>
      <c r="R1626" s="56"/>
      <c r="S1626" s="129"/>
      <c r="T1626" s="105"/>
      <c r="U1626" s="133"/>
      <c r="V1626" s="133"/>
      <c r="W1626" s="133"/>
      <c r="X1626" s="133"/>
      <c r="Y1626" s="133"/>
      <c r="Z1626" s="134">
        <f t="shared" si="132"/>
        <v>0</v>
      </c>
      <c r="AA1626" s="6">
        <f t="shared" si="131"/>
        <v>0</v>
      </c>
    </row>
    <row r="1627" spans="1:27" x14ac:dyDescent="0.3">
      <c r="A1627" s="10"/>
      <c r="B1627" s="10"/>
      <c r="C1627" s="10"/>
      <c r="D1627" s="10"/>
      <c r="E1627" s="10"/>
      <c r="F1627" s="41"/>
      <c r="G1627" s="64"/>
      <c r="H1627" s="64"/>
      <c r="I1627" s="64"/>
      <c r="J1627" s="64"/>
      <c r="K1627" s="64"/>
      <c r="L1627" s="64"/>
      <c r="M1627" s="65"/>
      <c r="N1627" s="64"/>
      <c r="O1627" s="41"/>
      <c r="P1627" s="64"/>
      <c r="Q1627" s="57">
        <f>c_lung+c_cog+c_hosp_fu+c_CSG</f>
        <v>58348.510902399998</v>
      </c>
      <c r="R1627" s="57"/>
      <c r="S1627" s="129"/>
      <c r="T1627" s="105"/>
      <c r="U1627" s="133"/>
      <c r="V1627" s="133"/>
      <c r="W1627" s="133"/>
      <c r="X1627" s="133"/>
      <c r="Y1627" s="133"/>
      <c r="Z1627" s="134">
        <f t="shared" si="132"/>
        <v>0</v>
      </c>
      <c r="AA1627" s="6">
        <f t="shared" si="131"/>
        <v>0</v>
      </c>
    </row>
    <row r="1628" spans="1:27" x14ac:dyDescent="0.3">
      <c r="A1628" s="10"/>
      <c r="B1628" s="10"/>
      <c r="C1628" s="10"/>
      <c r="D1628" s="10"/>
      <c r="E1628" s="10"/>
      <c r="F1628" s="41"/>
      <c r="G1628" s="64"/>
      <c r="H1628" s="64"/>
      <c r="I1628" s="64"/>
      <c r="J1628" s="64"/>
      <c r="K1628" s="64"/>
      <c r="L1628" s="64"/>
      <c r="M1628" s="65"/>
      <c r="N1628" s="64"/>
      <c r="O1628" s="41"/>
      <c r="P1628" s="64"/>
      <c r="Q1628" s="54" t="s">
        <v>370</v>
      </c>
      <c r="R1628" s="54"/>
      <c r="T1628" s="105"/>
      <c r="U1628" s="133">
        <f>$K$1609*$I$1598*$G$1622*$E$1659*$C$1505*$A$1460*$M$1624*$O$1622*Q1629</f>
        <v>7.3160396539222496E-3</v>
      </c>
      <c r="V1628" s="133">
        <v>7.3160396539222496E-3</v>
      </c>
      <c r="W1628" s="134">
        <f>$K$1610+$I$1599+$G$1623+$E$1660+$C$1506+$A$1461+$M$1625+$O$1623+Q1630</f>
        <v>215991.02599999998</v>
      </c>
      <c r="X1628" s="133">
        <f>u_Healthy</f>
        <v>0</v>
      </c>
      <c r="Y1628" s="133"/>
      <c r="Z1628" s="134">
        <f t="shared" si="132"/>
        <v>1580.1989111073515</v>
      </c>
      <c r="AA1628" s="6">
        <f t="shared" si="131"/>
        <v>0</v>
      </c>
    </row>
    <row r="1629" spans="1:27" x14ac:dyDescent="0.3">
      <c r="A1629" s="10"/>
      <c r="B1629" s="10"/>
      <c r="C1629" s="10"/>
      <c r="D1629" s="10"/>
      <c r="E1629" s="10"/>
      <c r="F1629" s="41"/>
      <c r="G1629" s="64"/>
      <c r="H1629" s="64"/>
      <c r="I1629" s="64"/>
      <c r="J1629" s="64"/>
      <c r="K1629" s="64"/>
      <c r="L1629" s="64"/>
      <c r="M1629" s="65"/>
      <c r="N1629" s="64"/>
      <c r="O1629" s="65"/>
      <c r="P1629" s="64"/>
      <c r="Q1629" s="56">
        <f>1-Q1620-Q1623-Q1626</f>
        <v>0.60619800000000001</v>
      </c>
      <c r="R1629" s="56"/>
      <c r="S1629" s="129"/>
      <c r="T1629" s="105"/>
      <c r="U1629" s="133"/>
      <c r="V1629" s="133"/>
      <c r="W1629" s="133"/>
      <c r="X1629" s="133"/>
      <c r="Y1629" s="133"/>
      <c r="Z1629" s="134">
        <f t="shared" si="132"/>
        <v>0</v>
      </c>
      <c r="AA1629" s="6">
        <f t="shared" si="131"/>
        <v>0</v>
      </c>
    </row>
    <row r="1630" spans="1:27" x14ac:dyDescent="0.3">
      <c r="A1630" s="10"/>
      <c r="B1630" s="10"/>
      <c r="C1630" s="10"/>
      <c r="D1630" s="10"/>
      <c r="E1630" s="10"/>
      <c r="F1630" s="41"/>
      <c r="G1630" s="64"/>
      <c r="H1630" s="64"/>
      <c r="I1630" s="64"/>
      <c r="J1630" s="64"/>
      <c r="K1630" s="64"/>
      <c r="L1630" s="64"/>
      <c r="M1630" s="65"/>
      <c r="N1630" s="64"/>
      <c r="O1630" s="64"/>
      <c r="P1630" s="64"/>
      <c r="Q1630" s="57">
        <f>c_clinic_fu+c_CSG</f>
        <v>14403</v>
      </c>
      <c r="R1630" s="57"/>
      <c r="S1630" s="130"/>
      <c r="T1630" s="105"/>
      <c r="U1630" s="133"/>
      <c r="V1630" s="133"/>
      <c r="W1630" s="133"/>
      <c r="X1630" s="133"/>
      <c r="Y1630" s="133"/>
      <c r="Z1630" s="134">
        <f t="shared" si="132"/>
        <v>0</v>
      </c>
      <c r="AA1630" s="6">
        <f t="shared" si="131"/>
        <v>0</v>
      </c>
    </row>
    <row r="1631" spans="1:27" x14ac:dyDescent="0.3">
      <c r="A1631" s="10"/>
      <c r="B1631" s="10"/>
      <c r="C1631" s="10"/>
      <c r="D1631" s="10"/>
      <c r="E1631" s="10"/>
      <c r="F1631" s="41"/>
      <c r="G1631" s="64"/>
      <c r="H1631" s="64"/>
      <c r="I1631" s="64"/>
      <c r="J1631" s="64"/>
      <c r="K1631" s="64"/>
      <c r="L1631" s="64"/>
      <c r="M1631" s="65"/>
      <c r="N1631" s="64"/>
      <c r="O1631" s="64"/>
      <c r="P1631" s="64"/>
      <c r="Q1631" s="65"/>
      <c r="R1631" s="65"/>
      <c r="S1631" s="129"/>
      <c r="T1631" s="105"/>
      <c r="U1631" s="133"/>
      <c r="V1631" s="133"/>
      <c r="W1631" s="133"/>
      <c r="X1631" s="133"/>
      <c r="Y1631" s="133"/>
      <c r="Z1631" s="134">
        <f t="shared" si="132"/>
        <v>0</v>
      </c>
      <c r="AA1631" s="6">
        <f t="shared" si="131"/>
        <v>0</v>
      </c>
    </row>
    <row r="1632" spans="1:27" x14ac:dyDescent="0.3">
      <c r="A1632" s="10"/>
      <c r="B1632" s="10"/>
      <c r="C1632" s="10"/>
      <c r="D1632" s="10"/>
      <c r="E1632" s="10"/>
      <c r="F1632" s="41"/>
      <c r="G1632" s="64"/>
      <c r="H1632" s="64"/>
      <c r="I1632" s="64"/>
      <c r="J1632" s="64"/>
      <c r="K1632" s="64"/>
      <c r="L1632" s="64"/>
      <c r="M1632" s="65"/>
      <c r="N1632" s="64"/>
      <c r="O1632" s="64"/>
      <c r="P1632" s="64"/>
      <c r="Q1632" s="54" t="s">
        <v>368</v>
      </c>
      <c r="R1632" s="54"/>
      <c r="S1632" s="129"/>
      <c r="T1632" s="105"/>
      <c r="U1632" s="133">
        <f>$K$1609*$I$1598*$G$1622*$E$1659*$C$1505*$A$1460*$M$1624*$O$1636*Q1633</f>
        <v>1.1989889037820563E-2</v>
      </c>
      <c r="V1632" s="133">
        <v>1.1989889037820563E-2</v>
      </c>
      <c r="W1632" s="134">
        <f>$K$1610+$I$1599+$G$1623+$E$1660+$C$1506+$A$1461+$M$1625+$O$1637+Q1634</f>
        <v>253181.2765024</v>
      </c>
      <c r="X1632" s="133">
        <f>u_ChronicResp</f>
        <v>0.53465956747782661</v>
      </c>
      <c r="Y1632" s="133"/>
      <c r="Z1632" s="134">
        <f t="shared" si="132"/>
        <v>3035.6154117175424</v>
      </c>
      <c r="AA1632" s="6">
        <f t="shared" si="131"/>
        <v>6.410508887068277E-3</v>
      </c>
    </row>
    <row r="1633" spans="1:27" x14ac:dyDescent="0.3">
      <c r="A1633" s="10"/>
      <c r="B1633" s="10"/>
      <c r="C1633" s="10"/>
      <c r="D1633" s="10"/>
      <c r="E1633" s="10"/>
      <c r="F1633" s="41"/>
      <c r="G1633" s="64"/>
      <c r="H1633" s="64"/>
      <c r="I1633" s="64"/>
      <c r="J1633" s="64"/>
      <c r="K1633" s="64"/>
      <c r="L1633" s="64"/>
      <c r="M1633" s="65"/>
      <c r="N1633" s="64"/>
      <c r="O1633" s="64"/>
      <c r="P1633" s="64"/>
      <c r="Q1633" s="56">
        <f>RDS2CLD_4-(RDS2CLD_4*noHypo2CI_4)</f>
        <v>0.34905610687022898</v>
      </c>
      <c r="R1633" s="56"/>
      <c r="S1633" s="129"/>
      <c r="T1633" s="105"/>
      <c r="U1633" s="133"/>
      <c r="V1633" s="133"/>
      <c r="W1633" s="133"/>
      <c r="X1633" s="133"/>
      <c r="Y1633" s="133"/>
      <c r="Z1633" s="134">
        <f t="shared" si="132"/>
        <v>0</v>
      </c>
      <c r="AA1633" s="6">
        <f t="shared" si="131"/>
        <v>0</v>
      </c>
    </row>
    <row r="1634" spans="1:27" x14ac:dyDescent="0.3">
      <c r="A1634" s="10"/>
      <c r="B1634" s="10"/>
      <c r="C1634" s="10"/>
      <c r="D1634" s="10"/>
      <c r="E1634" s="10"/>
      <c r="F1634" s="41"/>
      <c r="G1634" s="64"/>
      <c r="H1634" s="64"/>
      <c r="I1634" s="64"/>
      <c r="J1634" s="64"/>
      <c r="K1634" s="64"/>
      <c r="L1634" s="64"/>
      <c r="M1634" s="65"/>
      <c r="N1634" s="64"/>
      <c r="O1634" s="64"/>
      <c r="P1634" s="64"/>
      <c r="Q1634" s="57">
        <f>c_lung+c_hosp_fu+c_CSG</f>
        <v>54529.510902399998</v>
      </c>
      <c r="R1634" s="57"/>
      <c r="S1634" s="129"/>
      <c r="T1634" s="105"/>
      <c r="U1634" s="133"/>
      <c r="V1634" s="133"/>
      <c r="W1634" s="133"/>
      <c r="X1634" s="133"/>
      <c r="Y1634" s="133"/>
      <c r="Z1634" s="134">
        <f t="shared" si="132"/>
        <v>0</v>
      </c>
      <c r="AA1634" s="6">
        <f t="shared" si="131"/>
        <v>0</v>
      </c>
    </row>
    <row r="1635" spans="1:27" x14ac:dyDescent="0.3">
      <c r="A1635" s="10"/>
      <c r="B1635" s="10"/>
      <c r="C1635" s="10"/>
      <c r="D1635" s="10"/>
      <c r="E1635" s="10"/>
      <c r="F1635" s="41"/>
      <c r="G1635" s="64"/>
      <c r="H1635" s="64"/>
      <c r="I1635" s="64"/>
      <c r="J1635" s="64"/>
      <c r="K1635" s="64"/>
      <c r="L1635" s="64"/>
      <c r="M1635" s="65"/>
      <c r="N1635" s="64"/>
      <c r="O1635" s="54" t="s">
        <v>371</v>
      </c>
      <c r="P1635" s="64"/>
      <c r="Q1635" s="54" t="s">
        <v>226</v>
      </c>
      <c r="R1635" s="54"/>
      <c r="S1635" s="129"/>
      <c r="T1635" s="105"/>
      <c r="U1635" s="133">
        <f>$K$1609*$I$1598*$G$1622*$E$1659*$C$1505*$A$1460*$M$1624*$O$1636*Q1636</f>
        <v>7.26205424094734E-4</v>
      </c>
      <c r="V1635" s="133">
        <v>7.26205424094734E-4</v>
      </c>
      <c r="W1635" s="134">
        <f>$K$1610+$I$1599+$G$1623+$E$1660+$C$1506+$A$1461+$M$1625+$O$1637+Q1637</f>
        <v>214417.76559999998</v>
      </c>
      <c r="X1635" s="133">
        <f>u_CongnitiveImpairement</f>
        <v>17.270393127285455</v>
      </c>
      <c r="Y1635" s="133"/>
      <c r="Z1635" s="134">
        <f t="shared" si="132"/>
        <v>155.71134440099326</v>
      </c>
      <c r="AA1635" s="6">
        <f t="shared" si="131"/>
        <v>1.2541853165283114E-2</v>
      </c>
    </row>
    <row r="1636" spans="1:27" x14ac:dyDescent="0.3">
      <c r="A1636" s="10"/>
      <c r="B1636" s="10"/>
      <c r="C1636" s="10"/>
      <c r="D1636" s="10"/>
      <c r="E1636" s="10"/>
      <c r="F1636" s="41"/>
      <c r="G1636" s="64"/>
      <c r="H1636" s="64"/>
      <c r="I1636" s="64"/>
      <c r="J1636" s="64"/>
      <c r="K1636" s="64"/>
      <c r="L1636" s="64"/>
      <c r="M1636" s="65"/>
      <c r="N1636" s="64"/>
      <c r="O1636" s="56">
        <f>SGA_term_2normoglycaemia_4</f>
        <v>0.74</v>
      </c>
      <c r="P1636" s="64"/>
      <c r="Q1636" s="56">
        <f>noHypo2CI_4-(RDS2CLD_4*noHypo2CI_4)</f>
        <v>2.1141683406990762E-2</v>
      </c>
      <c r="R1636" s="56"/>
      <c r="S1636" s="129"/>
      <c r="T1636" s="105"/>
      <c r="U1636" s="133"/>
      <c r="V1636" s="133"/>
      <c r="W1636" s="133"/>
      <c r="X1636" s="133"/>
      <c r="Y1636" s="133"/>
      <c r="Z1636" s="134">
        <f t="shared" si="132"/>
        <v>0</v>
      </c>
      <c r="AA1636" s="6">
        <f t="shared" si="131"/>
        <v>0</v>
      </c>
    </row>
    <row r="1637" spans="1:27" x14ac:dyDescent="0.3">
      <c r="A1637" s="10"/>
      <c r="B1637" s="10"/>
      <c r="C1637" s="10"/>
      <c r="D1637" s="10"/>
      <c r="E1637" s="10"/>
      <c r="F1637" s="41"/>
      <c r="G1637" s="64"/>
      <c r="H1637" s="64"/>
      <c r="I1637" s="64"/>
      <c r="J1637" s="64"/>
      <c r="K1637" s="64"/>
      <c r="L1637" s="64"/>
      <c r="M1637" s="65"/>
      <c r="N1637" s="64"/>
      <c r="O1637" s="57"/>
      <c r="P1637" s="64"/>
      <c r="Q1637" s="57">
        <f>c_cog+c_hosp_fu+c_CSG</f>
        <v>15766</v>
      </c>
      <c r="R1637" s="57"/>
      <c r="S1637" s="129"/>
      <c r="T1637" s="105"/>
      <c r="U1637" s="133"/>
      <c r="V1637" s="133"/>
      <c r="W1637" s="133"/>
      <c r="X1637" s="133"/>
      <c r="Y1637" s="133"/>
      <c r="Z1637" s="134">
        <f t="shared" si="132"/>
        <v>0</v>
      </c>
      <c r="AA1637" s="6">
        <f t="shared" si="131"/>
        <v>0</v>
      </c>
    </row>
    <row r="1638" spans="1:27" x14ac:dyDescent="0.3">
      <c r="A1638" s="10"/>
      <c r="B1638" s="10"/>
      <c r="C1638" s="10"/>
      <c r="D1638" s="10"/>
      <c r="E1638" s="10"/>
      <c r="F1638" s="41"/>
      <c r="G1638" s="64"/>
      <c r="H1638" s="64"/>
      <c r="I1638" s="64"/>
      <c r="J1638" s="64"/>
      <c r="K1638" s="64"/>
      <c r="L1638" s="64"/>
      <c r="M1638" s="65"/>
      <c r="N1638" s="64"/>
      <c r="O1638" s="64"/>
      <c r="P1638" s="64"/>
      <c r="Q1638" s="54" t="s">
        <v>369</v>
      </c>
      <c r="R1638" s="54"/>
      <c r="S1638" s="129"/>
      <c r="T1638" s="105"/>
      <c r="U1638" s="133">
        <f>$K$1609*$I$1598*$G$1622*$E$1659*$C$1505*$A$1460*$M$1624*$O$1636*Q1639</f>
        <v>4.1026628810359768E-4</v>
      </c>
      <c r="V1638" s="133">
        <v>4.1026628810359768E-4</v>
      </c>
      <c r="W1638" s="134">
        <f>$K$1610+$I$1599+$G$1623+$E$1660+$C$1506+$A$1461+$M$1625+$O$1637+Q1640</f>
        <v>257000.2765024</v>
      </c>
      <c r="X1638" s="133">
        <f>u_ChronicResp+u_CongnitiveImpairement</f>
        <v>17.805052694763283</v>
      </c>
      <c r="Y1638" s="133"/>
      <c r="Z1638" s="134">
        <f t="shared" si="132"/>
        <v>105.4385494822379</v>
      </c>
      <c r="AA1638" s="6">
        <f t="shared" si="131"/>
        <v>7.3048128785694914E-3</v>
      </c>
    </row>
    <row r="1639" spans="1:27" x14ac:dyDescent="0.3">
      <c r="A1639" s="10"/>
      <c r="B1639" s="10"/>
      <c r="C1639" s="10"/>
      <c r="D1639" s="10"/>
      <c r="E1639" s="10"/>
      <c r="F1639" s="41"/>
      <c r="G1639" s="64"/>
      <c r="H1639" s="64"/>
      <c r="I1639" s="64"/>
      <c r="J1639" s="64"/>
      <c r="K1639" s="64"/>
      <c r="L1639" s="64"/>
      <c r="M1639" s="65"/>
      <c r="N1639" s="64"/>
      <c r="O1639" s="64"/>
      <c r="P1639" s="64"/>
      <c r="Q1639" s="56">
        <f>RDS2CLD_4*noHypo2CI_4</f>
        <v>1.1943893129770991E-2</v>
      </c>
      <c r="R1639" s="56"/>
      <c r="S1639" s="129"/>
      <c r="T1639" s="105"/>
      <c r="U1639" s="133"/>
      <c r="V1639" s="133"/>
      <c r="W1639" s="133"/>
      <c r="X1639" s="133"/>
      <c r="Y1639" s="133"/>
      <c r="Z1639" s="134">
        <f t="shared" si="132"/>
        <v>0</v>
      </c>
      <c r="AA1639" s="6">
        <f t="shared" si="131"/>
        <v>0</v>
      </c>
    </row>
    <row r="1640" spans="1:27" x14ac:dyDescent="0.3">
      <c r="A1640" s="10"/>
      <c r="B1640" s="10"/>
      <c r="C1640" s="10"/>
      <c r="D1640" s="10"/>
      <c r="E1640" s="10"/>
      <c r="F1640" s="41"/>
      <c r="G1640" s="64"/>
      <c r="H1640" s="64"/>
      <c r="I1640" s="64"/>
      <c r="J1640" s="64"/>
      <c r="K1640" s="64"/>
      <c r="L1640" s="64"/>
      <c r="M1640" s="65"/>
      <c r="N1640" s="64"/>
      <c r="O1640" s="64"/>
      <c r="P1640" s="64"/>
      <c r="Q1640" s="57">
        <f>c_cog+c_lung+c_hosp_fu+c_CSG</f>
        <v>58348.510902399998</v>
      </c>
      <c r="R1640" s="57"/>
      <c r="S1640" s="129"/>
      <c r="T1640" s="105"/>
      <c r="U1640" s="133"/>
      <c r="V1640" s="133"/>
      <c r="W1640" s="133"/>
      <c r="X1640" s="133"/>
      <c r="Y1640" s="133"/>
      <c r="Z1640" s="134">
        <f t="shared" si="132"/>
        <v>0</v>
      </c>
      <c r="AA1640" s="6">
        <f t="shared" si="131"/>
        <v>0</v>
      </c>
    </row>
    <row r="1641" spans="1:27" x14ac:dyDescent="0.3">
      <c r="A1641" s="10"/>
      <c r="B1641" s="10"/>
      <c r="C1641" s="110"/>
      <c r="D1641" s="110"/>
      <c r="E1641" s="110"/>
      <c r="F1641" s="41"/>
      <c r="G1641" s="64"/>
      <c r="H1641" s="64"/>
      <c r="I1641" s="64"/>
      <c r="J1641" s="64"/>
      <c r="K1641" s="64"/>
      <c r="L1641" s="64"/>
      <c r="M1641" s="65"/>
      <c r="N1641" s="64"/>
      <c r="O1641" s="64"/>
      <c r="P1641" s="64"/>
      <c r="Q1641" s="54" t="s">
        <v>370</v>
      </c>
      <c r="R1641" s="54"/>
      <c r="T1641" s="105"/>
      <c r="U1641" s="133">
        <f>$K$1609*$I$1598*$G$1622*$E$1659*$C$1505*$A$1460*$M$1624*$O$1636*Q1642</f>
        <v>2.1223099986613134E-2</v>
      </c>
      <c r="V1641" s="133">
        <v>2.1223099986613134E-2</v>
      </c>
      <c r="W1641" s="134">
        <f>$K$1610+$I$1599+$G$1623+$E$1660+$C$1506+$A$1461+$M$1625+$O$1637+Q1643</f>
        <v>213054.76559999998</v>
      </c>
      <c r="X1641" s="133">
        <f>u_Healthy</f>
        <v>0</v>
      </c>
      <c r="Y1641" s="133"/>
      <c r="Z1641" s="134">
        <f t="shared" si="132"/>
        <v>4521.6825929532242</v>
      </c>
      <c r="AA1641" s="6">
        <f t="shared" si="131"/>
        <v>0</v>
      </c>
    </row>
    <row r="1642" spans="1:27" x14ac:dyDescent="0.3">
      <c r="A1642" s="10"/>
      <c r="B1642" s="10"/>
      <c r="C1642" s="110"/>
      <c r="D1642" s="10"/>
      <c r="E1642" s="10"/>
      <c r="F1642" s="41"/>
      <c r="G1642" s="64"/>
      <c r="H1642" s="64"/>
      <c r="I1642" s="64"/>
      <c r="J1642" s="64"/>
      <c r="K1642" s="64"/>
      <c r="L1642" s="64"/>
      <c r="M1642" s="65"/>
      <c r="N1642" s="64"/>
      <c r="O1642" s="64"/>
      <c r="P1642" s="64"/>
      <c r="Q1642" s="56">
        <f>1-Q1639-Q1636-Q1633</f>
        <v>0.61785831659300938</v>
      </c>
      <c r="R1642" s="56"/>
      <c r="S1642" s="129"/>
      <c r="T1642" s="105"/>
      <c r="U1642" s="133"/>
      <c r="V1642" s="133"/>
      <c r="W1642" s="133"/>
      <c r="X1642" s="133"/>
      <c r="Y1642" s="133"/>
      <c r="Z1642" s="134">
        <f t="shared" si="132"/>
        <v>0</v>
      </c>
      <c r="AA1642" s="6">
        <f t="shared" si="131"/>
        <v>0</v>
      </c>
    </row>
    <row r="1643" spans="1:27" x14ac:dyDescent="0.3">
      <c r="A1643" s="10"/>
      <c r="B1643" s="10"/>
      <c r="C1643" s="116"/>
      <c r="D1643" s="10"/>
      <c r="E1643" s="10"/>
      <c r="F1643" s="41"/>
      <c r="G1643" s="64"/>
      <c r="H1643" s="64"/>
      <c r="I1643" s="64"/>
      <c r="J1643" s="64"/>
      <c r="K1643" s="64"/>
      <c r="L1643" s="64"/>
      <c r="M1643" s="65"/>
      <c r="N1643" s="64"/>
      <c r="O1643" s="64"/>
      <c r="P1643" s="64"/>
      <c r="Q1643" s="57">
        <f>c_clinic_fu+c_CSG</f>
        <v>14403</v>
      </c>
      <c r="R1643" s="57"/>
      <c r="S1643" s="129"/>
      <c r="T1643" s="105"/>
      <c r="U1643" s="133"/>
      <c r="V1643" s="133"/>
      <c r="W1643" s="133"/>
      <c r="X1643" s="133"/>
      <c r="Y1643" s="133"/>
      <c r="Z1643" s="134">
        <f t="shared" si="132"/>
        <v>0</v>
      </c>
      <c r="AA1643" s="6">
        <f t="shared" si="131"/>
        <v>0</v>
      </c>
    </row>
    <row r="1644" spans="1:27" x14ac:dyDescent="0.3">
      <c r="A1644" s="10"/>
      <c r="B1644" s="10"/>
      <c r="C1644" s="10"/>
      <c r="D1644" s="10"/>
      <c r="E1644" s="10"/>
      <c r="F1644" s="41"/>
      <c r="G1644" s="64"/>
      <c r="H1644" s="64"/>
      <c r="I1644" s="64"/>
      <c r="J1644" s="64"/>
      <c r="K1644" s="64"/>
      <c r="L1644" s="64"/>
      <c r="M1644" s="65"/>
      <c r="N1644" s="64"/>
      <c r="O1644" s="64"/>
      <c r="P1644" s="64"/>
      <c r="Q1644" s="65"/>
      <c r="R1644" s="65"/>
      <c r="S1644" s="129"/>
      <c r="T1644" s="105"/>
      <c r="U1644" s="133"/>
      <c r="V1644" s="133"/>
      <c r="W1644" s="133"/>
      <c r="X1644" s="133"/>
      <c r="Y1644" s="133"/>
      <c r="Z1644" s="134">
        <f t="shared" si="132"/>
        <v>0</v>
      </c>
      <c r="AA1644" s="6">
        <f t="shared" si="131"/>
        <v>0</v>
      </c>
    </row>
    <row r="1645" spans="1:27" x14ac:dyDescent="0.3">
      <c r="A1645" s="10"/>
      <c r="B1645" s="10"/>
      <c r="C1645" s="10"/>
      <c r="D1645" s="10"/>
      <c r="E1645" s="10"/>
      <c r="F1645" s="41"/>
      <c r="G1645" s="64"/>
      <c r="H1645" s="64"/>
      <c r="I1645" s="64"/>
      <c r="J1645" s="64"/>
      <c r="K1645" s="54" t="s">
        <v>165</v>
      </c>
      <c r="L1645" s="54"/>
      <c r="M1645" s="54"/>
      <c r="N1645" s="54"/>
      <c r="O1645" s="54"/>
      <c r="P1645" s="54"/>
      <c r="Q1645" s="54"/>
      <c r="R1645" s="54"/>
      <c r="S1645" s="129"/>
      <c r="T1645" s="105"/>
      <c r="U1645" s="133">
        <f>$K$1646*$I$1654*$G$1622*$E$1659*$C$1505*$A$1460</f>
        <v>0</v>
      </c>
      <c r="V1645" s="133"/>
      <c r="W1645" s="134">
        <f>$K$1647+$I$1655+$G$1623+$E$1660+$C$1506+$A$1461</f>
        <v>200443.76559999998</v>
      </c>
      <c r="X1645" s="133">
        <f>u_Death</f>
        <v>19.181538114427529</v>
      </c>
      <c r="Y1645" s="133"/>
      <c r="Z1645" s="134">
        <f t="shared" si="132"/>
        <v>0</v>
      </c>
      <c r="AA1645" s="6">
        <f t="shared" si="131"/>
        <v>0</v>
      </c>
    </row>
    <row r="1646" spans="1:27" x14ac:dyDescent="0.3">
      <c r="A1646" s="10"/>
      <c r="B1646" s="10"/>
      <c r="C1646" s="10"/>
      <c r="D1646" s="10"/>
      <c r="E1646" s="10"/>
      <c r="F1646" s="41"/>
      <c r="G1646" s="64"/>
      <c r="H1646" s="64"/>
      <c r="I1646" s="64"/>
      <c r="J1646" s="64"/>
      <c r="K1646" s="56">
        <f>AGA_term_2d_4</f>
        <v>6.2333333333333338E-3</v>
      </c>
      <c r="L1646" s="64"/>
      <c r="M1646" s="64"/>
      <c r="N1646" s="64"/>
      <c r="O1646" s="64"/>
      <c r="P1646" s="64"/>
      <c r="Q1646" s="64"/>
      <c r="R1646" s="64"/>
      <c r="S1646" s="129"/>
      <c r="T1646" s="105"/>
      <c r="U1646" s="133"/>
      <c r="V1646" s="133">
        <v>0</v>
      </c>
      <c r="W1646" s="133"/>
      <c r="X1646" s="133"/>
      <c r="Y1646" s="133"/>
      <c r="Z1646" s="134">
        <f t="shared" si="132"/>
        <v>0</v>
      </c>
      <c r="AA1646" s="6">
        <f t="shared" si="131"/>
        <v>0</v>
      </c>
    </row>
    <row r="1647" spans="1:27" x14ac:dyDescent="0.3">
      <c r="A1647" s="10"/>
      <c r="B1647" s="10"/>
      <c r="C1647" s="10"/>
      <c r="D1647" s="10"/>
      <c r="E1647" s="10"/>
      <c r="F1647" s="41"/>
      <c r="G1647" s="64"/>
      <c r="H1647" s="64"/>
      <c r="I1647" s="64"/>
      <c r="J1647" s="64"/>
      <c r="K1647" s="57">
        <f>c_SB</f>
        <v>1792</v>
      </c>
      <c r="L1647" s="64"/>
      <c r="M1647" s="64"/>
      <c r="N1647" s="64"/>
      <c r="O1647" s="64"/>
      <c r="P1647" s="64"/>
      <c r="Q1647" s="64"/>
      <c r="R1647" s="64"/>
      <c r="S1647" s="129"/>
      <c r="T1647" s="105"/>
      <c r="U1647" s="133"/>
      <c r="V1647" s="133"/>
      <c r="W1647" s="133"/>
      <c r="X1647" s="133"/>
      <c r="Y1647" s="133"/>
      <c r="Z1647" s="134">
        <f t="shared" si="132"/>
        <v>0</v>
      </c>
      <c r="AA1647" s="6">
        <f t="shared" si="131"/>
        <v>0</v>
      </c>
    </row>
    <row r="1648" spans="1:27" x14ac:dyDescent="0.3">
      <c r="A1648" s="10"/>
      <c r="B1648" s="10"/>
      <c r="C1648" s="10"/>
      <c r="D1648" s="10"/>
      <c r="E1648" s="10"/>
      <c r="F1648" s="41"/>
      <c r="G1648" s="64"/>
      <c r="H1648" s="64"/>
      <c r="I1648" s="64"/>
      <c r="J1648" s="64"/>
      <c r="K1648" s="53"/>
      <c r="L1648" s="53"/>
      <c r="M1648" s="53"/>
      <c r="N1648" s="53"/>
      <c r="O1648" s="53"/>
      <c r="P1648" s="53"/>
      <c r="Q1648" s="53"/>
      <c r="R1648" s="53"/>
      <c r="S1648" s="129"/>
      <c r="T1648" s="105"/>
      <c r="U1648" s="133"/>
      <c r="V1648" s="133"/>
      <c r="W1648" s="133"/>
      <c r="X1648" s="133"/>
      <c r="Y1648" s="133"/>
      <c r="Z1648" s="134">
        <f t="shared" si="132"/>
        <v>0</v>
      </c>
      <c r="AA1648" s="6">
        <f t="shared" si="131"/>
        <v>0</v>
      </c>
    </row>
    <row r="1649" spans="1:27" x14ac:dyDescent="0.3">
      <c r="A1649" s="10"/>
      <c r="B1649" s="10"/>
      <c r="C1649" s="10"/>
      <c r="D1649" s="10"/>
      <c r="E1649" s="10"/>
      <c r="F1649" s="41"/>
      <c r="G1649" s="53"/>
      <c r="H1649" s="53"/>
      <c r="I1649" s="64"/>
      <c r="J1649" s="64"/>
      <c r="K1649" s="53"/>
      <c r="L1649" s="53"/>
      <c r="M1649" s="53"/>
      <c r="N1649" s="53"/>
      <c r="O1649" s="53"/>
      <c r="P1649" s="53"/>
      <c r="Q1649" s="54" t="s">
        <v>368</v>
      </c>
      <c r="R1649" s="54"/>
      <c r="S1649" s="129"/>
      <c r="T1649" s="105"/>
      <c r="U1649" s="133">
        <f>$K$1665*$I$1654*$G$1622*$E$1659*$C$1505*$A$1460*$M$1660*$O$1655*Q1650</f>
        <v>0</v>
      </c>
      <c r="V1649" s="133"/>
      <c r="W1649" s="134">
        <f>$K$1666+$I$1655+$G$1623+$E$1660+$C$1506+$A$1461+$M$1661+$O$1656+Q1651</f>
        <v>286713.14705060562</v>
      </c>
      <c r="X1649" s="133">
        <f>u_ChronicResp</f>
        <v>0.53465956747782661</v>
      </c>
      <c r="Y1649" s="133"/>
      <c r="Z1649" s="134">
        <f t="shared" si="132"/>
        <v>0</v>
      </c>
      <c r="AA1649" s="6">
        <f t="shared" si="131"/>
        <v>0</v>
      </c>
    </row>
    <row r="1650" spans="1:27" x14ac:dyDescent="0.3">
      <c r="A1650" s="10"/>
      <c r="B1650" s="10"/>
      <c r="C1650" s="10"/>
      <c r="D1650" s="10"/>
      <c r="E1650" s="10"/>
      <c r="F1650" s="41"/>
      <c r="G1650" s="53"/>
      <c r="H1650" s="53"/>
      <c r="I1650" s="64"/>
      <c r="J1650" s="64"/>
      <c r="K1650" s="53"/>
      <c r="L1650" s="53"/>
      <c r="M1650" s="53"/>
      <c r="N1650" s="53"/>
      <c r="O1650" s="64"/>
      <c r="P1650" s="64"/>
      <c r="Q1650" s="56">
        <f>RDS2CLD_4-(Hypo2CI_4*RDS2CLD_4)</f>
        <v>0.34246866666666664</v>
      </c>
      <c r="R1650" s="56"/>
      <c r="S1650" s="129"/>
      <c r="T1650" s="105"/>
      <c r="U1650" s="133"/>
      <c r="V1650" s="133">
        <v>0</v>
      </c>
      <c r="W1650" s="133"/>
      <c r="X1650" s="133"/>
      <c r="Y1650" s="133"/>
      <c r="Z1650" s="134">
        <f t="shared" si="132"/>
        <v>0</v>
      </c>
      <c r="AA1650" s="6">
        <f t="shared" si="131"/>
        <v>0</v>
      </c>
    </row>
    <row r="1651" spans="1:27" x14ac:dyDescent="0.3">
      <c r="A1651" s="10"/>
      <c r="B1651" s="10"/>
      <c r="C1651" s="10"/>
      <c r="D1651" s="10"/>
      <c r="E1651" s="10"/>
      <c r="F1651" s="41"/>
      <c r="G1651" s="53"/>
      <c r="H1651" s="53"/>
      <c r="I1651" s="64"/>
      <c r="J1651" s="64"/>
      <c r="K1651" s="53"/>
      <c r="L1651" s="53"/>
      <c r="M1651" s="53"/>
      <c r="N1651" s="53"/>
      <c r="O1651" s="64"/>
      <c r="P1651" s="64"/>
      <c r="Q1651" s="57">
        <f>c_lung+c_hosp_fu+c_CSG</f>
        <v>54529.510902399998</v>
      </c>
      <c r="R1651" s="57"/>
      <c r="S1651" s="129"/>
      <c r="T1651" s="105"/>
      <c r="U1651" s="133"/>
      <c r="V1651" s="133"/>
      <c r="W1651" s="133"/>
      <c r="X1651" s="133"/>
      <c r="Y1651" s="133"/>
      <c r="Z1651" s="134">
        <f t="shared" si="132"/>
        <v>0</v>
      </c>
      <c r="AA1651" s="6">
        <f t="shared" si="131"/>
        <v>0</v>
      </c>
    </row>
    <row r="1652" spans="1:27" x14ac:dyDescent="0.3">
      <c r="A1652" s="10"/>
      <c r="B1652" s="10"/>
      <c r="C1652" s="10"/>
      <c r="D1652" s="10"/>
      <c r="E1652" s="10"/>
      <c r="F1652" s="41"/>
      <c r="G1652" s="53"/>
      <c r="H1652" s="53"/>
      <c r="I1652" s="64"/>
      <c r="J1652" s="64"/>
      <c r="K1652" s="53"/>
      <c r="L1652" s="53"/>
      <c r="M1652" s="53"/>
      <c r="N1652" s="53"/>
      <c r="O1652" s="64"/>
      <c r="P1652" s="64"/>
      <c r="Q1652" s="54" t="s">
        <v>226</v>
      </c>
      <c r="R1652" s="54"/>
      <c r="S1652" s="129"/>
      <c r="T1652" s="105"/>
      <c r="U1652" s="133">
        <f>$K$1665*$I$1654*$G$1622*$E$1659*$C$1505*$A$1460*$M$1660*$O$1655*Q1653</f>
        <v>0</v>
      </c>
      <c r="V1652" s="133"/>
      <c r="W1652" s="134">
        <f>$K$1666+$I$1655+$G$1623+$E$1660+$C$1506+$A$1461+$M$1661+$O$1656+Q1654</f>
        <v>247949.63614820561</v>
      </c>
      <c r="X1652" s="133">
        <f>u_CongnitiveImpairement</f>
        <v>17.270393127285455</v>
      </c>
      <c r="Y1652" s="133"/>
      <c r="Z1652" s="134">
        <f t="shared" si="132"/>
        <v>0</v>
      </c>
      <c r="AA1652" s="6">
        <f t="shared" si="131"/>
        <v>0</v>
      </c>
    </row>
    <row r="1653" spans="1:27" x14ac:dyDescent="0.3">
      <c r="A1653" s="10"/>
      <c r="B1653" s="10"/>
      <c r="C1653" s="10"/>
      <c r="D1653" s="10"/>
      <c r="E1653" s="10"/>
      <c r="F1653" s="41"/>
      <c r="G1653" s="53"/>
      <c r="H1653" s="53"/>
      <c r="I1653" s="54" t="s">
        <v>425</v>
      </c>
      <c r="J1653" s="64"/>
      <c r="K1653" s="64"/>
      <c r="L1653" s="64"/>
      <c r="M1653" s="64"/>
      <c r="N1653" s="64"/>
      <c r="O1653" s="64"/>
      <c r="P1653" s="64"/>
      <c r="Q1653" s="56">
        <f>Hypo2CI_4-(Hypo2CI_4*RDS2CLD_4)</f>
        <v>3.2801999999999998E-2</v>
      </c>
      <c r="R1653" s="56"/>
      <c r="S1653" s="129"/>
      <c r="T1653" s="105"/>
      <c r="U1653" s="133"/>
      <c r="V1653" s="133">
        <v>0</v>
      </c>
      <c r="W1653" s="133"/>
      <c r="X1653" s="133"/>
      <c r="Y1653" s="133"/>
      <c r="Z1653" s="134">
        <f t="shared" si="132"/>
        <v>0</v>
      </c>
      <c r="AA1653" s="6">
        <f t="shared" si="131"/>
        <v>0</v>
      </c>
    </row>
    <row r="1654" spans="1:27" x14ac:dyDescent="0.3">
      <c r="A1654" s="10"/>
      <c r="B1654" s="10"/>
      <c r="C1654" s="10"/>
      <c r="D1654" s="10"/>
      <c r="E1654" s="10"/>
      <c r="F1654" s="41"/>
      <c r="G1654" s="64"/>
      <c r="H1654" s="64"/>
      <c r="I1654" s="56">
        <f>LBW_term_2AGA_4</f>
        <v>0</v>
      </c>
      <c r="J1654" s="64"/>
      <c r="K1654" s="64"/>
      <c r="L1654" s="64"/>
      <c r="M1654" s="64"/>
      <c r="N1654" s="64"/>
      <c r="O1654" s="54" t="s">
        <v>161</v>
      </c>
      <c r="P1654" s="64"/>
      <c r="Q1654" s="57">
        <f>c_cog+c_hosp_fu+c_CSG</f>
        <v>15766</v>
      </c>
      <c r="R1654" s="57"/>
      <c r="S1654" s="129"/>
      <c r="T1654" s="105"/>
      <c r="U1654" s="133"/>
      <c r="V1654" s="133"/>
      <c r="W1654" s="133"/>
      <c r="X1654" s="133"/>
      <c r="Y1654" s="133"/>
      <c r="Z1654" s="134">
        <f t="shared" si="132"/>
        <v>0</v>
      </c>
      <c r="AA1654" s="6">
        <f t="shared" si="131"/>
        <v>0</v>
      </c>
    </row>
    <row r="1655" spans="1:27" x14ac:dyDescent="0.3">
      <c r="A1655" s="10"/>
      <c r="B1655" s="10"/>
      <c r="C1655" s="10"/>
      <c r="D1655" s="10"/>
      <c r="E1655" s="10"/>
      <c r="F1655" s="41"/>
      <c r="G1655" s="64"/>
      <c r="H1655" s="64"/>
      <c r="I1655" s="57"/>
      <c r="J1655" s="64"/>
      <c r="K1655" s="64"/>
      <c r="L1655" s="64"/>
      <c r="M1655" s="64"/>
      <c r="N1655" s="64"/>
      <c r="O1655" s="56">
        <f>AGA_term_2hypoglycaemia_4</f>
        <v>0</v>
      </c>
      <c r="P1655" s="64"/>
      <c r="Q1655" s="54" t="s">
        <v>369</v>
      </c>
      <c r="R1655" s="54"/>
      <c r="S1655" s="129"/>
      <c r="T1655" s="105"/>
      <c r="U1655" s="133">
        <f>$K$1665*$I$1654*$G$1622*$E$1659*$C$1505*$A$1460*$M$1660*$O$1655*Q1656</f>
        <v>0</v>
      </c>
      <c r="V1655" s="133"/>
      <c r="W1655" s="134">
        <f>$K$1666+$I$1655+$G$1623+$E$1660+$C$1506+$A$1461+$M$1661+$O$1656+Q1657</f>
        <v>290532.14705060562</v>
      </c>
      <c r="X1655" s="133">
        <f>u_ChronicResp+u_CongnitiveImpairement</f>
        <v>17.805052694763283</v>
      </c>
      <c r="Y1655" s="133"/>
      <c r="Z1655" s="134">
        <f t="shared" si="132"/>
        <v>0</v>
      </c>
      <c r="AA1655" s="6">
        <f t="shared" si="131"/>
        <v>0</v>
      </c>
    </row>
    <row r="1656" spans="1:27" x14ac:dyDescent="0.3">
      <c r="A1656" s="10"/>
      <c r="B1656" s="10"/>
      <c r="C1656" s="10"/>
      <c r="D1656" s="10"/>
      <c r="E1656" s="10"/>
      <c r="F1656" s="41"/>
      <c r="G1656" s="64"/>
      <c r="H1656" s="64"/>
      <c r="I1656" s="64"/>
      <c r="J1656" s="64"/>
      <c r="K1656" s="64"/>
      <c r="L1656" s="64"/>
      <c r="M1656" s="64"/>
      <c r="N1656" s="64"/>
      <c r="O1656" s="57">
        <f>c_hypo</f>
        <v>2936.2604000000001</v>
      </c>
      <c r="P1656" s="64"/>
      <c r="Q1656" s="56">
        <f>Hypo2CI_4*RDS2CLD_4</f>
        <v>1.8531333333333334E-2</v>
      </c>
      <c r="R1656" s="56"/>
      <c r="S1656" s="129"/>
      <c r="T1656" s="105"/>
      <c r="U1656" s="133"/>
      <c r="V1656" s="133">
        <v>0</v>
      </c>
      <c r="W1656" s="133"/>
      <c r="X1656" s="133"/>
      <c r="Y1656" s="133"/>
      <c r="Z1656" s="134">
        <f t="shared" si="132"/>
        <v>0</v>
      </c>
      <c r="AA1656" s="6">
        <f t="shared" si="131"/>
        <v>0</v>
      </c>
    </row>
    <row r="1657" spans="1:27" x14ac:dyDescent="0.3">
      <c r="A1657" s="10"/>
      <c r="B1657" s="10"/>
      <c r="C1657" s="10"/>
      <c r="D1657" s="10"/>
      <c r="E1657" s="10"/>
      <c r="F1657" s="41"/>
      <c r="G1657" s="64"/>
      <c r="H1657" s="64"/>
      <c r="I1657" s="64"/>
      <c r="J1657" s="64"/>
      <c r="K1657" s="64"/>
      <c r="L1657" s="64"/>
      <c r="M1657" s="65"/>
      <c r="N1657" s="64"/>
      <c r="O1657" s="53"/>
      <c r="P1657" s="64"/>
      <c r="Q1657" s="57">
        <f>c_lung+c_cog+c_hosp_fu+c_CSG</f>
        <v>58348.510902399998</v>
      </c>
      <c r="R1657" s="57"/>
      <c r="S1657" s="129"/>
      <c r="T1657" s="105"/>
      <c r="U1657" s="133"/>
      <c r="V1657" s="133"/>
      <c r="W1657" s="133"/>
      <c r="X1657" s="133"/>
      <c r="Y1657" s="133"/>
      <c r="Z1657" s="134">
        <f t="shared" si="132"/>
        <v>0</v>
      </c>
      <c r="AA1657" s="6">
        <f t="shared" si="131"/>
        <v>0</v>
      </c>
    </row>
    <row r="1658" spans="1:27" x14ac:dyDescent="0.3">
      <c r="A1658" s="10"/>
      <c r="B1658" s="10"/>
      <c r="C1658" s="10"/>
      <c r="D1658" s="10"/>
      <c r="E1658" s="54" t="s">
        <v>11</v>
      </c>
      <c r="F1658" s="41"/>
      <c r="G1658" s="64"/>
      <c r="H1658" s="64"/>
      <c r="I1658" s="64"/>
      <c r="J1658" s="64"/>
      <c r="K1658" s="64"/>
      <c r="L1658" s="64"/>
      <c r="M1658" s="64"/>
      <c r="N1658" s="64"/>
      <c r="O1658" s="64"/>
      <c r="P1658" s="64"/>
      <c r="Q1658" s="54" t="s">
        <v>370</v>
      </c>
      <c r="R1658" s="54"/>
      <c r="S1658" s="129"/>
      <c r="T1658" s="105"/>
      <c r="U1658" s="133">
        <f>$K$1665*$I$1654*$G$1622*$E$1659*$C$1505*$A$1460*$M$1660*$O$1655*Q1659</f>
        <v>0</v>
      </c>
      <c r="V1658" s="133"/>
      <c r="W1658" s="134">
        <f>$K$1666+$I$1655+$G$1623+$E$1660+$C$1506+$A$1461+$M$1661+$O$1656+Q1660</f>
        <v>246586.63614820561</v>
      </c>
      <c r="X1658" s="133">
        <f>u_Healthy</f>
        <v>0</v>
      </c>
      <c r="Y1658" s="133"/>
      <c r="Z1658" s="134">
        <f t="shared" si="132"/>
        <v>0</v>
      </c>
      <c r="AA1658" s="6">
        <f t="shared" si="131"/>
        <v>0</v>
      </c>
    </row>
    <row r="1659" spans="1:27" x14ac:dyDescent="0.3">
      <c r="A1659" s="10"/>
      <c r="B1659" s="10"/>
      <c r="C1659" s="10"/>
      <c r="D1659" s="10"/>
      <c r="E1659" s="56">
        <f>LB2term_4</f>
        <v>0.82661996497373025</v>
      </c>
      <c r="F1659" s="41"/>
      <c r="G1659" s="64"/>
      <c r="H1659" s="64"/>
      <c r="I1659" s="64"/>
      <c r="J1659" s="64"/>
      <c r="K1659" s="64"/>
      <c r="L1659" s="64"/>
      <c r="M1659" s="54" t="s">
        <v>9</v>
      </c>
      <c r="N1659" s="64"/>
      <c r="O1659" s="64"/>
      <c r="P1659" s="64"/>
      <c r="Q1659" s="56">
        <f>1-Q1650-Q1653-Q1656</f>
        <v>0.60619800000000001</v>
      </c>
      <c r="R1659" s="56"/>
      <c r="S1659" s="129"/>
      <c r="T1659" s="105"/>
      <c r="U1659" s="133"/>
      <c r="V1659" s="133">
        <v>0</v>
      </c>
      <c r="W1659" s="133"/>
      <c r="X1659" s="133"/>
      <c r="Y1659" s="133"/>
      <c r="Z1659" s="134">
        <f t="shared" si="132"/>
        <v>0</v>
      </c>
      <c r="AA1659" s="6">
        <f t="shared" si="131"/>
        <v>0</v>
      </c>
    </row>
    <row r="1660" spans="1:27" x14ac:dyDescent="0.3">
      <c r="A1660" s="10"/>
      <c r="B1660" s="10"/>
      <c r="C1660" s="10"/>
      <c r="D1660" s="10"/>
      <c r="E1660" s="57"/>
      <c r="F1660" s="41"/>
      <c r="G1660" s="64"/>
      <c r="H1660" s="64"/>
      <c r="I1660" s="64"/>
      <c r="J1660" s="64"/>
      <c r="K1660" s="65"/>
      <c r="L1660" s="64"/>
      <c r="M1660" s="56">
        <f>S_term_2RDS_4</f>
        <v>0</v>
      </c>
      <c r="N1660" s="64"/>
      <c r="O1660" s="64"/>
      <c r="P1660" s="64"/>
      <c r="Q1660" s="57">
        <f>c_clinic_fu+c_CSG</f>
        <v>14403</v>
      </c>
      <c r="R1660" s="57"/>
      <c r="S1660" s="129"/>
      <c r="T1660" s="105"/>
      <c r="U1660" s="133"/>
      <c r="V1660" s="133"/>
      <c r="W1660" s="133"/>
      <c r="X1660" s="133"/>
      <c r="Y1660" s="133"/>
      <c r="Z1660" s="134">
        <f t="shared" si="132"/>
        <v>0</v>
      </c>
      <c r="AA1660" s="6">
        <f t="shared" si="131"/>
        <v>0</v>
      </c>
    </row>
    <row r="1661" spans="1:27" x14ac:dyDescent="0.3">
      <c r="A1661" s="10"/>
      <c r="B1661" s="10"/>
      <c r="C1661" s="10"/>
      <c r="D1661" s="10"/>
      <c r="E1661" s="10"/>
      <c r="F1661" s="41"/>
      <c r="G1661" s="64"/>
      <c r="H1661" s="64"/>
      <c r="I1661" s="64"/>
      <c r="J1661" s="64"/>
      <c r="K1661" s="65"/>
      <c r="L1661" s="64"/>
      <c r="M1661" s="57">
        <f>c_RDS</f>
        <v>30595.610148205637</v>
      </c>
      <c r="N1661" s="64"/>
      <c r="O1661" s="64"/>
      <c r="P1661" s="64"/>
      <c r="Q1661" s="65"/>
      <c r="R1661" s="65"/>
      <c r="S1661" s="129"/>
      <c r="T1661" s="105"/>
      <c r="U1661" s="133"/>
      <c r="V1661" s="133"/>
      <c r="W1661" s="133"/>
      <c r="X1661" s="133"/>
      <c r="Y1661" s="133"/>
      <c r="Z1661" s="134">
        <f t="shared" si="132"/>
        <v>0</v>
      </c>
      <c r="AA1661" s="6">
        <f t="shared" si="131"/>
        <v>0</v>
      </c>
    </row>
    <row r="1662" spans="1:27" x14ac:dyDescent="0.3">
      <c r="A1662" s="10"/>
      <c r="B1662" s="10"/>
      <c r="C1662" s="10"/>
      <c r="D1662" s="10"/>
      <c r="E1662" s="10"/>
      <c r="F1662" s="41"/>
      <c r="G1662" s="64"/>
      <c r="H1662" s="64"/>
      <c r="I1662" s="64"/>
      <c r="J1662" s="64"/>
      <c r="K1662" s="64"/>
      <c r="L1662" s="64"/>
      <c r="M1662" s="64"/>
      <c r="N1662" s="64"/>
      <c r="O1662" s="64"/>
      <c r="P1662" s="64"/>
      <c r="Q1662" s="54" t="s">
        <v>368</v>
      </c>
      <c r="R1662" s="54"/>
      <c r="S1662" s="129"/>
      <c r="T1662" s="105"/>
      <c r="U1662" s="133">
        <f>$K$1665*$I$1654*$G$1622*$E$1659*$C$1505*$A$1460*$M$1660*$O$1665*Q1663</f>
        <v>0</v>
      </c>
      <c r="V1662" s="133"/>
      <c r="W1662" s="134">
        <f>$K$1666+$I$1655+$G$1623+$E$1660+$C$1506+$A$1461+$M$1661+$O$1666+Q1664</f>
        <v>283776.88665060559</v>
      </c>
      <c r="X1662" s="133">
        <f>u_ChronicResp</f>
        <v>0.53465956747782661</v>
      </c>
      <c r="Y1662" s="133"/>
      <c r="Z1662" s="134">
        <f t="shared" si="132"/>
        <v>0</v>
      </c>
      <c r="AA1662" s="6">
        <f t="shared" si="131"/>
        <v>0</v>
      </c>
    </row>
    <row r="1663" spans="1:27" x14ac:dyDescent="0.3">
      <c r="A1663" s="10"/>
      <c r="B1663" s="10"/>
      <c r="C1663" s="10"/>
      <c r="D1663" s="10"/>
      <c r="E1663" s="10"/>
      <c r="F1663" s="41"/>
      <c r="G1663" s="64"/>
      <c r="H1663" s="64"/>
      <c r="I1663" s="64"/>
      <c r="J1663" s="64"/>
      <c r="K1663" s="64"/>
      <c r="L1663" s="64"/>
      <c r="M1663" s="64"/>
      <c r="N1663" s="64"/>
      <c r="O1663" s="64"/>
      <c r="P1663" s="64"/>
      <c r="Q1663" s="56">
        <f>RDS2CLD_4-(RDS2CLD_4*noHypo2CI_4)</f>
        <v>0.34905610687022898</v>
      </c>
      <c r="R1663" s="56"/>
      <c r="S1663" s="129"/>
      <c r="T1663" s="105"/>
      <c r="U1663" s="133"/>
      <c r="V1663" s="133">
        <v>0</v>
      </c>
      <c r="W1663" s="133"/>
      <c r="X1663" s="133"/>
      <c r="Y1663" s="133"/>
      <c r="Z1663" s="134">
        <f t="shared" si="132"/>
        <v>0</v>
      </c>
      <c r="AA1663" s="6">
        <f t="shared" si="131"/>
        <v>0</v>
      </c>
    </row>
    <row r="1664" spans="1:27" x14ac:dyDescent="0.3">
      <c r="A1664" s="10"/>
      <c r="B1664" s="10"/>
      <c r="C1664" s="10"/>
      <c r="D1664" s="10"/>
      <c r="E1664" s="10"/>
      <c r="F1664" s="41"/>
      <c r="G1664" s="64"/>
      <c r="H1664" s="64"/>
      <c r="I1664" s="64"/>
      <c r="J1664" s="64"/>
      <c r="K1664" s="54" t="s">
        <v>37</v>
      </c>
      <c r="L1664" s="64"/>
      <c r="M1664" s="65"/>
      <c r="N1664" s="64"/>
      <c r="O1664" s="54" t="s">
        <v>371</v>
      </c>
      <c r="P1664" s="64"/>
      <c r="Q1664" s="57">
        <f>c_lung+c_hosp_fu+c_CSG</f>
        <v>54529.510902399998</v>
      </c>
      <c r="R1664" s="57"/>
      <c r="S1664" s="129"/>
      <c r="T1664" s="105"/>
      <c r="U1664" s="133"/>
      <c r="V1664" s="133"/>
      <c r="W1664" s="133"/>
      <c r="X1664" s="133"/>
      <c r="Y1664" s="133"/>
      <c r="Z1664" s="134">
        <f t="shared" si="132"/>
        <v>0</v>
      </c>
      <c r="AA1664" s="6">
        <f t="shared" si="131"/>
        <v>0</v>
      </c>
    </row>
    <row r="1665" spans="1:27" x14ac:dyDescent="0.3">
      <c r="A1665" s="10"/>
      <c r="B1665" s="10"/>
      <c r="C1665" s="10"/>
      <c r="D1665" s="10"/>
      <c r="E1665" s="10"/>
      <c r="F1665" s="41"/>
      <c r="G1665" s="64"/>
      <c r="H1665" s="64"/>
      <c r="I1665" s="64"/>
      <c r="J1665" s="64"/>
      <c r="K1665" s="56">
        <f>AGA_term_2s_4</f>
        <v>0.99376666666666669</v>
      </c>
      <c r="L1665" s="64"/>
      <c r="M1665" s="64"/>
      <c r="N1665" s="64"/>
      <c r="O1665" s="56">
        <f>AGA_term_2normoglycaemia_4</f>
        <v>1</v>
      </c>
      <c r="P1665" s="64"/>
      <c r="Q1665" s="54" t="s">
        <v>226</v>
      </c>
      <c r="R1665" s="54"/>
      <c r="S1665" s="129"/>
      <c r="T1665" s="105"/>
      <c r="U1665" s="133">
        <f>$K$1665*$I$1654*$G$1622*$E$1659*$C$1505*$A$1460*$M$1660*$O$1665*Q1666</f>
        <v>0</v>
      </c>
      <c r="V1665" s="133"/>
      <c r="W1665" s="134">
        <f>$K$1666+$I$1655+$G$1623+$E$1660+$C$1506+$A$1461+$M$1661+$O$1666+Q1667</f>
        <v>245013.37574820561</v>
      </c>
      <c r="X1665" s="133">
        <f>u_CongnitiveImpairement</f>
        <v>17.270393127285455</v>
      </c>
      <c r="Y1665" s="133"/>
      <c r="Z1665" s="134">
        <f t="shared" si="132"/>
        <v>0</v>
      </c>
      <c r="AA1665" s="6">
        <f t="shared" si="131"/>
        <v>0</v>
      </c>
    </row>
    <row r="1666" spans="1:27" x14ac:dyDescent="0.3">
      <c r="A1666" s="10"/>
      <c r="B1666" s="10"/>
      <c r="C1666" s="10"/>
      <c r="D1666" s="10"/>
      <c r="E1666" s="10"/>
      <c r="F1666" s="41"/>
      <c r="G1666" s="64"/>
      <c r="H1666" s="64"/>
      <c r="I1666" s="64"/>
      <c r="J1666" s="64"/>
      <c r="K1666" s="57"/>
      <c r="L1666" s="64"/>
      <c r="M1666" s="64"/>
      <c r="N1666" s="64"/>
      <c r="O1666" s="57"/>
      <c r="P1666" s="64"/>
      <c r="Q1666" s="56">
        <f>noHypo2CI_4-(RDS2CLD_4*noHypo2CI_4)</f>
        <v>2.1141683406990762E-2</v>
      </c>
      <c r="R1666" s="56"/>
      <c r="S1666" s="129"/>
      <c r="T1666" s="105"/>
      <c r="U1666" s="133"/>
      <c r="V1666" s="133">
        <v>0</v>
      </c>
      <c r="W1666" s="133"/>
      <c r="X1666" s="133"/>
      <c r="Y1666" s="133"/>
      <c r="Z1666" s="134">
        <f t="shared" si="132"/>
        <v>0</v>
      </c>
      <c r="AA1666" s="6">
        <f t="shared" si="131"/>
        <v>0</v>
      </c>
    </row>
    <row r="1667" spans="1:27" x14ac:dyDescent="0.3">
      <c r="A1667" s="10"/>
      <c r="B1667" s="10"/>
      <c r="C1667" s="10"/>
      <c r="D1667" s="10"/>
      <c r="E1667" s="10"/>
      <c r="F1667" s="41"/>
      <c r="G1667" s="41"/>
      <c r="H1667" s="64"/>
      <c r="I1667" s="64"/>
      <c r="J1667" s="64"/>
      <c r="K1667" s="64"/>
      <c r="L1667" s="64"/>
      <c r="M1667" s="64"/>
      <c r="N1667" s="64"/>
      <c r="O1667" s="53"/>
      <c r="P1667" s="64"/>
      <c r="Q1667" s="57">
        <f>c_cog+c_hosp_fu+c_CSG</f>
        <v>15766</v>
      </c>
      <c r="R1667" s="57"/>
      <c r="S1667" s="129"/>
      <c r="T1667" s="105"/>
      <c r="U1667" s="133"/>
      <c r="V1667" s="133"/>
      <c r="W1667" s="133"/>
      <c r="X1667" s="133"/>
      <c r="Y1667" s="133"/>
      <c r="Z1667" s="134">
        <f t="shared" si="132"/>
        <v>0</v>
      </c>
      <c r="AA1667" s="6">
        <f t="shared" si="131"/>
        <v>0</v>
      </c>
    </row>
    <row r="1668" spans="1:27" x14ac:dyDescent="0.3">
      <c r="A1668" s="10"/>
      <c r="B1668" s="10"/>
      <c r="C1668" s="10"/>
      <c r="D1668" s="10"/>
      <c r="E1668" s="10"/>
      <c r="F1668" s="41"/>
      <c r="G1668" s="41"/>
      <c r="H1668" s="64"/>
      <c r="I1668" s="64"/>
      <c r="J1668" s="64"/>
      <c r="K1668" s="64"/>
      <c r="L1668" s="64"/>
      <c r="M1668" s="64"/>
      <c r="N1668" s="64"/>
      <c r="O1668" s="53"/>
      <c r="P1668" s="64"/>
      <c r="Q1668" s="54" t="s">
        <v>369</v>
      </c>
      <c r="R1668" s="54"/>
      <c r="S1668" s="129"/>
      <c r="T1668" s="105"/>
      <c r="U1668" s="133">
        <f>$K$1665*$I$1654*$G$1622*$E$1659*$C$1505*$A$1460*$M$1660*$O$1665*Q1669</f>
        <v>0</v>
      </c>
      <c r="V1668" s="133"/>
      <c r="W1668" s="134">
        <f>$K$1666+$I$1655+$G$1623+$E$1660+$C$1506+$A$1461+$M$1661+$O$1666+Q1670</f>
        <v>287595.88665060559</v>
      </c>
      <c r="X1668" s="133">
        <f>u_ChronicResp+u_CongnitiveImpairement</f>
        <v>17.805052694763283</v>
      </c>
      <c r="Y1668" s="133"/>
      <c r="Z1668" s="134">
        <f t="shared" si="132"/>
        <v>0</v>
      </c>
      <c r="AA1668" s="6">
        <f t="shared" si="131"/>
        <v>0</v>
      </c>
    </row>
    <row r="1669" spans="1:27" x14ac:dyDescent="0.3">
      <c r="A1669" s="10"/>
      <c r="B1669" s="10"/>
      <c r="C1669" s="10"/>
      <c r="D1669" s="10"/>
      <c r="E1669" s="10"/>
      <c r="F1669" s="41"/>
      <c r="G1669" s="41"/>
      <c r="H1669" s="64"/>
      <c r="I1669" s="64"/>
      <c r="J1669" s="64"/>
      <c r="K1669" s="64"/>
      <c r="L1669" s="64"/>
      <c r="M1669" s="64"/>
      <c r="N1669" s="64"/>
      <c r="O1669" s="53"/>
      <c r="P1669" s="64"/>
      <c r="Q1669" s="56">
        <f>RDS2CLD_4*noHypo2CI_4</f>
        <v>1.1943893129770991E-2</v>
      </c>
      <c r="R1669" s="56"/>
      <c r="S1669" s="129"/>
      <c r="T1669" s="105"/>
      <c r="U1669" s="133"/>
      <c r="V1669" s="133">
        <v>0</v>
      </c>
      <c r="W1669" s="133"/>
      <c r="X1669" s="133"/>
      <c r="Y1669" s="133"/>
      <c r="Z1669" s="134">
        <f t="shared" si="132"/>
        <v>0</v>
      </c>
      <c r="AA1669" s="6">
        <f t="shared" si="131"/>
        <v>0</v>
      </c>
    </row>
    <row r="1670" spans="1:27" x14ac:dyDescent="0.3">
      <c r="A1670" s="10"/>
      <c r="B1670" s="10"/>
      <c r="C1670" s="10"/>
      <c r="D1670" s="10"/>
      <c r="E1670" s="10"/>
      <c r="F1670" s="41"/>
      <c r="G1670" s="64"/>
      <c r="H1670" s="64"/>
      <c r="I1670" s="64"/>
      <c r="J1670" s="64"/>
      <c r="K1670" s="64"/>
      <c r="L1670" s="64"/>
      <c r="M1670" s="64"/>
      <c r="N1670" s="64"/>
      <c r="O1670" s="53"/>
      <c r="P1670" s="64"/>
      <c r="Q1670" s="57">
        <f>c_cog+c_lung+c_hosp_fu+c_CSG</f>
        <v>58348.510902399998</v>
      </c>
      <c r="R1670" s="57"/>
      <c r="S1670" s="129"/>
      <c r="T1670" s="105"/>
      <c r="U1670" s="133"/>
      <c r="V1670" s="133"/>
      <c r="W1670" s="133"/>
      <c r="X1670" s="133"/>
      <c r="Y1670" s="133"/>
      <c r="Z1670" s="134">
        <f t="shared" si="132"/>
        <v>0</v>
      </c>
      <c r="AA1670" s="6">
        <f t="shared" si="131"/>
        <v>0</v>
      </c>
    </row>
    <row r="1671" spans="1:27" x14ac:dyDescent="0.3">
      <c r="A1671" s="10"/>
      <c r="B1671" s="10"/>
      <c r="C1671" s="10"/>
      <c r="D1671" s="10"/>
      <c r="E1671" s="10"/>
      <c r="F1671" s="41"/>
      <c r="G1671" s="64"/>
      <c r="H1671" s="64"/>
      <c r="I1671" s="64"/>
      <c r="J1671" s="64"/>
      <c r="K1671" s="64"/>
      <c r="L1671" s="64"/>
      <c r="M1671" s="64"/>
      <c r="N1671" s="64"/>
      <c r="O1671" s="53"/>
      <c r="P1671" s="64"/>
      <c r="Q1671" s="54" t="s">
        <v>370</v>
      </c>
      <c r="R1671" s="54"/>
      <c r="T1671" s="105"/>
      <c r="U1671" s="133">
        <f>$K$1665*$I$1654*$G$1622*$E$1659*$C$1505*$A$1460*$M$1660*$O$1665*Q1672</f>
        <v>0</v>
      </c>
      <c r="V1671" s="133"/>
      <c r="W1671" s="134">
        <f>$K$1666+$I$1655+$G$1623+$E$1660+$C$1506+$A$1461+$M$1661+$O$1666+Q1673</f>
        <v>243650.37574820561</v>
      </c>
      <c r="X1671" s="133">
        <f>u_Healthy</f>
        <v>0</v>
      </c>
      <c r="Y1671" s="133"/>
      <c r="Z1671" s="134">
        <f t="shared" si="132"/>
        <v>0</v>
      </c>
      <c r="AA1671" s="6">
        <f t="shared" si="131"/>
        <v>0</v>
      </c>
    </row>
    <row r="1672" spans="1:27" x14ac:dyDescent="0.3">
      <c r="A1672" s="10"/>
      <c r="B1672" s="10"/>
      <c r="C1672" s="10"/>
      <c r="D1672" s="10"/>
      <c r="E1672" s="10"/>
      <c r="F1672" s="41"/>
      <c r="G1672" s="64"/>
      <c r="H1672" s="64"/>
      <c r="I1672" s="64"/>
      <c r="J1672" s="64"/>
      <c r="K1672" s="64"/>
      <c r="L1672" s="64"/>
      <c r="M1672" s="64"/>
      <c r="N1672" s="64"/>
      <c r="O1672" s="53"/>
      <c r="P1672" s="64"/>
      <c r="Q1672" s="56">
        <f>1-Q1669-Q1666-Q1663</f>
        <v>0.61785831659300938</v>
      </c>
      <c r="R1672" s="56"/>
      <c r="S1672" s="129"/>
      <c r="T1672" s="105"/>
      <c r="U1672" s="133"/>
      <c r="V1672" s="133">
        <v>0</v>
      </c>
      <c r="W1672" s="133"/>
      <c r="X1672" s="133"/>
      <c r="Y1672" s="133"/>
      <c r="Z1672" s="134">
        <f t="shared" si="132"/>
        <v>0</v>
      </c>
      <c r="AA1672" s="6">
        <f t="shared" si="131"/>
        <v>0</v>
      </c>
    </row>
    <row r="1673" spans="1:27" x14ac:dyDescent="0.3">
      <c r="A1673" s="10"/>
      <c r="B1673" s="10"/>
      <c r="C1673" s="10"/>
      <c r="D1673" s="10"/>
      <c r="E1673" s="10"/>
      <c r="F1673" s="41"/>
      <c r="G1673" s="64"/>
      <c r="H1673" s="64"/>
      <c r="I1673" s="64"/>
      <c r="J1673" s="64"/>
      <c r="K1673" s="64"/>
      <c r="L1673" s="64"/>
      <c r="M1673" s="64"/>
      <c r="N1673" s="64"/>
      <c r="O1673" s="64"/>
      <c r="P1673" s="64"/>
      <c r="Q1673" s="57">
        <f>c_clinic_fu+c_CSG</f>
        <v>14403</v>
      </c>
      <c r="R1673" s="57"/>
      <c r="S1673" s="129"/>
      <c r="T1673" s="105"/>
      <c r="U1673" s="133"/>
      <c r="V1673" s="133"/>
      <c r="W1673" s="133"/>
      <c r="X1673" s="133"/>
      <c r="Y1673" s="133"/>
      <c r="Z1673" s="134">
        <f t="shared" si="132"/>
        <v>0</v>
      </c>
      <c r="AA1673" s="6">
        <f t="shared" si="131"/>
        <v>0</v>
      </c>
    </row>
    <row r="1674" spans="1:27" x14ac:dyDescent="0.3">
      <c r="A1674" s="10"/>
      <c r="B1674" s="10"/>
      <c r="C1674" s="10"/>
      <c r="D1674" s="10"/>
      <c r="E1674" s="10"/>
      <c r="F1674" s="41"/>
      <c r="G1674" s="64"/>
      <c r="H1674" s="64"/>
      <c r="I1674" s="64"/>
      <c r="J1674" s="64"/>
      <c r="K1674" s="64"/>
      <c r="L1674" s="64"/>
      <c r="M1674" s="64"/>
      <c r="N1674" s="64"/>
      <c r="O1674" s="64"/>
      <c r="P1674" s="64"/>
      <c r="Q1674" s="65"/>
      <c r="R1674" s="65"/>
      <c r="S1674" s="129"/>
      <c r="T1674" s="105"/>
      <c r="U1674" s="133"/>
      <c r="V1674" s="133"/>
      <c r="W1674" s="133"/>
      <c r="X1674" s="133"/>
      <c r="Y1674" s="133"/>
      <c r="Z1674" s="134">
        <f t="shared" si="132"/>
        <v>0</v>
      </c>
      <c r="AA1674" s="6">
        <f t="shared" si="131"/>
        <v>0</v>
      </c>
    </row>
    <row r="1675" spans="1:27" x14ac:dyDescent="0.3">
      <c r="A1675" s="10"/>
      <c r="B1675" s="10"/>
      <c r="C1675" s="10"/>
      <c r="D1675" s="10"/>
      <c r="E1675" s="10"/>
      <c r="F1675" s="41"/>
      <c r="G1675" s="64"/>
      <c r="H1675" s="64"/>
      <c r="I1675" s="64"/>
      <c r="J1675" s="64"/>
      <c r="K1675" s="64"/>
      <c r="L1675" s="64"/>
      <c r="M1675" s="64"/>
      <c r="N1675" s="64"/>
      <c r="O1675" s="64"/>
      <c r="P1675" s="64"/>
      <c r="Q1675" s="54" t="s">
        <v>368</v>
      </c>
      <c r="R1675" s="54"/>
      <c r="S1675" s="129"/>
      <c r="T1675" s="105"/>
      <c r="U1675" s="133">
        <f>$K$1665*$I$1654*$G$1622*$E$1659*$C$1505*$A$1460*$M$1680*$O$1678*Q1676</f>
        <v>0</v>
      </c>
      <c r="V1675" s="133"/>
      <c r="W1675" s="134">
        <f>$K$1666+$I$1655+$G$1623+$E$1660+$C$1506+$A$1461+$M$1681+$O$1679+Q1677</f>
        <v>256117.53690239997</v>
      </c>
      <c r="X1675" s="133">
        <f>u_ChronicResp</f>
        <v>0.53465956747782661</v>
      </c>
      <c r="Y1675" s="133"/>
      <c r="Z1675" s="134">
        <f t="shared" si="132"/>
        <v>0</v>
      </c>
      <c r="AA1675" s="6">
        <f t="shared" si="131"/>
        <v>0</v>
      </c>
    </row>
    <row r="1676" spans="1:27" x14ac:dyDescent="0.3">
      <c r="A1676" s="10"/>
      <c r="B1676" s="10"/>
      <c r="C1676" s="10"/>
      <c r="D1676" s="10"/>
      <c r="E1676" s="10"/>
      <c r="F1676" s="41"/>
      <c r="G1676" s="64"/>
      <c r="H1676" s="64"/>
      <c r="I1676" s="64"/>
      <c r="J1676" s="64"/>
      <c r="K1676" s="64"/>
      <c r="L1676" s="64"/>
      <c r="M1676" s="64"/>
      <c r="N1676" s="64"/>
      <c r="O1676" s="64"/>
      <c r="P1676" s="64"/>
      <c r="Q1676" s="56">
        <f>RDS2CLD_4-(Hypo2CI_4*RDS2CLD_4)</f>
        <v>0.34246866666666664</v>
      </c>
      <c r="R1676" s="56"/>
      <c r="S1676" s="129"/>
      <c r="T1676" s="105"/>
      <c r="U1676" s="133"/>
      <c r="V1676" s="133">
        <v>0</v>
      </c>
      <c r="W1676" s="133"/>
      <c r="X1676" s="133"/>
      <c r="Y1676" s="133"/>
      <c r="Z1676" s="134">
        <f t="shared" si="132"/>
        <v>0</v>
      </c>
      <c r="AA1676" s="6">
        <f t="shared" si="131"/>
        <v>0</v>
      </c>
    </row>
    <row r="1677" spans="1:27" x14ac:dyDescent="0.3">
      <c r="A1677" s="10"/>
      <c r="B1677" s="10"/>
      <c r="C1677" s="10"/>
      <c r="D1677" s="10"/>
      <c r="E1677" s="10"/>
      <c r="F1677" s="41"/>
      <c r="G1677" s="64"/>
      <c r="H1677" s="64"/>
      <c r="I1677" s="64"/>
      <c r="J1677" s="64"/>
      <c r="K1677" s="64"/>
      <c r="L1677" s="64"/>
      <c r="M1677" s="64"/>
      <c r="N1677" s="64"/>
      <c r="O1677" s="54" t="s">
        <v>161</v>
      </c>
      <c r="P1677" s="64"/>
      <c r="Q1677" s="57">
        <f>c_lung+c_hosp_fu+c_CSG</f>
        <v>54529.510902399998</v>
      </c>
      <c r="R1677" s="57"/>
      <c r="S1677" s="129"/>
      <c r="T1677" s="105"/>
      <c r="U1677" s="133"/>
      <c r="V1677" s="133"/>
      <c r="W1677" s="133"/>
      <c r="X1677" s="133"/>
      <c r="Y1677" s="133"/>
      <c r="Z1677" s="134">
        <f t="shared" si="132"/>
        <v>0</v>
      </c>
      <c r="AA1677" s="6">
        <f t="shared" ref="AA1677:AA1740" si="133">U1677*X1677</f>
        <v>0</v>
      </c>
    </row>
    <row r="1678" spans="1:27" x14ac:dyDescent="0.3">
      <c r="A1678" s="10"/>
      <c r="B1678" s="10"/>
      <c r="C1678" s="10"/>
      <c r="D1678" s="10"/>
      <c r="E1678" s="10"/>
      <c r="F1678" s="41"/>
      <c r="G1678" s="64"/>
      <c r="H1678" s="64"/>
      <c r="I1678" s="64"/>
      <c r="J1678" s="64"/>
      <c r="K1678" s="64"/>
      <c r="L1678" s="64"/>
      <c r="M1678" s="64"/>
      <c r="N1678" s="64"/>
      <c r="O1678" s="56">
        <f>AGA_term_2hypoglycaemia_4</f>
        <v>0</v>
      </c>
      <c r="P1678" s="64"/>
      <c r="Q1678" s="54" t="s">
        <v>226</v>
      </c>
      <c r="R1678" s="54"/>
      <c r="S1678" s="129"/>
      <c r="T1678" s="105"/>
      <c r="U1678" s="133">
        <f>$K$1665*$I$1654*$G$1622*$E$1659*$C$1505*$A$1460*$M$1680*$O$1678*Q1679</f>
        <v>0</v>
      </c>
      <c r="V1678" s="133"/>
      <c r="W1678" s="134">
        <f>$K$1666+$I$1655+$G$1623+$E$1660+$C$1506+$A$1461+$M$1681+$O$1679+Q1680</f>
        <v>217354.02599999998</v>
      </c>
      <c r="X1678" s="133">
        <f>u_CongnitiveImpairement</f>
        <v>17.270393127285455</v>
      </c>
      <c r="Y1678" s="133"/>
      <c r="Z1678" s="134">
        <f t="shared" si="132"/>
        <v>0</v>
      </c>
      <c r="AA1678" s="6">
        <f t="shared" si="133"/>
        <v>0</v>
      </c>
    </row>
    <row r="1679" spans="1:27" x14ac:dyDescent="0.3">
      <c r="A1679" s="10"/>
      <c r="B1679" s="10"/>
      <c r="C1679" s="10"/>
      <c r="D1679" s="10"/>
      <c r="E1679" s="10"/>
      <c r="F1679" s="41"/>
      <c r="G1679" s="64"/>
      <c r="H1679" s="64"/>
      <c r="I1679" s="64"/>
      <c r="J1679" s="64"/>
      <c r="K1679" s="64"/>
      <c r="L1679" s="64"/>
      <c r="M1679" s="54" t="s">
        <v>203</v>
      </c>
      <c r="N1679" s="64"/>
      <c r="O1679" s="57">
        <f>c_hypo</f>
        <v>2936.2604000000001</v>
      </c>
      <c r="P1679" s="64"/>
      <c r="Q1679" s="56">
        <f>Hypo2CI_4-(Hypo2CI_4*RDS2CLD_4)</f>
        <v>3.2801999999999998E-2</v>
      </c>
      <c r="R1679" s="56"/>
      <c r="S1679" s="129"/>
      <c r="T1679" s="105"/>
      <c r="U1679" s="133"/>
      <c r="V1679" s="133">
        <v>0</v>
      </c>
      <c r="W1679" s="133"/>
      <c r="X1679" s="133"/>
      <c r="Y1679" s="133"/>
      <c r="Z1679" s="134">
        <f t="shared" ref="Z1679:Z1742" si="134">U1679*W1679</f>
        <v>0</v>
      </c>
      <c r="AA1679" s="6">
        <f t="shared" si="133"/>
        <v>0</v>
      </c>
    </row>
    <row r="1680" spans="1:27" x14ac:dyDescent="0.3">
      <c r="A1680" s="10"/>
      <c r="B1680" s="10"/>
      <c r="C1680" s="10"/>
      <c r="D1680" s="10"/>
      <c r="E1680" s="10"/>
      <c r="F1680" s="41"/>
      <c r="G1680" s="64"/>
      <c r="H1680" s="64"/>
      <c r="I1680" s="64"/>
      <c r="J1680" s="64"/>
      <c r="K1680" s="64"/>
      <c r="L1680" s="64"/>
      <c r="M1680" s="56">
        <f>S_term_2noRDS_4</f>
        <v>1</v>
      </c>
      <c r="N1680" s="64"/>
      <c r="O1680" s="53"/>
      <c r="P1680" s="64"/>
      <c r="Q1680" s="57">
        <f>c_cog+c_hosp_fu+c_CSG</f>
        <v>15766</v>
      </c>
      <c r="R1680" s="57"/>
      <c r="S1680" s="129"/>
      <c r="T1680" s="105"/>
      <c r="U1680" s="133"/>
      <c r="V1680" s="133"/>
      <c r="W1680" s="133"/>
      <c r="X1680" s="133"/>
      <c r="Y1680" s="133"/>
      <c r="Z1680" s="134">
        <f t="shared" si="134"/>
        <v>0</v>
      </c>
      <c r="AA1680" s="6">
        <f t="shared" si="133"/>
        <v>0</v>
      </c>
    </row>
    <row r="1681" spans="1:27" x14ac:dyDescent="0.3">
      <c r="A1681" s="10"/>
      <c r="B1681" s="10"/>
      <c r="C1681" s="10"/>
      <c r="D1681" s="10"/>
      <c r="E1681" s="10"/>
      <c r="F1681" s="41"/>
      <c r="G1681" s="64"/>
      <c r="H1681" s="64"/>
      <c r="I1681" s="64"/>
      <c r="J1681" s="64"/>
      <c r="K1681" s="64"/>
      <c r="L1681" s="64"/>
      <c r="M1681" s="57"/>
      <c r="N1681" s="64"/>
      <c r="O1681" s="65"/>
      <c r="P1681" s="64"/>
      <c r="Q1681" s="54" t="s">
        <v>369</v>
      </c>
      <c r="R1681" s="54"/>
      <c r="S1681" s="129"/>
      <c r="T1681" s="105"/>
      <c r="U1681" s="133">
        <f>$K$1665*$I$1654*$G$1622*$E$1659*$C$1505*$A$1460*$M$1680*$O$1678*Q1682</f>
        <v>0</v>
      </c>
      <c r="V1681" s="133"/>
      <c r="W1681" s="134">
        <f>$K$1666+$I$1655+$G$1623+$E$1660+$C$1506+$A$1461+$M$1681+$O$1679+Q1683</f>
        <v>259936.53690239997</v>
      </c>
      <c r="X1681" s="133">
        <f>u_ChronicResp+u_CongnitiveImpairement</f>
        <v>17.805052694763283</v>
      </c>
      <c r="Y1681" s="133"/>
      <c r="Z1681" s="134">
        <f t="shared" si="134"/>
        <v>0</v>
      </c>
      <c r="AA1681" s="6">
        <f t="shared" si="133"/>
        <v>0</v>
      </c>
    </row>
    <row r="1682" spans="1:27" x14ac:dyDescent="0.3">
      <c r="A1682" s="10"/>
      <c r="B1682" s="10"/>
      <c r="C1682" s="10"/>
      <c r="D1682" s="10"/>
      <c r="E1682" s="10"/>
      <c r="F1682" s="41"/>
      <c r="G1682" s="64"/>
      <c r="H1682" s="64"/>
      <c r="I1682" s="53"/>
      <c r="J1682" s="53"/>
      <c r="K1682" s="64"/>
      <c r="L1682" s="64"/>
      <c r="M1682" s="65"/>
      <c r="N1682" s="64"/>
      <c r="O1682" s="41"/>
      <c r="P1682" s="64"/>
      <c r="Q1682" s="56">
        <f>Hypo2CI_4*RDS2CLD_4</f>
        <v>1.8531333333333334E-2</v>
      </c>
      <c r="R1682" s="56"/>
      <c r="S1682" s="129"/>
      <c r="T1682" s="105"/>
      <c r="U1682" s="133"/>
      <c r="V1682" s="133">
        <v>0</v>
      </c>
      <c r="W1682" s="133"/>
      <c r="X1682" s="133"/>
      <c r="Y1682" s="133"/>
      <c r="Z1682" s="134">
        <f t="shared" si="134"/>
        <v>0</v>
      </c>
      <c r="AA1682" s="6">
        <f t="shared" si="133"/>
        <v>0</v>
      </c>
    </row>
    <row r="1683" spans="1:27" x14ac:dyDescent="0.3">
      <c r="A1683" s="10"/>
      <c r="B1683" s="10"/>
      <c r="C1683" s="10"/>
      <c r="D1683" s="10"/>
      <c r="E1683" s="10"/>
      <c r="F1683" s="41"/>
      <c r="G1683" s="64"/>
      <c r="H1683" s="64"/>
      <c r="I1683" s="53"/>
      <c r="J1683" s="53"/>
      <c r="K1683" s="64"/>
      <c r="L1683" s="64"/>
      <c r="M1683" s="65"/>
      <c r="N1683" s="64"/>
      <c r="O1683" s="41"/>
      <c r="P1683" s="64"/>
      <c r="Q1683" s="57">
        <f>c_lung+c_cog+c_hosp_fu+c_CSG</f>
        <v>58348.510902399998</v>
      </c>
      <c r="R1683" s="57"/>
      <c r="S1683" s="129"/>
      <c r="T1683" s="105"/>
      <c r="U1683" s="133"/>
      <c r="V1683" s="133"/>
      <c r="W1683" s="133"/>
      <c r="X1683" s="133"/>
      <c r="Y1683" s="133"/>
      <c r="Z1683" s="134">
        <f t="shared" si="134"/>
        <v>0</v>
      </c>
      <c r="AA1683" s="6">
        <f t="shared" si="133"/>
        <v>0</v>
      </c>
    </row>
    <row r="1684" spans="1:27" x14ac:dyDescent="0.3">
      <c r="A1684" s="10"/>
      <c r="B1684" s="10"/>
      <c r="C1684" s="10"/>
      <c r="D1684" s="10"/>
      <c r="E1684" s="10"/>
      <c r="F1684" s="41"/>
      <c r="G1684" s="64"/>
      <c r="H1684" s="64"/>
      <c r="I1684" s="53"/>
      <c r="J1684" s="53"/>
      <c r="K1684" s="64"/>
      <c r="L1684" s="64"/>
      <c r="M1684" s="65"/>
      <c r="N1684" s="64"/>
      <c r="O1684" s="41"/>
      <c r="P1684" s="64"/>
      <c r="Q1684" s="54" t="s">
        <v>370</v>
      </c>
      <c r="R1684" s="54"/>
      <c r="T1684" s="105"/>
      <c r="U1684" s="133">
        <f>$K$1665*$I$1654*$G$1622*$E$1659*$C$1505*$A$1460*$M$1680*$O$1678*Q1685</f>
        <v>0</v>
      </c>
      <c r="V1684" s="133"/>
      <c r="W1684" s="134">
        <f>$K$1666+$I$1655+$G$1623+$E$1660+$C$1506+$A$1461+$M$1681+$O$1679+Q1686</f>
        <v>215991.02599999998</v>
      </c>
      <c r="X1684" s="133">
        <f>u_Healthy</f>
        <v>0</v>
      </c>
      <c r="Y1684" s="133"/>
      <c r="Z1684" s="134">
        <f t="shared" si="134"/>
        <v>0</v>
      </c>
      <c r="AA1684" s="6">
        <f t="shared" si="133"/>
        <v>0</v>
      </c>
    </row>
    <row r="1685" spans="1:27" x14ac:dyDescent="0.3">
      <c r="A1685" s="10"/>
      <c r="B1685" s="10"/>
      <c r="C1685" s="10"/>
      <c r="D1685" s="10"/>
      <c r="E1685" s="10"/>
      <c r="F1685" s="41"/>
      <c r="G1685" s="64"/>
      <c r="H1685" s="64"/>
      <c r="I1685" s="53"/>
      <c r="J1685" s="53"/>
      <c r="K1685" s="64"/>
      <c r="L1685" s="64"/>
      <c r="M1685" s="65"/>
      <c r="N1685" s="64"/>
      <c r="O1685" s="65"/>
      <c r="P1685" s="64"/>
      <c r="Q1685" s="56">
        <f>1-Q1676-Q1679-Q1682</f>
        <v>0.60619800000000001</v>
      </c>
      <c r="R1685" s="56"/>
      <c r="S1685" s="129"/>
      <c r="T1685" s="105"/>
      <c r="U1685" s="133"/>
      <c r="V1685" s="133">
        <v>0</v>
      </c>
      <c r="W1685" s="133"/>
      <c r="X1685" s="133"/>
      <c r="Y1685" s="133"/>
      <c r="Z1685" s="134">
        <f t="shared" si="134"/>
        <v>0</v>
      </c>
      <c r="AA1685" s="6">
        <f t="shared" si="133"/>
        <v>0</v>
      </c>
    </row>
    <row r="1686" spans="1:27" x14ac:dyDescent="0.3">
      <c r="A1686" s="10"/>
      <c r="B1686" s="10"/>
      <c r="C1686" s="10"/>
      <c r="D1686" s="10"/>
      <c r="E1686" s="10"/>
      <c r="F1686" s="41"/>
      <c r="G1686" s="64"/>
      <c r="H1686" s="64"/>
      <c r="I1686" s="53"/>
      <c r="J1686" s="53"/>
      <c r="K1686" s="64"/>
      <c r="L1686" s="64"/>
      <c r="M1686" s="65"/>
      <c r="N1686" s="64"/>
      <c r="O1686" s="64"/>
      <c r="P1686" s="64"/>
      <c r="Q1686" s="57">
        <f>c_clinic_fu+c_CSG</f>
        <v>14403</v>
      </c>
      <c r="R1686" s="57"/>
      <c r="S1686" s="130"/>
      <c r="T1686" s="105"/>
      <c r="U1686" s="133"/>
      <c r="V1686" s="133"/>
      <c r="W1686" s="133"/>
      <c r="X1686" s="133"/>
      <c r="Y1686" s="133"/>
      <c r="Z1686" s="134">
        <f t="shared" si="134"/>
        <v>0</v>
      </c>
      <c r="AA1686" s="6">
        <f t="shared" si="133"/>
        <v>0</v>
      </c>
    </row>
    <row r="1687" spans="1:27" x14ac:dyDescent="0.3">
      <c r="A1687" s="10"/>
      <c r="B1687" s="10"/>
      <c r="C1687" s="10"/>
      <c r="D1687" s="10"/>
      <c r="E1687" s="10"/>
      <c r="F1687" s="41"/>
      <c r="G1687" s="64"/>
      <c r="H1687" s="64"/>
      <c r="I1687" s="41"/>
      <c r="J1687" s="64"/>
      <c r="K1687" s="64"/>
      <c r="L1687" s="64"/>
      <c r="M1687" s="65"/>
      <c r="N1687" s="64"/>
      <c r="O1687" s="64"/>
      <c r="P1687" s="64"/>
      <c r="Q1687" s="65"/>
      <c r="R1687" s="65"/>
      <c r="S1687" s="129"/>
      <c r="T1687" s="105"/>
      <c r="U1687" s="133"/>
      <c r="V1687" s="133"/>
      <c r="W1687" s="133"/>
      <c r="X1687" s="133"/>
      <c r="Y1687" s="133"/>
      <c r="Z1687" s="134">
        <f t="shared" si="134"/>
        <v>0</v>
      </c>
      <c r="AA1687" s="6">
        <f t="shared" si="133"/>
        <v>0</v>
      </c>
    </row>
    <row r="1688" spans="1:27" x14ac:dyDescent="0.3">
      <c r="A1688" s="10"/>
      <c r="B1688" s="10"/>
      <c r="C1688" s="10"/>
      <c r="D1688" s="10"/>
      <c r="E1688" s="10"/>
      <c r="F1688" s="41"/>
      <c r="G1688" s="64"/>
      <c r="H1688" s="64"/>
      <c r="I1688" s="41"/>
      <c r="J1688" s="64"/>
      <c r="K1688" s="64"/>
      <c r="L1688" s="64"/>
      <c r="M1688" s="65"/>
      <c r="N1688" s="64"/>
      <c r="O1688" s="64"/>
      <c r="P1688" s="64"/>
      <c r="Q1688" s="54" t="s">
        <v>368</v>
      </c>
      <c r="R1688" s="54"/>
      <c r="S1688" s="129"/>
      <c r="T1688" s="105"/>
      <c r="U1688" s="133">
        <f>$K$1665*$I$1654*$G$1622*$E$1659*$C$1505*$A$1460*$M$1680*$O$1692*Q1689</f>
        <v>0</v>
      </c>
      <c r="V1688" s="133"/>
      <c r="W1688" s="134">
        <f>$K$1666+$I$1655+$G$1623+$E$1660+$C$1506+$A$1461+$M$1681+$O$1693+Q1690</f>
        <v>253181.2765024</v>
      </c>
      <c r="X1688" s="133">
        <f>u_ChronicResp</f>
        <v>0.53465956747782661</v>
      </c>
      <c r="Y1688" s="133"/>
      <c r="Z1688" s="134">
        <f t="shared" si="134"/>
        <v>0</v>
      </c>
      <c r="AA1688" s="6">
        <f t="shared" si="133"/>
        <v>0</v>
      </c>
    </row>
    <row r="1689" spans="1:27" x14ac:dyDescent="0.3">
      <c r="A1689" s="10"/>
      <c r="B1689" s="10"/>
      <c r="C1689" s="10"/>
      <c r="D1689" s="10"/>
      <c r="E1689" s="10"/>
      <c r="F1689" s="41"/>
      <c r="G1689" s="64"/>
      <c r="H1689" s="64"/>
      <c r="I1689" s="41"/>
      <c r="J1689" s="64"/>
      <c r="K1689" s="64"/>
      <c r="L1689" s="64"/>
      <c r="M1689" s="65"/>
      <c r="N1689" s="64"/>
      <c r="O1689" s="64"/>
      <c r="P1689" s="64"/>
      <c r="Q1689" s="56">
        <f>RDS2CLD_4-(RDS2CLD_4*noHypo2CI_4)</f>
        <v>0.34905610687022898</v>
      </c>
      <c r="R1689" s="56"/>
      <c r="S1689" s="129"/>
      <c r="T1689" s="105"/>
      <c r="U1689" s="133"/>
      <c r="V1689" s="133">
        <v>0</v>
      </c>
      <c r="W1689" s="133"/>
      <c r="X1689" s="133"/>
      <c r="Y1689" s="133"/>
      <c r="Z1689" s="134">
        <f t="shared" si="134"/>
        <v>0</v>
      </c>
      <c r="AA1689" s="6">
        <f t="shared" si="133"/>
        <v>0</v>
      </c>
    </row>
    <row r="1690" spans="1:27" x14ac:dyDescent="0.3">
      <c r="A1690" s="10"/>
      <c r="B1690" s="10"/>
      <c r="C1690" s="10"/>
      <c r="D1690" s="10"/>
      <c r="E1690" s="10"/>
      <c r="F1690" s="41"/>
      <c r="G1690" s="64"/>
      <c r="H1690" s="64"/>
      <c r="I1690" s="64"/>
      <c r="J1690" s="64"/>
      <c r="K1690" s="64"/>
      <c r="L1690" s="64"/>
      <c r="M1690" s="65"/>
      <c r="N1690" s="64"/>
      <c r="O1690" s="64"/>
      <c r="P1690" s="64"/>
      <c r="Q1690" s="57">
        <f>c_lung+c_hosp_fu+c_CSG</f>
        <v>54529.510902399998</v>
      </c>
      <c r="R1690" s="57"/>
      <c r="S1690" s="129"/>
      <c r="T1690" s="105"/>
      <c r="U1690" s="133"/>
      <c r="V1690" s="133"/>
      <c r="W1690" s="133"/>
      <c r="X1690" s="133"/>
      <c r="Y1690" s="133"/>
      <c r="Z1690" s="134">
        <f t="shared" si="134"/>
        <v>0</v>
      </c>
      <c r="AA1690" s="6">
        <f t="shared" si="133"/>
        <v>0</v>
      </c>
    </row>
    <row r="1691" spans="1:27" x14ac:dyDescent="0.3">
      <c r="A1691" s="10"/>
      <c r="B1691" s="10"/>
      <c r="C1691" s="10"/>
      <c r="D1691" s="10"/>
      <c r="E1691" s="10"/>
      <c r="F1691" s="41"/>
      <c r="G1691" s="64"/>
      <c r="H1691" s="64"/>
      <c r="I1691" s="64"/>
      <c r="J1691" s="64"/>
      <c r="K1691" s="64"/>
      <c r="L1691" s="64"/>
      <c r="M1691" s="65"/>
      <c r="N1691" s="64"/>
      <c r="O1691" s="54" t="s">
        <v>371</v>
      </c>
      <c r="P1691" s="64"/>
      <c r="Q1691" s="54" t="s">
        <v>226</v>
      </c>
      <c r="R1691" s="54"/>
      <c r="S1691" s="129"/>
      <c r="T1691" s="105"/>
      <c r="U1691" s="133">
        <f>$K$1665*$I$1654*$G$1622*$E$1659*$C$1505*$A$1460*$M$1680*$O$1692*Q1692</f>
        <v>0</v>
      </c>
      <c r="V1691" s="133"/>
      <c r="W1691" s="134">
        <f>$K$1666+$I$1655+$G$1623+$E$1660+$C$1506+$A$1461+$M$1681+$O$1693+Q1693</f>
        <v>214417.76559999998</v>
      </c>
      <c r="X1691" s="133">
        <f>u_CongnitiveImpairement</f>
        <v>17.270393127285455</v>
      </c>
      <c r="Y1691" s="133"/>
      <c r="Z1691" s="134">
        <f t="shared" si="134"/>
        <v>0</v>
      </c>
      <c r="AA1691" s="6">
        <f t="shared" si="133"/>
        <v>0</v>
      </c>
    </row>
    <row r="1692" spans="1:27" x14ac:dyDescent="0.3">
      <c r="A1692" s="10"/>
      <c r="B1692" s="10"/>
      <c r="C1692" s="10"/>
      <c r="D1692" s="10"/>
      <c r="E1692" s="10"/>
      <c r="F1692" s="41"/>
      <c r="G1692" s="64"/>
      <c r="H1692" s="64"/>
      <c r="I1692" s="64"/>
      <c r="J1692" s="64"/>
      <c r="K1692" s="64"/>
      <c r="L1692" s="64"/>
      <c r="M1692" s="65"/>
      <c r="N1692" s="64"/>
      <c r="O1692" s="56">
        <f>AGA_term_2normoglycaemia_4</f>
        <v>1</v>
      </c>
      <c r="P1692" s="64"/>
      <c r="Q1692" s="56">
        <f>noHypo2CI_4-(RDS2CLD_4*noHypo2CI_4)</f>
        <v>2.1141683406990762E-2</v>
      </c>
      <c r="R1692" s="56"/>
      <c r="S1692" s="129"/>
      <c r="T1692" s="105"/>
      <c r="U1692" s="133"/>
      <c r="V1692" s="133">
        <v>0</v>
      </c>
      <c r="W1692" s="133"/>
      <c r="X1692" s="133"/>
      <c r="Y1692" s="133"/>
      <c r="Z1692" s="134">
        <f t="shared" si="134"/>
        <v>0</v>
      </c>
      <c r="AA1692" s="6">
        <f t="shared" si="133"/>
        <v>0</v>
      </c>
    </row>
    <row r="1693" spans="1:27" x14ac:dyDescent="0.3">
      <c r="A1693" s="10"/>
      <c r="B1693" s="10"/>
      <c r="C1693" s="10"/>
      <c r="D1693" s="10"/>
      <c r="E1693" s="10"/>
      <c r="F1693" s="41"/>
      <c r="G1693" s="64"/>
      <c r="H1693" s="64"/>
      <c r="I1693" s="64"/>
      <c r="J1693" s="64"/>
      <c r="K1693" s="64"/>
      <c r="L1693" s="64"/>
      <c r="M1693" s="65"/>
      <c r="N1693" s="64"/>
      <c r="O1693" s="57"/>
      <c r="P1693" s="64"/>
      <c r="Q1693" s="57">
        <f>c_cog+c_hosp_fu+c_CSG</f>
        <v>15766</v>
      </c>
      <c r="R1693" s="57"/>
      <c r="S1693" s="129"/>
      <c r="T1693" s="105"/>
      <c r="U1693" s="133"/>
      <c r="V1693" s="133"/>
      <c r="W1693" s="133"/>
      <c r="X1693" s="133"/>
      <c r="Y1693" s="133"/>
      <c r="Z1693" s="134">
        <f t="shared" si="134"/>
        <v>0</v>
      </c>
      <c r="AA1693" s="6">
        <f t="shared" si="133"/>
        <v>0</v>
      </c>
    </row>
    <row r="1694" spans="1:27" x14ac:dyDescent="0.3">
      <c r="A1694" s="10"/>
      <c r="B1694" s="10"/>
      <c r="C1694" s="10"/>
      <c r="D1694" s="10"/>
      <c r="E1694" s="10"/>
      <c r="F1694" s="41"/>
      <c r="G1694" s="64"/>
      <c r="H1694" s="64"/>
      <c r="I1694" s="64"/>
      <c r="J1694" s="64"/>
      <c r="K1694" s="64"/>
      <c r="L1694" s="64"/>
      <c r="M1694" s="65"/>
      <c r="N1694" s="64"/>
      <c r="O1694" s="64"/>
      <c r="P1694" s="64"/>
      <c r="Q1694" s="54" t="s">
        <v>369</v>
      </c>
      <c r="R1694" s="54"/>
      <c r="S1694" s="129"/>
      <c r="T1694" s="105"/>
      <c r="U1694" s="133">
        <f>$K$1665*$I$1654*$G$1622*$E$1659*$C$1505*$A$1460*$M$1680*$O$1692*Q1695</f>
        <v>0</v>
      </c>
      <c r="V1694" s="133"/>
      <c r="W1694" s="134">
        <f>$K$1666+$I$1655+$G$1623+$E$1660+$C$1506+$A$1461+$M$1681+$O$1693+Q1696</f>
        <v>257000.2765024</v>
      </c>
      <c r="X1694" s="133">
        <f>u_ChronicResp+u_CongnitiveImpairement</f>
        <v>17.805052694763283</v>
      </c>
      <c r="Y1694" s="133"/>
      <c r="Z1694" s="134">
        <f t="shared" si="134"/>
        <v>0</v>
      </c>
      <c r="AA1694" s="6">
        <f t="shared" si="133"/>
        <v>0</v>
      </c>
    </row>
    <row r="1695" spans="1:27" x14ac:dyDescent="0.3">
      <c r="A1695" s="10"/>
      <c r="B1695" s="10"/>
      <c r="C1695" s="10"/>
      <c r="D1695" s="10"/>
      <c r="E1695" s="10"/>
      <c r="F1695" s="41"/>
      <c r="G1695" s="64"/>
      <c r="H1695" s="64"/>
      <c r="I1695" s="64"/>
      <c r="J1695" s="64"/>
      <c r="K1695" s="64"/>
      <c r="L1695" s="64"/>
      <c r="M1695" s="53"/>
      <c r="N1695" s="64"/>
      <c r="O1695" s="64"/>
      <c r="P1695" s="64"/>
      <c r="Q1695" s="56">
        <f>RDS2CLD_4*noHypo2CI_4</f>
        <v>1.1943893129770991E-2</v>
      </c>
      <c r="R1695" s="56"/>
      <c r="S1695" s="129"/>
      <c r="T1695" s="105"/>
      <c r="U1695" s="133"/>
      <c r="V1695" s="133">
        <v>0</v>
      </c>
      <c r="W1695" s="133"/>
      <c r="X1695" s="133"/>
      <c r="Y1695" s="133"/>
      <c r="Z1695" s="134">
        <f t="shared" si="134"/>
        <v>0</v>
      </c>
      <c r="AA1695" s="6">
        <f t="shared" si="133"/>
        <v>0</v>
      </c>
    </row>
    <row r="1696" spans="1:27" x14ac:dyDescent="0.3">
      <c r="A1696" s="10"/>
      <c r="B1696" s="10"/>
      <c r="C1696" s="10"/>
      <c r="D1696" s="10"/>
      <c r="E1696" s="10"/>
      <c r="F1696" s="41"/>
      <c r="G1696" s="64"/>
      <c r="H1696" s="64"/>
      <c r="I1696" s="64"/>
      <c r="J1696" s="64"/>
      <c r="K1696" s="64"/>
      <c r="L1696" s="64"/>
      <c r="M1696" s="44"/>
      <c r="N1696" s="64"/>
      <c r="O1696" s="64"/>
      <c r="P1696" s="64"/>
      <c r="Q1696" s="57">
        <f>c_cog+c_lung+c_hosp_fu+c_CSG</f>
        <v>58348.510902399998</v>
      </c>
      <c r="R1696" s="57"/>
      <c r="S1696" s="129"/>
      <c r="T1696" s="105"/>
      <c r="U1696" s="133"/>
      <c r="V1696" s="133"/>
      <c r="W1696" s="133"/>
      <c r="X1696" s="133"/>
      <c r="Y1696" s="133"/>
      <c r="Z1696" s="134">
        <f t="shared" si="134"/>
        <v>0</v>
      </c>
      <c r="AA1696" s="6">
        <f t="shared" si="133"/>
        <v>0</v>
      </c>
    </row>
    <row r="1697" spans="1:27" x14ac:dyDescent="0.3">
      <c r="A1697" s="10"/>
      <c r="B1697" s="10"/>
      <c r="C1697" s="10"/>
      <c r="D1697" s="10"/>
      <c r="E1697" s="10"/>
      <c r="F1697" s="41"/>
      <c r="G1697" s="64"/>
      <c r="H1697" s="64"/>
      <c r="I1697" s="64"/>
      <c r="J1697" s="64"/>
      <c r="K1697" s="64"/>
      <c r="L1697" s="64"/>
      <c r="M1697" s="65"/>
      <c r="N1697" s="64"/>
      <c r="O1697" s="64"/>
      <c r="P1697" s="64"/>
      <c r="Q1697" s="54" t="s">
        <v>370</v>
      </c>
      <c r="R1697" s="54"/>
      <c r="T1697" s="105"/>
      <c r="U1697" s="133">
        <f>$K$1665*$I$1654*$G$1622*$E$1659*$C$1505*$A$1460*$M$1680*$O$1692*Q1698</f>
        <v>0</v>
      </c>
      <c r="V1697" s="133"/>
      <c r="W1697" s="134">
        <f>$K$1666+$I$1655+$G$1623+$E$1660+$C$1506+$A$1461+$M$1681+$O$1693+Q1699</f>
        <v>213054.76559999998</v>
      </c>
      <c r="X1697" s="133">
        <f>u_Healthy</f>
        <v>0</v>
      </c>
      <c r="Y1697" s="133"/>
      <c r="Z1697" s="134">
        <f t="shared" si="134"/>
        <v>0</v>
      </c>
      <c r="AA1697" s="6">
        <f t="shared" si="133"/>
        <v>0</v>
      </c>
    </row>
    <row r="1698" spans="1:27" x14ac:dyDescent="0.3">
      <c r="A1698" s="10"/>
      <c r="B1698" s="10"/>
      <c r="C1698" s="10"/>
      <c r="D1698" s="10"/>
      <c r="E1698" s="10"/>
      <c r="F1698" s="41"/>
      <c r="G1698" s="64"/>
      <c r="H1698" s="64"/>
      <c r="I1698" s="64"/>
      <c r="J1698" s="64"/>
      <c r="K1698" s="64"/>
      <c r="L1698" s="64"/>
      <c r="M1698" s="65"/>
      <c r="N1698" s="44"/>
      <c r="O1698" s="64"/>
      <c r="P1698" s="64"/>
      <c r="Q1698" s="56">
        <f>1-Q1695-Q1692-Q1689</f>
        <v>0.61785831659300938</v>
      </c>
      <c r="R1698" s="56"/>
      <c r="S1698" s="129"/>
      <c r="T1698" s="105"/>
      <c r="U1698" s="133"/>
      <c r="V1698" s="133">
        <v>0</v>
      </c>
      <c r="W1698" s="133"/>
      <c r="X1698" s="133"/>
      <c r="Y1698" s="133"/>
      <c r="Z1698" s="134">
        <f t="shared" si="134"/>
        <v>0</v>
      </c>
      <c r="AA1698" s="6">
        <f t="shared" si="133"/>
        <v>0</v>
      </c>
    </row>
    <row r="1699" spans="1:27" x14ac:dyDescent="0.3">
      <c r="A1699" s="10"/>
      <c r="B1699" s="10"/>
      <c r="C1699" s="10"/>
      <c r="D1699" s="10"/>
      <c r="E1699" s="10"/>
      <c r="F1699" s="41"/>
      <c r="G1699" s="64"/>
      <c r="H1699" s="64"/>
      <c r="I1699" s="64"/>
      <c r="J1699" s="64"/>
      <c r="K1699" s="64"/>
      <c r="L1699" s="64"/>
      <c r="M1699" s="65"/>
      <c r="N1699" s="64"/>
      <c r="O1699" s="64"/>
      <c r="P1699" s="64"/>
      <c r="Q1699" s="57">
        <f>c_clinic_fu+c_CSG</f>
        <v>14403</v>
      </c>
      <c r="R1699" s="57"/>
      <c r="T1699" s="105"/>
      <c r="U1699" s="133"/>
      <c r="V1699" s="133"/>
      <c r="W1699" s="133"/>
      <c r="X1699" s="133"/>
      <c r="Y1699" s="133"/>
      <c r="Z1699" s="134">
        <f t="shared" si="134"/>
        <v>0</v>
      </c>
      <c r="AA1699" s="6">
        <f t="shared" si="133"/>
        <v>0</v>
      </c>
    </row>
    <row r="1700" spans="1:27" x14ac:dyDescent="0.3">
      <c r="A1700" s="10"/>
      <c r="B1700" s="10"/>
      <c r="C1700" s="10"/>
      <c r="D1700" s="10"/>
      <c r="E1700" s="10"/>
      <c r="F1700" s="41"/>
      <c r="G1700" s="64"/>
      <c r="H1700" s="64"/>
      <c r="I1700" s="64"/>
      <c r="J1700" s="64"/>
      <c r="K1700" s="64"/>
      <c r="L1700" s="64"/>
      <c r="M1700" s="65"/>
      <c r="N1700" s="64"/>
      <c r="O1700" s="64"/>
      <c r="P1700" s="64"/>
      <c r="Q1700" s="65"/>
      <c r="R1700" s="65"/>
      <c r="S1700" s="129"/>
      <c r="T1700" s="105"/>
      <c r="U1700" s="133"/>
      <c r="V1700" s="133"/>
      <c r="W1700" s="133"/>
      <c r="X1700" s="133"/>
      <c r="Y1700" s="133"/>
      <c r="Z1700" s="134">
        <f t="shared" si="134"/>
        <v>0</v>
      </c>
      <c r="AA1700" s="6">
        <f t="shared" si="133"/>
        <v>0</v>
      </c>
    </row>
    <row r="1701" spans="1:27" x14ac:dyDescent="0.3">
      <c r="A1701" s="10"/>
      <c r="B1701" s="10"/>
      <c r="C1701" s="10"/>
      <c r="D1701" s="10"/>
      <c r="E1701" s="10"/>
      <c r="F1701" s="41"/>
      <c r="G1701" s="64"/>
      <c r="H1701" s="64"/>
      <c r="I1701" s="64"/>
      <c r="J1701" s="64"/>
      <c r="K1701" s="54" t="s">
        <v>165</v>
      </c>
      <c r="L1701" s="54"/>
      <c r="M1701" s="54"/>
      <c r="N1701" s="54"/>
      <c r="O1701" s="54"/>
      <c r="P1701" s="54"/>
      <c r="Q1701" s="54"/>
      <c r="R1701" s="54"/>
      <c r="S1701" s="129"/>
      <c r="T1701" s="105"/>
      <c r="U1701" s="133">
        <f>$K$1702*$I$1710*$G$1731*$E$1659*$C$1505*$A$1460</f>
        <v>2.2128110844283128E-4</v>
      </c>
      <c r="V1701" s="133">
        <v>2.2128110844283128E-4</v>
      </c>
      <c r="W1701" s="134">
        <f>$K$1703+$I$1711+$G$1732+$E$1660+$C$1506+$A$1461</f>
        <v>4890.88</v>
      </c>
      <c r="X1701" s="133">
        <f>u_Death</f>
        <v>19.181538114427529</v>
      </c>
      <c r="Y1701" s="133"/>
      <c r="Z1701" s="134">
        <f t="shared" si="134"/>
        <v>1.0822593476608746</v>
      </c>
      <c r="AA1701" s="6">
        <f t="shared" si="133"/>
        <v>4.2445120155989394E-3</v>
      </c>
    </row>
    <row r="1702" spans="1:27" x14ac:dyDescent="0.3">
      <c r="A1702" s="10"/>
      <c r="B1702" s="10"/>
      <c r="C1702" s="10"/>
      <c r="D1702" s="10"/>
      <c r="E1702" s="10"/>
      <c r="F1702" s="41"/>
      <c r="G1702" s="64"/>
      <c r="H1702" s="64"/>
      <c r="I1702" s="64"/>
      <c r="J1702" s="64"/>
      <c r="K1702" s="56">
        <f>SGA_term_2d_4</f>
        <v>1.3200000000000002E-2</v>
      </c>
      <c r="L1702" s="64"/>
      <c r="M1702" s="64"/>
      <c r="N1702" s="64"/>
      <c r="O1702" s="64"/>
      <c r="P1702" s="64"/>
      <c r="Q1702" s="64"/>
      <c r="R1702" s="64"/>
      <c r="S1702" s="129"/>
      <c r="T1702" s="105"/>
      <c r="U1702" s="133"/>
      <c r="V1702" s="133"/>
      <c r="W1702" s="133"/>
      <c r="X1702" s="133"/>
      <c r="Y1702" s="133"/>
      <c r="Z1702" s="134">
        <f t="shared" si="134"/>
        <v>0</v>
      </c>
      <c r="AA1702" s="6">
        <f t="shared" si="133"/>
        <v>0</v>
      </c>
    </row>
    <row r="1703" spans="1:27" x14ac:dyDescent="0.3">
      <c r="A1703" s="10"/>
      <c r="B1703" s="10"/>
      <c r="C1703" s="10"/>
      <c r="D1703" s="10"/>
      <c r="E1703" s="10"/>
      <c r="F1703" s="41"/>
      <c r="G1703" s="64"/>
      <c r="H1703" s="64"/>
      <c r="I1703" s="64"/>
      <c r="J1703" s="64"/>
      <c r="K1703" s="57">
        <f>c_SB</f>
        <v>1792</v>
      </c>
      <c r="L1703" s="64"/>
      <c r="M1703" s="64"/>
      <c r="N1703" s="64"/>
      <c r="O1703" s="64"/>
      <c r="P1703" s="64"/>
      <c r="Q1703" s="64"/>
      <c r="R1703" s="64"/>
      <c r="S1703" s="129"/>
      <c r="T1703" s="105"/>
      <c r="U1703" s="133"/>
      <c r="V1703" s="133"/>
      <c r="W1703" s="133"/>
      <c r="X1703" s="133"/>
      <c r="Y1703" s="133"/>
      <c r="Z1703" s="134">
        <f t="shared" si="134"/>
        <v>0</v>
      </c>
      <c r="AA1703" s="6">
        <f t="shared" si="133"/>
        <v>0</v>
      </c>
    </row>
    <row r="1704" spans="1:27" x14ac:dyDescent="0.3">
      <c r="A1704" s="10"/>
      <c r="B1704" s="10"/>
      <c r="C1704" s="10"/>
      <c r="D1704" s="10"/>
      <c r="E1704" s="10"/>
      <c r="F1704" s="41"/>
      <c r="G1704" s="64"/>
      <c r="H1704" s="64"/>
      <c r="I1704" s="53"/>
      <c r="J1704" s="53"/>
      <c r="K1704" s="53"/>
      <c r="L1704" s="53"/>
      <c r="M1704" s="53"/>
      <c r="N1704" s="53"/>
      <c r="O1704" s="53"/>
      <c r="P1704" s="53"/>
      <c r="Q1704" s="53"/>
      <c r="R1704" s="53"/>
      <c r="S1704" s="129"/>
      <c r="T1704" s="105"/>
      <c r="U1704" s="133"/>
      <c r="V1704" s="133"/>
      <c r="W1704" s="133"/>
      <c r="X1704" s="133"/>
      <c r="Y1704" s="133"/>
      <c r="Z1704" s="134">
        <f t="shared" si="134"/>
        <v>0</v>
      </c>
      <c r="AA1704" s="6">
        <f t="shared" si="133"/>
        <v>0</v>
      </c>
    </row>
    <row r="1705" spans="1:27" x14ac:dyDescent="0.3">
      <c r="A1705" s="10"/>
      <c r="B1705" s="10"/>
      <c r="C1705" s="10"/>
      <c r="D1705" s="10"/>
      <c r="E1705" s="10"/>
      <c r="F1705" s="41"/>
      <c r="G1705" s="64"/>
      <c r="H1705" s="64"/>
      <c r="I1705" s="53"/>
      <c r="J1705" s="53"/>
      <c r="K1705" s="53"/>
      <c r="L1705" s="53"/>
      <c r="M1705" s="53"/>
      <c r="N1705" s="53"/>
      <c r="O1705" s="53"/>
      <c r="P1705" s="53"/>
      <c r="Q1705" s="54" t="s">
        <v>368</v>
      </c>
      <c r="R1705" s="54"/>
      <c r="S1705" s="129"/>
      <c r="T1705" s="105"/>
      <c r="U1705" s="133">
        <f>$K$1721*$I$1710*$G$1731*$E$1659*$C$1505*$A$1460*$M$1716*$O$1711*Q1706</f>
        <v>0</v>
      </c>
      <c r="V1705" s="133"/>
      <c r="W1705" s="134">
        <f>$K$1722+$I$1711+$G$1732+$E$1660+$C$1506+$A$1461+$M$1717+$O$1712+Q1707</f>
        <v>91160.261450605642</v>
      </c>
      <c r="X1705" s="133">
        <f>u_ChronicResp</f>
        <v>0.53465956747782661</v>
      </c>
      <c r="Y1705" s="133"/>
      <c r="Z1705" s="134">
        <f t="shared" si="134"/>
        <v>0</v>
      </c>
      <c r="AA1705" s="6">
        <f t="shared" si="133"/>
        <v>0</v>
      </c>
    </row>
    <row r="1706" spans="1:27" x14ac:dyDescent="0.3">
      <c r="A1706" s="10"/>
      <c r="B1706" s="10"/>
      <c r="C1706" s="10"/>
      <c r="D1706" s="10"/>
      <c r="E1706" s="10"/>
      <c r="F1706" s="41"/>
      <c r="G1706" s="64"/>
      <c r="H1706" s="64"/>
      <c r="I1706" s="53"/>
      <c r="J1706" s="53"/>
      <c r="K1706" s="53"/>
      <c r="L1706" s="53"/>
      <c r="M1706" s="53"/>
      <c r="N1706" s="53"/>
      <c r="O1706" s="64"/>
      <c r="P1706" s="64"/>
      <c r="Q1706" s="56">
        <f>RDS2CLD_4-(Hypo2CI_4*RDS2CLD_4)</f>
        <v>0.34246866666666664</v>
      </c>
      <c r="R1706" s="56"/>
      <c r="S1706" s="129"/>
      <c r="T1706" s="105"/>
      <c r="U1706" s="133"/>
      <c r="V1706" s="133">
        <v>0</v>
      </c>
      <c r="W1706" s="133"/>
      <c r="X1706" s="133"/>
      <c r="Y1706" s="133"/>
      <c r="Z1706" s="134">
        <f t="shared" si="134"/>
        <v>0</v>
      </c>
      <c r="AA1706" s="6">
        <f t="shared" si="133"/>
        <v>0</v>
      </c>
    </row>
    <row r="1707" spans="1:27" x14ac:dyDescent="0.3">
      <c r="A1707" s="10"/>
      <c r="B1707" s="10"/>
      <c r="C1707" s="10"/>
      <c r="D1707" s="10"/>
      <c r="E1707" s="10"/>
      <c r="F1707" s="41"/>
      <c r="G1707" s="64"/>
      <c r="H1707" s="64"/>
      <c r="I1707" s="53"/>
      <c r="J1707" s="53"/>
      <c r="K1707" s="53"/>
      <c r="L1707" s="53"/>
      <c r="M1707" s="53"/>
      <c r="N1707" s="53"/>
      <c r="O1707" s="64"/>
      <c r="P1707" s="64"/>
      <c r="Q1707" s="57">
        <f>c_lung+c_hosp_fu+c_CSG</f>
        <v>54529.510902399998</v>
      </c>
      <c r="R1707" s="57"/>
      <c r="S1707" s="129"/>
      <c r="T1707" s="105"/>
      <c r="U1707" s="133"/>
      <c r="V1707" s="133"/>
      <c r="W1707" s="133"/>
      <c r="X1707" s="133"/>
      <c r="Y1707" s="133"/>
      <c r="Z1707" s="134">
        <f t="shared" si="134"/>
        <v>0</v>
      </c>
      <c r="AA1707" s="6">
        <f t="shared" si="133"/>
        <v>0</v>
      </c>
    </row>
    <row r="1708" spans="1:27" x14ac:dyDescent="0.3">
      <c r="A1708" s="10"/>
      <c r="B1708" s="10"/>
      <c r="C1708" s="10"/>
      <c r="D1708" s="10"/>
      <c r="E1708" s="10"/>
      <c r="F1708" s="41"/>
      <c r="G1708" s="64"/>
      <c r="H1708" s="64"/>
      <c r="I1708" s="53"/>
      <c r="J1708" s="53"/>
      <c r="K1708" s="53"/>
      <c r="L1708" s="53"/>
      <c r="M1708" s="53"/>
      <c r="N1708" s="53"/>
      <c r="O1708" s="64"/>
      <c r="P1708" s="64"/>
      <c r="Q1708" s="54" t="s">
        <v>226</v>
      </c>
      <c r="R1708" s="54"/>
      <c r="S1708" s="129"/>
      <c r="T1708" s="105"/>
      <c r="U1708" s="133">
        <f>$K$1721*$I$1710*$G$1731*$E$1659*$C$1505*$A$1460*$M$1716*$O$1711*Q1709</f>
        <v>0</v>
      </c>
      <c r="V1708" s="133"/>
      <c r="W1708" s="134">
        <f>$K$1722+$I$1711+$G$1732+$E$1660+$C$1506+$A$1461+$M$1717+$O$1712+Q1710</f>
        <v>52396.750548205637</v>
      </c>
      <c r="X1708" s="133">
        <f>u_CongnitiveImpairement</f>
        <v>17.270393127285455</v>
      </c>
      <c r="Y1708" s="133"/>
      <c r="Z1708" s="134">
        <f t="shared" si="134"/>
        <v>0</v>
      </c>
      <c r="AA1708" s="6">
        <f t="shared" si="133"/>
        <v>0</v>
      </c>
    </row>
    <row r="1709" spans="1:27" x14ac:dyDescent="0.3">
      <c r="A1709" s="10"/>
      <c r="B1709" s="10"/>
      <c r="C1709" s="10"/>
      <c r="D1709" s="10"/>
      <c r="E1709" s="10"/>
      <c r="F1709" s="41"/>
      <c r="G1709" s="64"/>
      <c r="H1709" s="64"/>
      <c r="I1709" s="54" t="s">
        <v>164</v>
      </c>
      <c r="J1709" s="64"/>
      <c r="K1709" s="64"/>
      <c r="L1709" s="64"/>
      <c r="M1709" s="64"/>
      <c r="N1709" s="64"/>
      <c r="O1709" s="64"/>
      <c r="P1709" s="64"/>
      <c r="Q1709" s="56">
        <f>Hypo2CI_4-(Hypo2CI_4*RDS2CLD_4)</f>
        <v>3.2801999999999998E-2</v>
      </c>
      <c r="R1709" s="56"/>
      <c r="S1709" s="129"/>
      <c r="T1709" s="105"/>
      <c r="U1709" s="133"/>
      <c r="V1709" s="133">
        <v>0</v>
      </c>
      <c r="W1709" s="133"/>
      <c r="X1709" s="133"/>
      <c r="Y1709" s="133"/>
      <c r="Z1709" s="134">
        <f t="shared" si="134"/>
        <v>0</v>
      </c>
      <c r="AA1709" s="6">
        <f t="shared" si="133"/>
        <v>0</v>
      </c>
    </row>
    <row r="1710" spans="1:27" x14ac:dyDescent="0.3">
      <c r="A1710" s="10"/>
      <c r="B1710" s="10"/>
      <c r="C1710" s="10"/>
      <c r="D1710" s="10"/>
      <c r="E1710" s="10"/>
      <c r="F1710" s="41"/>
      <c r="G1710" s="64"/>
      <c r="H1710" s="64"/>
      <c r="I1710" s="56">
        <f>NBW_term_2SGA_4</f>
        <v>0.18995639845107784</v>
      </c>
      <c r="J1710" s="64"/>
      <c r="K1710" s="64"/>
      <c r="L1710" s="64"/>
      <c r="M1710" s="64"/>
      <c r="N1710" s="64"/>
      <c r="O1710" s="54" t="s">
        <v>161</v>
      </c>
      <c r="P1710" s="64"/>
      <c r="Q1710" s="57">
        <f>c_cog+c_hosp_fu+c_CSG</f>
        <v>15766</v>
      </c>
      <c r="R1710" s="57"/>
      <c r="S1710" s="129"/>
      <c r="T1710" s="105"/>
      <c r="U1710" s="133"/>
      <c r="V1710" s="133"/>
      <c r="W1710" s="133"/>
      <c r="X1710" s="133"/>
      <c r="Y1710" s="133"/>
      <c r="Z1710" s="134">
        <f t="shared" si="134"/>
        <v>0</v>
      </c>
      <c r="AA1710" s="6">
        <f t="shared" si="133"/>
        <v>0</v>
      </c>
    </row>
    <row r="1711" spans="1:27" x14ac:dyDescent="0.3">
      <c r="A1711" s="10"/>
      <c r="B1711" s="10"/>
      <c r="C1711" s="10"/>
      <c r="D1711" s="10"/>
      <c r="E1711" s="10"/>
      <c r="F1711" s="41"/>
      <c r="G1711" s="64"/>
      <c r="H1711" s="64"/>
      <c r="I1711" s="57"/>
      <c r="J1711" s="64"/>
      <c r="K1711" s="64"/>
      <c r="L1711" s="64"/>
      <c r="M1711" s="64"/>
      <c r="N1711" s="64"/>
      <c r="O1711" s="56">
        <f>SGA_term_2hypoglycaemia_4</f>
        <v>0.26</v>
      </c>
      <c r="P1711" s="64"/>
      <c r="Q1711" s="54" t="s">
        <v>369</v>
      </c>
      <c r="R1711" s="54"/>
      <c r="S1711" s="129"/>
      <c r="T1711" s="105"/>
      <c r="U1711" s="133">
        <f>$K$1721*$I$1710*$G$1731*$E$1659*$C$1505*$A$1460*$M$1716*$O$1711*Q1712</f>
        <v>0</v>
      </c>
      <c r="V1711" s="133"/>
      <c r="W1711" s="134">
        <f>$K$1722+$I$1711+$G$1732+$E$1660+$C$1506+$A$1461+$M$1717+$O$1712+Q1713</f>
        <v>94979.261450605642</v>
      </c>
      <c r="X1711" s="133">
        <f>u_ChronicResp+u_CongnitiveImpairement</f>
        <v>17.805052694763283</v>
      </c>
      <c r="Y1711" s="133"/>
      <c r="Z1711" s="134">
        <f t="shared" si="134"/>
        <v>0</v>
      </c>
      <c r="AA1711" s="6">
        <f t="shared" si="133"/>
        <v>0</v>
      </c>
    </row>
    <row r="1712" spans="1:27" x14ac:dyDescent="0.3">
      <c r="A1712" s="10"/>
      <c r="B1712" s="10"/>
      <c r="C1712" s="10"/>
      <c r="D1712" s="10"/>
      <c r="E1712" s="10"/>
      <c r="F1712" s="41"/>
      <c r="G1712" s="64"/>
      <c r="H1712" s="64"/>
      <c r="I1712" s="64"/>
      <c r="J1712" s="64"/>
      <c r="K1712" s="64"/>
      <c r="L1712" s="64"/>
      <c r="M1712" s="64"/>
      <c r="N1712" s="64"/>
      <c r="O1712" s="57">
        <f>c_hypo</f>
        <v>2936.2604000000001</v>
      </c>
      <c r="P1712" s="64"/>
      <c r="Q1712" s="56">
        <f>Hypo2CI_4*RDS2CLD_4</f>
        <v>1.8531333333333334E-2</v>
      </c>
      <c r="R1712" s="56"/>
      <c r="S1712" s="129"/>
      <c r="T1712" s="105"/>
      <c r="U1712" s="133"/>
      <c r="V1712" s="133">
        <v>0</v>
      </c>
      <c r="W1712" s="133"/>
      <c r="X1712" s="133"/>
      <c r="Y1712" s="133"/>
      <c r="Z1712" s="134">
        <f t="shared" si="134"/>
        <v>0</v>
      </c>
      <c r="AA1712" s="6">
        <f t="shared" si="133"/>
        <v>0</v>
      </c>
    </row>
    <row r="1713" spans="1:27" x14ac:dyDescent="0.3">
      <c r="A1713" s="10"/>
      <c r="B1713" s="10"/>
      <c r="C1713" s="10"/>
      <c r="D1713" s="10"/>
      <c r="E1713" s="110"/>
      <c r="F1713" s="41"/>
      <c r="G1713" s="64"/>
      <c r="H1713" s="64"/>
      <c r="I1713" s="64"/>
      <c r="J1713" s="64"/>
      <c r="K1713" s="64"/>
      <c r="L1713" s="64"/>
      <c r="M1713" s="65"/>
      <c r="N1713" s="64"/>
      <c r="O1713" s="53"/>
      <c r="P1713" s="64"/>
      <c r="Q1713" s="57">
        <f>c_lung+c_cog+c_hosp_fu+c_CSG</f>
        <v>58348.510902399998</v>
      </c>
      <c r="R1713" s="57"/>
      <c r="S1713" s="129"/>
      <c r="T1713" s="105"/>
      <c r="U1713" s="133"/>
      <c r="V1713" s="133"/>
      <c r="W1713" s="133"/>
      <c r="X1713" s="133"/>
      <c r="Y1713" s="133"/>
      <c r="Z1713" s="134">
        <f t="shared" si="134"/>
        <v>0</v>
      </c>
      <c r="AA1713" s="6">
        <f t="shared" si="133"/>
        <v>0</v>
      </c>
    </row>
    <row r="1714" spans="1:27" x14ac:dyDescent="0.3">
      <c r="A1714" s="10"/>
      <c r="B1714" s="10"/>
      <c r="C1714" s="10"/>
      <c r="D1714" s="10"/>
      <c r="E1714" s="110"/>
      <c r="F1714" s="41"/>
      <c r="G1714" s="41"/>
      <c r="H1714" s="44"/>
      <c r="I1714" s="64"/>
      <c r="J1714" s="64"/>
      <c r="K1714" s="64"/>
      <c r="L1714" s="64"/>
      <c r="M1714" s="64"/>
      <c r="N1714" s="64"/>
      <c r="O1714" s="64"/>
      <c r="P1714" s="64"/>
      <c r="Q1714" s="54" t="s">
        <v>370</v>
      </c>
      <c r="R1714" s="54"/>
      <c r="S1714" s="129"/>
      <c r="T1714" s="105"/>
      <c r="U1714" s="133">
        <f>$K$1721*$I$1710*$G$1731*$E$1659*$C$1505*$A$1460*$M$1716*$O$1711*Q1715</f>
        <v>0</v>
      </c>
      <c r="V1714" s="133"/>
      <c r="W1714" s="134">
        <f>$K$1722+$I$1711+$G$1732+$E$1660+$C$1506+$A$1461+$M$1717+$O$1712+Q1716</f>
        <v>51033.750548205637</v>
      </c>
      <c r="X1714" s="133">
        <f>u_Healthy</f>
        <v>0</v>
      </c>
      <c r="Y1714" s="133"/>
      <c r="Z1714" s="134">
        <f t="shared" si="134"/>
        <v>0</v>
      </c>
      <c r="AA1714" s="6">
        <f t="shared" si="133"/>
        <v>0</v>
      </c>
    </row>
    <row r="1715" spans="1:27" x14ac:dyDescent="0.3">
      <c r="A1715" s="10"/>
      <c r="B1715" s="10"/>
      <c r="C1715" s="10"/>
      <c r="D1715" s="10"/>
      <c r="E1715" s="116"/>
      <c r="F1715" s="41"/>
      <c r="G1715" s="64"/>
      <c r="H1715" s="64"/>
      <c r="I1715" s="64"/>
      <c r="J1715" s="64"/>
      <c r="K1715" s="64"/>
      <c r="L1715" s="64"/>
      <c r="M1715" s="54" t="s">
        <v>9</v>
      </c>
      <c r="N1715" s="64"/>
      <c r="O1715" s="64"/>
      <c r="P1715" s="64"/>
      <c r="Q1715" s="56">
        <f>1-Q1706-Q1709-Q1712</f>
        <v>0.60619800000000001</v>
      </c>
      <c r="R1715" s="56"/>
      <c r="S1715" s="129"/>
      <c r="T1715" s="105"/>
      <c r="U1715" s="133"/>
      <c r="V1715" s="133">
        <v>0</v>
      </c>
      <c r="W1715" s="133"/>
      <c r="X1715" s="133"/>
      <c r="Y1715" s="133"/>
      <c r="Z1715" s="134">
        <f t="shared" si="134"/>
        <v>0</v>
      </c>
      <c r="AA1715" s="6">
        <f t="shared" si="133"/>
        <v>0</v>
      </c>
    </row>
    <row r="1716" spans="1:27" x14ac:dyDescent="0.3">
      <c r="A1716" s="10"/>
      <c r="B1716" s="10"/>
      <c r="C1716" s="10"/>
      <c r="D1716" s="10"/>
      <c r="E1716" s="10"/>
      <c r="F1716" s="41"/>
      <c r="G1716" s="64"/>
      <c r="H1716" s="64"/>
      <c r="I1716" s="64"/>
      <c r="J1716" s="64"/>
      <c r="K1716" s="65"/>
      <c r="L1716" s="64"/>
      <c r="M1716" s="56">
        <f>S_term_2RDS_4</f>
        <v>0</v>
      </c>
      <c r="N1716" s="64"/>
      <c r="O1716" s="64"/>
      <c r="P1716" s="64"/>
      <c r="Q1716" s="57">
        <f>c_clinic_fu+c_CSG</f>
        <v>14403</v>
      </c>
      <c r="R1716" s="57"/>
      <c r="S1716" s="129"/>
      <c r="T1716" s="105"/>
      <c r="U1716" s="133"/>
      <c r="V1716" s="133"/>
      <c r="W1716" s="133"/>
      <c r="X1716" s="133"/>
      <c r="Y1716" s="133"/>
      <c r="Z1716" s="134">
        <f t="shared" si="134"/>
        <v>0</v>
      </c>
      <c r="AA1716" s="6">
        <f t="shared" si="133"/>
        <v>0</v>
      </c>
    </row>
    <row r="1717" spans="1:27" x14ac:dyDescent="0.3">
      <c r="A1717" s="10"/>
      <c r="B1717" s="10"/>
      <c r="C1717" s="10"/>
      <c r="D1717" s="10"/>
      <c r="E1717" s="10"/>
      <c r="F1717" s="41"/>
      <c r="G1717" s="64"/>
      <c r="H1717" s="64"/>
      <c r="I1717" s="64"/>
      <c r="J1717" s="64"/>
      <c r="K1717" s="65"/>
      <c r="L1717" s="64"/>
      <c r="M1717" s="57">
        <f>c_RDS</f>
        <v>30595.610148205637</v>
      </c>
      <c r="N1717" s="64"/>
      <c r="O1717" s="64"/>
      <c r="P1717" s="64"/>
      <c r="Q1717" s="65"/>
      <c r="R1717" s="65"/>
      <c r="S1717" s="129"/>
      <c r="T1717" s="105"/>
      <c r="U1717" s="133"/>
      <c r="V1717" s="133"/>
      <c r="W1717" s="133"/>
      <c r="X1717" s="133"/>
      <c r="Y1717" s="133"/>
      <c r="Z1717" s="134">
        <f t="shared" si="134"/>
        <v>0</v>
      </c>
      <c r="AA1717" s="6">
        <f t="shared" si="133"/>
        <v>0</v>
      </c>
    </row>
    <row r="1718" spans="1:27" x14ac:dyDescent="0.3">
      <c r="A1718" s="10"/>
      <c r="B1718" s="10"/>
      <c r="C1718" s="10"/>
      <c r="D1718" s="10"/>
      <c r="E1718" s="10"/>
      <c r="F1718" s="41"/>
      <c r="G1718" s="53"/>
      <c r="H1718" s="64"/>
      <c r="I1718" s="64"/>
      <c r="J1718" s="64"/>
      <c r="K1718" s="64"/>
      <c r="L1718" s="64"/>
      <c r="M1718" s="64"/>
      <c r="N1718" s="64"/>
      <c r="O1718" s="64"/>
      <c r="P1718" s="64"/>
      <c r="Q1718" s="54" t="s">
        <v>368</v>
      </c>
      <c r="R1718" s="54"/>
      <c r="S1718" s="129"/>
      <c r="T1718" s="105"/>
      <c r="U1718" s="133">
        <f>$K$1721*$I$1710*$G$1731*$E$1659*$C$1505*$A$1460*$M$1716*$O$1721*Q1719</f>
        <v>0</v>
      </c>
      <c r="V1718" s="133"/>
      <c r="W1718" s="134">
        <f>$K$1722+$I$1711+$G$1732+$E$1660+$C$1506+$A$1461+$M$1717+$O$1722+Q1720</f>
        <v>88224.001050605642</v>
      </c>
      <c r="X1718" s="133">
        <f>u_ChronicResp</f>
        <v>0.53465956747782661</v>
      </c>
      <c r="Y1718" s="133"/>
      <c r="Z1718" s="134">
        <f t="shared" si="134"/>
        <v>0</v>
      </c>
      <c r="AA1718" s="6">
        <f t="shared" si="133"/>
        <v>0</v>
      </c>
    </row>
    <row r="1719" spans="1:27" x14ac:dyDescent="0.3">
      <c r="A1719" s="10"/>
      <c r="B1719" s="10"/>
      <c r="C1719" s="10"/>
      <c r="D1719" s="10"/>
      <c r="E1719" s="10"/>
      <c r="F1719" s="41"/>
      <c r="G1719" s="53"/>
      <c r="H1719" s="64"/>
      <c r="I1719" s="64"/>
      <c r="J1719" s="64"/>
      <c r="K1719" s="64"/>
      <c r="L1719" s="64"/>
      <c r="M1719" s="64"/>
      <c r="N1719" s="64"/>
      <c r="O1719" s="64"/>
      <c r="P1719" s="64"/>
      <c r="Q1719" s="56">
        <f>RDS2CLD_4-(RDS2CLD_4*noHypo2CI_4)</f>
        <v>0.34905610687022898</v>
      </c>
      <c r="R1719" s="56"/>
      <c r="S1719" s="129"/>
      <c r="T1719" s="105"/>
      <c r="U1719" s="133"/>
      <c r="V1719" s="133">
        <v>0</v>
      </c>
      <c r="W1719" s="133"/>
      <c r="X1719" s="133"/>
      <c r="Y1719" s="133"/>
      <c r="Z1719" s="134">
        <f t="shared" si="134"/>
        <v>0</v>
      </c>
      <c r="AA1719" s="6">
        <f t="shared" si="133"/>
        <v>0</v>
      </c>
    </row>
    <row r="1720" spans="1:27" x14ac:dyDescent="0.3">
      <c r="A1720" s="10"/>
      <c r="B1720" s="10"/>
      <c r="C1720" s="10"/>
      <c r="D1720" s="10"/>
      <c r="E1720" s="10"/>
      <c r="F1720" s="41"/>
      <c r="G1720" s="53"/>
      <c r="H1720" s="64"/>
      <c r="I1720" s="64"/>
      <c r="J1720" s="64"/>
      <c r="K1720" s="54" t="s">
        <v>37</v>
      </c>
      <c r="L1720" s="64"/>
      <c r="M1720" s="65"/>
      <c r="N1720" s="64"/>
      <c r="O1720" s="54" t="s">
        <v>371</v>
      </c>
      <c r="P1720" s="64"/>
      <c r="Q1720" s="57">
        <f>c_lung+c_hosp_fu+c_CSG</f>
        <v>54529.510902399998</v>
      </c>
      <c r="R1720" s="57"/>
      <c r="S1720" s="129"/>
      <c r="T1720" s="105"/>
      <c r="U1720" s="133"/>
      <c r="V1720" s="133"/>
      <c r="W1720" s="133"/>
      <c r="X1720" s="133"/>
      <c r="Y1720" s="133"/>
      <c r="Z1720" s="134">
        <f t="shared" si="134"/>
        <v>0</v>
      </c>
      <c r="AA1720" s="6">
        <f t="shared" si="133"/>
        <v>0</v>
      </c>
    </row>
    <row r="1721" spans="1:27" x14ac:dyDescent="0.3">
      <c r="A1721" s="10"/>
      <c r="B1721" s="10"/>
      <c r="C1721" s="10"/>
      <c r="D1721" s="10"/>
      <c r="E1721" s="10"/>
      <c r="F1721" s="41"/>
      <c r="G1721" s="53"/>
      <c r="H1721" s="64"/>
      <c r="I1721" s="64"/>
      <c r="J1721" s="64"/>
      <c r="K1721" s="56">
        <f>SGA_term_2s_4</f>
        <v>0.98680000000000001</v>
      </c>
      <c r="L1721" s="64"/>
      <c r="M1721" s="64"/>
      <c r="N1721" s="64"/>
      <c r="O1721" s="56">
        <f>SGA_term_2normoglycaemia_4</f>
        <v>0.74</v>
      </c>
      <c r="P1721" s="64"/>
      <c r="Q1721" s="54" t="s">
        <v>226</v>
      </c>
      <c r="R1721" s="54"/>
      <c r="S1721" s="129"/>
      <c r="T1721" s="105"/>
      <c r="U1721" s="133">
        <f>$K$1721*$I$1710*$G$1731*$E$1659*$C$1505*$A$1460*$M$1716*$O$1721*Q1722</f>
        <v>0</v>
      </c>
      <c r="V1721" s="133"/>
      <c r="W1721" s="134">
        <f>$K$1722+$I$1711+$G$1732+$E$1660+$C$1506+$A$1461+$M$1717+$O$1722+Q1723</f>
        <v>49460.490148205638</v>
      </c>
      <c r="X1721" s="133">
        <f>u_CongnitiveImpairement</f>
        <v>17.270393127285455</v>
      </c>
      <c r="Y1721" s="133"/>
      <c r="Z1721" s="134">
        <f t="shared" si="134"/>
        <v>0</v>
      </c>
      <c r="AA1721" s="6">
        <f t="shared" si="133"/>
        <v>0</v>
      </c>
    </row>
    <row r="1722" spans="1:27" x14ac:dyDescent="0.3">
      <c r="A1722" s="10"/>
      <c r="B1722" s="10"/>
      <c r="C1722" s="10"/>
      <c r="D1722" s="10"/>
      <c r="E1722" s="10"/>
      <c r="F1722" s="41"/>
      <c r="G1722" s="53"/>
      <c r="H1722" s="64"/>
      <c r="I1722" s="64"/>
      <c r="J1722" s="64"/>
      <c r="K1722" s="57"/>
      <c r="L1722" s="64"/>
      <c r="M1722" s="64"/>
      <c r="N1722" s="64"/>
      <c r="O1722" s="57"/>
      <c r="P1722" s="64"/>
      <c r="Q1722" s="56">
        <f>noHypo2CI_4-(RDS2CLD_4*noHypo2CI_4)</f>
        <v>2.1141683406990762E-2</v>
      </c>
      <c r="R1722" s="56"/>
      <c r="S1722" s="129"/>
      <c r="T1722" s="105"/>
      <c r="U1722" s="133"/>
      <c r="V1722" s="133">
        <v>0</v>
      </c>
      <c r="W1722" s="133"/>
      <c r="X1722" s="133"/>
      <c r="Y1722" s="133"/>
      <c r="Z1722" s="134">
        <f t="shared" si="134"/>
        <v>0</v>
      </c>
      <c r="AA1722" s="6">
        <f t="shared" si="133"/>
        <v>0</v>
      </c>
    </row>
    <row r="1723" spans="1:27" x14ac:dyDescent="0.3">
      <c r="A1723" s="10"/>
      <c r="B1723" s="10"/>
      <c r="C1723" s="10"/>
      <c r="D1723" s="10"/>
      <c r="E1723" s="10"/>
      <c r="F1723" s="41"/>
      <c r="G1723" s="64"/>
      <c r="H1723" s="64"/>
      <c r="I1723" s="64"/>
      <c r="J1723" s="64"/>
      <c r="K1723" s="64"/>
      <c r="L1723" s="64"/>
      <c r="M1723" s="64"/>
      <c r="N1723" s="64"/>
      <c r="O1723" s="53"/>
      <c r="P1723" s="64"/>
      <c r="Q1723" s="57">
        <f>c_cog+c_hosp_fu+c_CSG</f>
        <v>15766</v>
      </c>
      <c r="R1723" s="57"/>
      <c r="S1723" s="129"/>
      <c r="T1723" s="105"/>
      <c r="U1723" s="133"/>
      <c r="V1723" s="133"/>
      <c r="W1723" s="133"/>
      <c r="X1723" s="133"/>
      <c r="Y1723" s="133"/>
      <c r="Z1723" s="134">
        <f t="shared" si="134"/>
        <v>0</v>
      </c>
      <c r="AA1723" s="6">
        <f t="shared" si="133"/>
        <v>0</v>
      </c>
    </row>
    <row r="1724" spans="1:27" x14ac:dyDescent="0.3">
      <c r="A1724" s="10"/>
      <c r="B1724" s="10"/>
      <c r="C1724" s="10"/>
      <c r="D1724" s="10"/>
      <c r="E1724" s="10"/>
      <c r="F1724" s="41"/>
      <c r="G1724" s="64"/>
      <c r="H1724" s="64"/>
      <c r="I1724" s="64"/>
      <c r="J1724" s="64"/>
      <c r="K1724" s="64"/>
      <c r="L1724" s="64"/>
      <c r="M1724" s="64"/>
      <c r="N1724" s="64"/>
      <c r="O1724" s="53"/>
      <c r="P1724" s="64"/>
      <c r="Q1724" s="54" t="s">
        <v>369</v>
      </c>
      <c r="R1724" s="54"/>
      <c r="S1724" s="129"/>
      <c r="T1724" s="105"/>
      <c r="U1724" s="133">
        <f>$K$1721*$I$1710*$G$1731*$E$1659*$C$1505*$A$1460*$M$1716*$O$1721*Q1725</f>
        <v>0</v>
      </c>
      <c r="V1724" s="133"/>
      <c r="W1724" s="134">
        <f>$K$1722+$I$1711+$G$1732+$E$1660+$C$1506+$A$1461+$M$1717+$O$1722+Q1726</f>
        <v>92043.001050605642</v>
      </c>
      <c r="X1724" s="133">
        <f>u_ChronicResp+u_CongnitiveImpairement</f>
        <v>17.805052694763283</v>
      </c>
      <c r="Y1724" s="133"/>
      <c r="Z1724" s="134">
        <f t="shared" si="134"/>
        <v>0</v>
      </c>
      <c r="AA1724" s="6">
        <f t="shared" si="133"/>
        <v>0</v>
      </c>
    </row>
    <row r="1725" spans="1:27" x14ac:dyDescent="0.3">
      <c r="A1725" s="10"/>
      <c r="B1725" s="10"/>
      <c r="C1725" s="10"/>
      <c r="D1725" s="10"/>
      <c r="E1725" s="10"/>
      <c r="F1725" s="41"/>
      <c r="G1725" s="64"/>
      <c r="H1725" s="64"/>
      <c r="I1725" s="64"/>
      <c r="J1725" s="64"/>
      <c r="K1725" s="64"/>
      <c r="L1725" s="64"/>
      <c r="M1725" s="64"/>
      <c r="N1725" s="64"/>
      <c r="O1725" s="53"/>
      <c r="P1725" s="64"/>
      <c r="Q1725" s="56">
        <f>RDS2CLD_4*noHypo2CI_4</f>
        <v>1.1943893129770991E-2</v>
      </c>
      <c r="R1725" s="56"/>
      <c r="S1725" s="129"/>
      <c r="T1725" s="105"/>
      <c r="U1725" s="133"/>
      <c r="V1725" s="133">
        <v>0</v>
      </c>
      <c r="W1725" s="133"/>
      <c r="X1725" s="133"/>
      <c r="Y1725" s="133"/>
      <c r="Z1725" s="134">
        <f t="shared" si="134"/>
        <v>0</v>
      </c>
      <c r="AA1725" s="6">
        <f t="shared" si="133"/>
        <v>0</v>
      </c>
    </row>
    <row r="1726" spans="1:27" x14ac:dyDescent="0.3">
      <c r="A1726" s="10"/>
      <c r="B1726" s="10"/>
      <c r="C1726" s="10"/>
      <c r="D1726" s="10"/>
      <c r="E1726" s="10"/>
      <c r="F1726" s="41"/>
      <c r="G1726" s="64"/>
      <c r="H1726" s="64"/>
      <c r="I1726" s="64"/>
      <c r="J1726" s="64"/>
      <c r="K1726" s="64"/>
      <c r="L1726" s="64"/>
      <c r="M1726" s="64"/>
      <c r="N1726" s="64"/>
      <c r="O1726" s="53"/>
      <c r="P1726" s="64"/>
      <c r="Q1726" s="57">
        <f>c_cog+c_lung+c_hosp_fu+c_CSG</f>
        <v>58348.510902399998</v>
      </c>
      <c r="R1726" s="57"/>
      <c r="S1726" s="129"/>
      <c r="T1726" s="105"/>
      <c r="U1726" s="133"/>
      <c r="V1726" s="133"/>
      <c r="W1726" s="133"/>
      <c r="X1726" s="133"/>
      <c r="Y1726" s="133"/>
      <c r="Z1726" s="134">
        <f t="shared" si="134"/>
        <v>0</v>
      </c>
      <c r="AA1726" s="6">
        <f t="shared" si="133"/>
        <v>0</v>
      </c>
    </row>
    <row r="1727" spans="1:27" x14ac:dyDescent="0.3">
      <c r="A1727" s="10"/>
      <c r="B1727" s="10"/>
      <c r="C1727" s="10"/>
      <c r="D1727" s="10"/>
      <c r="E1727" s="10"/>
      <c r="F1727" s="41"/>
      <c r="G1727" s="64"/>
      <c r="H1727" s="64"/>
      <c r="I1727" s="64"/>
      <c r="J1727" s="64"/>
      <c r="K1727" s="64"/>
      <c r="L1727" s="64"/>
      <c r="M1727" s="64"/>
      <c r="N1727" s="64"/>
      <c r="O1727" s="53"/>
      <c r="P1727" s="64"/>
      <c r="Q1727" s="54" t="s">
        <v>370</v>
      </c>
      <c r="R1727" s="54"/>
      <c r="T1727" s="105"/>
      <c r="U1727" s="133">
        <f>$K$1721*$I$1710*$G$1731*$E$1659*$C$1505*$A$1460*$M$1716*$O$1721*Q1728</f>
        <v>0</v>
      </c>
      <c r="V1727" s="133"/>
      <c r="W1727" s="134">
        <f>$K$1722+$I$1711+$G$1732+$E$1660+$C$1506+$A$1461+$M$1717+$O$1722+Q1729</f>
        <v>48097.490148205638</v>
      </c>
      <c r="X1727" s="133">
        <f>u_Healthy</f>
        <v>0</v>
      </c>
      <c r="Y1727" s="133"/>
      <c r="Z1727" s="134">
        <f t="shared" si="134"/>
        <v>0</v>
      </c>
      <c r="AA1727" s="6">
        <f t="shared" si="133"/>
        <v>0</v>
      </c>
    </row>
    <row r="1728" spans="1:27" x14ac:dyDescent="0.3">
      <c r="A1728" s="10"/>
      <c r="B1728" s="10"/>
      <c r="C1728" s="10"/>
      <c r="D1728" s="10"/>
      <c r="E1728" s="10"/>
      <c r="F1728" s="41"/>
      <c r="G1728" s="64"/>
      <c r="H1728" s="64"/>
      <c r="I1728" s="64"/>
      <c r="J1728" s="64"/>
      <c r="K1728" s="64"/>
      <c r="L1728" s="64"/>
      <c r="M1728" s="64"/>
      <c r="N1728" s="64"/>
      <c r="O1728" s="53"/>
      <c r="P1728" s="64"/>
      <c r="Q1728" s="56">
        <f>1-Q1725-Q1722-Q1719</f>
        <v>0.61785831659300938</v>
      </c>
      <c r="R1728" s="56"/>
      <c r="S1728" s="129"/>
      <c r="T1728" s="105"/>
      <c r="U1728" s="133"/>
      <c r="V1728" s="133">
        <v>0</v>
      </c>
      <c r="W1728" s="133"/>
      <c r="X1728" s="133"/>
      <c r="Y1728" s="133"/>
      <c r="Z1728" s="134">
        <f t="shared" si="134"/>
        <v>0</v>
      </c>
      <c r="AA1728" s="6">
        <f t="shared" si="133"/>
        <v>0</v>
      </c>
    </row>
    <row r="1729" spans="1:27" x14ac:dyDescent="0.3">
      <c r="A1729" s="10"/>
      <c r="B1729" s="10"/>
      <c r="C1729" s="10"/>
      <c r="D1729" s="10"/>
      <c r="E1729" s="10"/>
      <c r="F1729" s="41"/>
      <c r="G1729" s="64"/>
      <c r="H1729" s="64"/>
      <c r="I1729" s="64"/>
      <c r="J1729" s="64"/>
      <c r="K1729" s="64"/>
      <c r="L1729" s="64"/>
      <c r="M1729" s="64"/>
      <c r="N1729" s="64"/>
      <c r="O1729" s="64"/>
      <c r="P1729" s="64"/>
      <c r="Q1729" s="57">
        <f>c_clinic_fu+c_CSG</f>
        <v>14403</v>
      </c>
      <c r="R1729" s="57"/>
      <c r="S1729" s="129"/>
      <c r="T1729" s="105"/>
      <c r="U1729" s="133"/>
      <c r="V1729" s="133"/>
      <c r="W1729" s="133"/>
      <c r="X1729" s="133"/>
      <c r="Y1729" s="133"/>
      <c r="Z1729" s="134">
        <f t="shared" si="134"/>
        <v>0</v>
      </c>
      <c r="AA1729" s="6">
        <f t="shared" si="133"/>
        <v>0</v>
      </c>
    </row>
    <row r="1730" spans="1:27" x14ac:dyDescent="0.3">
      <c r="A1730" s="10"/>
      <c r="B1730" s="10"/>
      <c r="C1730" s="10"/>
      <c r="D1730" s="10"/>
      <c r="E1730" s="10"/>
      <c r="F1730" s="41"/>
      <c r="G1730" s="54" t="s">
        <v>372</v>
      </c>
      <c r="H1730" s="64"/>
      <c r="I1730" s="64"/>
      <c r="J1730" s="64"/>
      <c r="K1730" s="64"/>
      <c r="L1730" s="64"/>
      <c r="M1730" s="64"/>
      <c r="N1730" s="64"/>
      <c r="O1730" s="64"/>
      <c r="P1730" s="64"/>
      <c r="Q1730" s="65"/>
      <c r="R1730" s="65"/>
      <c r="S1730" s="129"/>
      <c r="T1730" s="105"/>
      <c r="U1730" s="133"/>
      <c r="V1730" s="133"/>
      <c r="W1730" s="133"/>
      <c r="X1730" s="133"/>
      <c r="Y1730" s="133"/>
      <c r="Z1730" s="134">
        <f t="shared" si="134"/>
        <v>0</v>
      </c>
      <c r="AA1730" s="6">
        <f t="shared" si="133"/>
        <v>0</v>
      </c>
    </row>
    <row r="1731" spans="1:27" x14ac:dyDescent="0.3">
      <c r="A1731" s="10"/>
      <c r="B1731" s="10"/>
      <c r="C1731" s="10"/>
      <c r="D1731" s="10"/>
      <c r="E1731" s="10"/>
      <c r="F1731" s="41"/>
      <c r="G1731" s="56">
        <f>Term2NBW_4</f>
        <v>0.65230769230769226</v>
      </c>
      <c r="H1731" s="64"/>
      <c r="I1731" s="64"/>
      <c r="J1731" s="64"/>
      <c r="K1731" s="64"/>
      <c r="L1731" s="64"/>
      <c r="M1731" s="64"/>
      <c r="N1731" s="64"/>
      <c r="O1731" s="64"/>
      <c r="P1731" s="64"/>
      <c r="Q1731" s="54" t="s">
        <v>368</v>
      </c>
      <c r="R1731" s="54"/>
      <c r="S1731" s="129"/>
      <c r="T1731" s="105"/>
      <c r="U1731" s="133">
        <f>$K$1721*$I$1710*$G$1731*$E$1659*$C$1505*$A$1460*$M$1736*$O$1734*Q1732</f>
        <v>1.4729694475272028E-3</v>
      </c>
      <c r="V1731" s="133">
        <v>1.4729694475272028E-3</v>
      </c>
      <c r="W1731" s="134">
        <f>$K$1722+$I$1711+$G$1732+$E$1660+$C$1506+$A$1461+$M$1737+$O$1735+Q1733</f>
        <v>60564.651302400001</v>
      </c>
      <c r="X1731" s="133">
        <f>u_ChronicResp</f>
        <v>0.53465956747782661</v>
      </c>
      <c r="Y1731" s="133"/>
      <c r="Z1731" s="134">
        <f t="shared" si="134"/>
        <v>89.209880968573813</v>
      </c>
      <c r="AA1731" s="6">
        <f t="shared" si="133"/>
        <v>7.875372077229475E-4</v>
      </c>
    </row>
    <row r="1732" spans="1:27" x14ac:dyDescent="0.3">
      <c r="A1732" s="10"/>
      <c r="B1732" s="10"/>
      <c r="C1732" s="10"/>
      <c r="D1732" s="10"/>
      <c r="E1732" s="10"/>
      <c r="F1732" s="41"/>
      <c r="G1732" s="57">
        <f>c_NICU_NBW</f>
        <v>3098.88</v>
      </c>
      <c r="H1732" s="64"/>
      <c r="I1732" s="64"/>
      <c r="J1732" s="64"/>
      <c r="K1732" s="64"/>
      <c r="L1732" s="64"/>
      <c r="M1732" s="64"/>
      <c r="N1732" s="64"/>
      <c r="O1732" s="64"/>
      <c r="P1732" s="64"/>
      <c r="Q1732" s="56">
        <f>RDS2CLD_4-(Hypo2CI_4*RDS2CLD_4)</f>
        <v>0.34246866666666664</v>
      </c>
      <c r="R1732" s="56"/>
      <c r="S1732" s="129"/>
      <c r="T1732" s="105"/>
      <c r="U1732" s="133"/>
      <c r="V1732" s="133"/>
      <c r="W1732" s="133"/>
      <c r="X1732" s="133"/>
      <c r="Y1732" s="133"/>
      <c r="Z1732" s="134">
        <f t="shared" si="134"/>
        <v>0</v>
      </c>
      <c r="AA1732" s="6">
        <f t="shared" si="133"/>
        <v>0</v>
      </c>
    </row>
    <row r="1733" spans="1:27" x14ac:dyDescent="0.3">
      <c r="A1733" s="10"/>
      <c r="B1733" s="10"/>
      <c r="C1733" s="10"/>
      <c r="D1733" s="10"/>
      <c r="E1733" s="10"/>
      <c r="F1733" s="41"/>
      <c r="G1733" s="64"/>
      <c r="H1733" s="64"/>
      <c r="I1733" s="64"/>
      <c r="J1733" s="64"/>
      <c r="K1733" s="64"/>
      <c r="L1733" s="64"/>
      <c r="M1733" s="64"/>
      <c r="N1733" s="64"/>
      <c r="O1733" s="54" t="s">
        <v>161</v>
      </c>
      <c r="P1733" s="64"/>
      <c r="Q1733" s="57">
        <f>c_lung+c_hosp_fu+c_CSG</f>
        <v>54529.510902399998</v>
      </c>
      <c r="R1733" s="57"/>
      <c r="S1733" s="129"/>
      <c r="T1733" s="105"/>
      <c r="U1733" s="133"/>
      <c r="V1733" s="133"/>
      <c r="W1733" s="133"/>
      <c r="X1733" s="133"/>
      <c r="Y1733" s="133"/>
      <c r="Z1733" s="134">
        <f t="shared" si="134"/>
        <v>0</v>
      </c>
      <c r="AA1733" s="6">
        <f t="shared" si="133"/>
        <v>0</v>
      </c>
    </row>
    <row r="1734" spans="1:27" x14ac:dyDescent="0.3">
      <c r="A1734" s="10"/>
      <c r="B1734" s="10"/>
      <c r="C1734" s="10"/>
      <c r="D1734" s="10"/>
      <c r="E1734" s="10"/>
      <c r="F1734" s="41"/>
      <c r="G1734" s="64"/>
      <c r="H1734" s="64"/>
      <c r="I1734" s="64"/>
      <c r="J1734" s="64"/>
      <c r="K1734" s="64"/>
      <c r="L1734" s="64"/>
      <c r="M1734" s="64"/>
      <c r="N1734" s="64"/>
      <c r="O1734" s="56">
        <f>SGA_term_2hypoglycaemia_4</f>
        <v>0.26</v>
      </c>
      <c r="P1734" s="64"/>
      <c r="Q1734" s="54" t="s">
        <v>226</v>
      </c>
      <c r="R1734" s="54"/>
      <c r="S1734" s="129"/>
      <c r="T1734" s="105"/>
      <c r="U1734" s="133">
        <f>$K$1721*$I$1710*$G$1731*$E$1659*$C$1505*$A$1460*$M$1736*$O$1734*Q1735</f>
        <v>1.4108252380593643E-4</v>
      </c>
      <c r="V1734" s="133">
        <v>1.4108252380593643E-4</v>
      </c>
      <c r="W1734" s="134">
        <f>$K$1722+$I$1711+$G$1732+$E$1660+$C$1506+$A$1461+$M$1737+$O$1735+Q1736</f>
        <v>21801.1404</v>
      </c>
      <c r="X1734" s="133">
        <f>u_CongnitiveImpairement</f>
        <v>17.270393127285455</v>
      </c>
      <c r="Y1734" s="133"/>
      <c r="Z1734" s="134">
        <f t="shared" si="134"/>
        <v>3.0757599094795625</v>
      </c>
      <c r="AA1734" s="6">
        <f t="shared" si="133"/>
        <v>2.4365506495181311E-3</v>
      </c>
    </row>
    <row r="1735" spans="1:27" x14ac:dyDescent="0.3">
      <c r="A1735" s="10"/>
      <c r="B1735" s="10"/>
      <c r="C1735" s="10"/>
      <c r="D1735" s="10"/>
      <c r="E1735" s="10"/>
      <c r="F1735" s="41"/>
      <c r="G1735" s="64"/>
      <c r="H1735" s="64"/>
      <c r="I1735" s="64"/>
      <c r="J1735" s="64"/>
      <c r="K1735" s="64"/>
      <c r="L1735" s="64"/>
      <c r="M1735" s="54" t="s">
        <v>203</v>
      </c>
      <c r="N1735" s="64"/>
      <c r="O1735" s="57">
        <f>c_hypo</f>
        <v>2936.2604000000001</v>
      </c>
      <c r="P1735" s="64"/>
      <c r="Q1735" s="56">
        <f>Hypo2CI_4-(Hypo2CI_4*RDS2CLD_4)</f>
        <v>3.2801999999999998E-2</v>
      </c>
      <c r="R1735" s="56"/>
      <c r="S1735" s="129"/>
      <c r="T1735" s="105"/>
      <c r="U1735" s="133"/>
      <c r="V1735" s="133"/>
      <c r="W1735" s="133"/>
      <c r="X1735" s="133"/>
      <c r="Y1735" s="133"/>
      <c r="Z1735" s="134">
        <f t="shared" si="134"/>
        <v>0</v>
      </c>
      <c r="AA1735" s="6">
        <f t="shared" si="133"/>
        <v>0</v>
      </c>
    </row>
    <row r="1736" spans="1:27" x14ac:dyDescent="0.3">
      <c r="A1736" s="10"/>
      <c r="B1736" s="10"/>
      <c r="C1736" s="10"/>
      <c r="D1736" s="10"/>
      <c r="E1736" s="10"/>
      <c r="F1736" s="41"/>
      <c r="G1736" s="64"/>
      <c r="H1736" s="64"/>
      <c r="I1736" s="64"/>
      <c r="J1736" s="64"/>
      <c r="K1736" s="64"/>
      <c r="L1736" s="64"/>
      <c r="M1736" s="56">
        <f>S_term_2noRDS_4</f>
        <v>1</v>
      </c>
      <c r="N1736" s="64"/>
      <c r="O1736" s="53"/>
      <c r="P1736" s="64"/>
      <c r="Q1736" s="57">
        <f>c_cog+c_hosp_fu+c_CSG</f>
        <v>15766</v>
      </c>
      <c r="R1736" s="57"/>
      <c r="S1736" s="129"/>
      <c r="T1736" s="105"/>
      <c r="U1736" s="133"/>
      <c r="V1736" s="133"/>
      <c r="W1736" s="133"/>
      <c r="X1736" s="133"/>
      <c r="Y1736" s="133"/>
      <c r="Z1736" s="134">
        <f t="shared" si="134"/>
        <v>0</v>
      </c>
      <c r="AA1736" s="6">
        <f t="shared" si="133"/>
        <v>0</v>
      </c>
    </row>
    <row r="1737" spans="1:27" x14ac:dyDescent="0.3">
      <c r="A1737" s="110"/>
      <c r="B1737" s="10"/>
      <c r="C1737" s="10"/>
      <c r="D1737" s="10"/>
      <c r="E1737" s="10"/>
      <c r="F1737" s="41"/>
      <c r="G1737" s="65"/>
      <c r="H1737" s="64"/>
      <c r="I1737" s="64"/>
      <c r="J1737" s="64"/>
      <c r="K1737" s="64"/>
      <c r="L1737" s="64"/>
      <c r="M1737" s="57"/>
      <c r="N1737" s="64"/>
      <c r="O1737" s="65"/>
      <c r="P1737" s="64"/>
      <c r="Q1737" s="54" t="s">
        <v>369</v>
      </c>
      <c r="R1737" s="54"/>
      <c r="S1737" s="129"/>
      <c r="T1737" s="105"/>
      <c r="U1737" s="133">
        <f>$K$1721*$I$1710*$G$1731*$E$1659*$C$1505*$A$1460*$M$1736*$O$1734*Q1738</f>
        <v>7.9703898425575979E-5</v>
      </c>
      <c r="V1737" s="133">
        <v>7.9703898425575979E-5</v>
      </c>
      <c r="W1737" s="134">
        <f>$K$1722+$I$1711+$G$1732+$E$1660+$C$1506+$A$1461+$M$1737+$O$1735+Q1739</f>
        <v>64383.651302400001</v>
      </c>
      <c r="X1737" s="133">
        <f>u_ChronicResp+u_CongnitiveImpairement</f>
        <v>17.805052694763283</v>
      </c>
      <c r="Y1737" s="133"/>
      <c r="Z1737" s="134">
        <f t="shared" si="134"/>
        <v>5.1316280036741926</v>
      </c>
      <c r="AA1737" s="6">
        <f t="shared" si="133"/>
        <v>1.4191321114454406E-3</v>
      </c>
    </row>
    <row r="1738" spans="1:27" x14ac:dyDescent="0.3">
      <c r="A1738" s="110"/>
      <c r="B1738" s="10"/>
      <c r="C1738" s="10"/>
      <c r="D1738" s="10"/>
      <c r="E1738" s="10"/>
      <c r="F1738" s="41"/>
      <c r="G1738" s="64"/>
      <c r="H1738" s="64"/>
      <c r="I1738" s="64"/>
      <c r="J1738" s="64"/>
      <c r="K1738" s="64"/>
      <c r="L1738" s="64"/>
      <c r="M1738" s="65"/>
      <c r="N1738" s="64"/>
      <c r="O1738" s="41"/>
      <c r="P1738" s="64"/>
      <c r="Q1738" s="56">
        <f>Hypo2CI_4*RDS2CLD_4</f>
        <v>1.8531333333333334E-2</v>
      </c>
      <c r="R1738" s="56"/>
      <c r="S1738" s="129"/>
      <c r="T1738" s="105"/>
      <c r="U1738" s="133"/>
      <c r="V1738" s="133"/>
      <c r="W1738" s="133"/>
      <c r="X1738" s="133"/>
      <c r="Y1738" s="133"/>
      <c r="Z1738" s="134">
        <f t="shared" si="134"/>
        <v>0</v>
      </c>
      <c r="AA1738" s="6">
        <f t="shared" si="133"/>
        <v>0</v>
      </c>
    </row>
    <row r="1739" spans="1:27" x14ac:dyDescent="0.3">
      <c r="A1739" s="116"/>
      <c r="B1739" s="10"/>
      <c r="C1739" s="10"/>
      <c r="D1739" s="10"/>
      <c r="E1739" s="10"/>
      <c r="F1739" s="41"/>
      <c r="G1739" s="64"/>
      <c r="H1739" s="64"/>
      <c r="I1739" s="64"/>
      <c r="J1739" s="64"/>
      <c r="K1739" s="64"/>
      <c r="L1739" s="64"/>
      <c r="M1739" s="65"/>
      <c r="N1739" s="64"/>
      <c r="O1739" s="41"/>
      <c r="P1739" s="64"/>
      <c r="Q1739" s="57">
        <f>c_lung+c_cog+c_hosp_fu+c_CSG</f>
        <v>58348.510902399998</v>
      </c>
      <c r="R1739" s="57"/>
      <c r="S1739" s="129"/>
      <c r="T1739" s="105"/>
      <c r="U1739" s="133"/>
      <c r="V1739" s="133"/>
      <c r="W1739" s="133"/>
      <c r="X1739" s="133"/>
      <c r="Y1739" s="133"/>
      <c r="Z1739" s="134">
        <f t="shared" si="134"/>
        <v>0</v>
      </c>
      <c r="AA1739" s="6">
        <f t="shared" si="133"/>
        <v>0</v>
      </c>
    </row>
    <row r="1740" spans="1:27" x14ac:dyDescent="0.3">
      <c r="A1740" s="10"/>
      <c r="B1740" s="10"/>
      <c r="C1740" s="10"/>
      <c r="D1740" s="10"/>
      <c r="E1740" s="10"/>
      <c r="F1740" s="41"/>
      <c r="G1740" s="64"/>
      <c r="H1740" s="64"/>
      <c r="I1740" s="64"/>
      <c r="J1740" s="64"/>
      <c r="K1740" s="64"/>
      <c r="L1740" s="64"/>
      <c r="M1740" s="65"/>
      <c r="N1740" s="64"/>
      <c r="O1740" s="41"/>
      <c r="P1740" s="64"/>
      <c r="Q1740" s="54" t="s">
        <v>370</v>
      </c>
      <c r="R1740" s="54"/>
      <c r="T1740" s="105"/>
      <c r="U1740" s="133">
        <f>$K$1721*$I$1710*$G$1731*$E$1659*$C$1505*$A$1460*$M$1736*$O$1734*Q1741</f>
        <v>2.6072783295564617E-3</v>
      </c>
      <c r="V1740" s="133">
        <v>2.6072783295564617E-3</v>
      </c>
      <c r="W1740" s="134">
        <f>$K$1722+$I$1711+$G$1732+$E$1660+$C$1506+$A$1461+$M$1737+$O$1735+Q1742</f>
        <v>20438.1404</v>
      </c>
      <c r="X1740" s="133">
        <f>u_Healthy</f>
        <v>0</v>
      </c>
      <c r="Y1740" s="133"/>
      <c r="Z1740" s="134">
        <f t="shared" si="134"/>
        <v>53.287920561352436</v>
      </c>
      <c r="AA1740" s="6">
        <f t="shared" si="133"/>
        <v>0</v>
      </c>
    </row>
    <row r="1741" spans="1:27" x14ac:dyDescent="0.3">
      <c r="A1741" s="10"/>
      <c r="B1741" s="10"/>
      <c r="C1741" s="10"/>
      <c r="D1741" s="10"/>
      <c r="E1741" s="10"/>
      <c r="F1741" s="41"/>
      <c r="G1741" s="64"/>
      <c r="H1741" s="64"/>
      <c r="I1741" s="64"/>
      <c r="J1741" s="64"/>
      <c r="K1741" s="64"/>
      <c r="L1741" s="64"/>
      <c r="M1741" s="65"/>
      <c r="N1741" s="64"/>
      <c r="O1741" s="65"/>
      <c r="P1741" s="64"/>
      <c r="Q1741" s="56">
        <f>1-Q1732-Q1735-Q1738</f>
        <v>0.60619800000000001</v>
      </c>
      <c r="R1741" s="56"/>
      <c r="S1741" s="129"/>
      <c r="T1741" s="105"/>
      <c r="U1741" s="133"/>
      <c r="V1741" s="133"/>
      <c r="W1741" s="133"/>
      <c r="X1741" s="133"/>
      <c r="Y1741" s="133"/>
      <c r="Z1741" s="134">
        <f t="shared" si="134"/>
        <v>0</v>
      </c>
      <c r="AA1741" s="6">
        <f t="shared" ref="AA1741:AA1809" si="135">U1741*X1741</f>
        <v>0</v>
      </c>
    </row>
    <row r="1742" spans="1:27" x14ac:dyDescent="0.3">
      <c r="A1742" s="10"/>
      <c r="B1742" s="10"/>
      <c r="C1742" s="10"/>
      <c r="D1742" s="10"/>
      <c r="E1742" s="10"/>
      <c r="F1742" s="41"/>
      <c r="G1742" s="64"/>
      <c r="H1742" s="64"/>
      <c r="I1742" s="64"/>
      <c r="J1742" s="64"/>
      <c r="K1742" s="64"/>
      <c r="L1742" s="64"/>
      <c r="M1742" s="65"/>
      <c r="N1742" s="64"/>
      <c r="O1742" s="64"/>
      <c r="P1742" s="64"/>
      <c r="Q1742" s="57">
        <f>c_clinic_fu+c_CSG</f>
        <v>14403</v>
      </c>
      <c r="R1742" s="57"/>
      <c r="S1742" s="130"/>
      <c r="T1742" s="105"/>
      <c r="U1742" s="133"/>
      <c r="V1742" s="133"/>
      <c r="W1742" s="133"/>
      <c r="X1742" s="133"/>
      <c r="Y1742" s="133"/>
      <c r="Z1742" s="134">
        <f t="shared" si="134"/>
        <v>0</v>
      </c>
      <c r="AA1742" s="6">
        <f t="shared" si="135"/>
        <v>0</v>
      </c>
    </row>
    <row r="1743" spans="1:27" x14ac:dyDescent="0.3">
      <c r="A1743" s="10"/>
      <c r="B1743" s="10"/>
      <c r="C1743" s="10"/>
      <c r="D1743" s="10"/>
      <c r="E1743" s="10"/>
      <c r="F1743" s="41"/>
      <c r="G1743" s="64"/>
      <c r="H1743" s="64"/>
      <c r="I1743" s="64"/>
      <c r="J1743" s="64"/>
      <c r="K1743" s="64"/>
      <c r="L1743" s="64"/>
      <c r="M1743" s="65"/>
      <c r="N1743" s="64"/>
      <c r="O1743" s="64"/>
      <c r="P1743" s="64"/>
      <c r="Q1743" s="65"/>
      <c r="R1743" s="65"/>
      <c r="S1743" s="129"/>
      <c r="T1743" s="105"/>
      <c r="U1743" s="133"/>
      <c r="V1743" s="133"/>
      <c r="W1743" s="133"/>
      <c r="X1743" s="133"/>
      <c r="Y1743" s="133"/>
      <c r="Z1743" s="134">
        <f t="shared" ref="Z1743:Z1809" si="136">U1743*W1743</f>
        <v>0</v>
      </c>
      <c r="AA1743" s="6">
        <f t="shared" si="135"/>
        <v>0</v>
      </c>
    </row>
    <row r="1744" spans="1:27" x14ac:dyDescent="0.3">
      <c r="A1744" s="10"/>
      <c r="B1744" s="10"/>
      <c r="C1744" s="10"/>
      <c r="D1744" s="10"/>
      <c r="E1744" s="10"/>
      <c r="F1744" s="41"/>
      <c r="G1744" s="64"/>
      <c r="H1744" s="64"/>
      <c r="I1744" s="64"/>
      <c r="J1744" s="64"/>
      <c r="K1744" s="64"/>
      <c r="L1744" s="64"/>
      <c r="M1744" s="65"/>
      <c r="N1744" s="64"/>
      <c r="O1744" s="64"/>
      <c r="P1744" s="64"/>
      <c r="Q1744" s="54" t="s">
        <v>368</v>
      </c>
      <c r="R1744" s="54"/>
      <c r="S1744" s="129"/>
      <c r="T1744" s="105"/>
      <c r="U1744" s="133">
        <f>$K$1721*$I$1710*$G$1731*$E$1659*$C$1505*$A$1460*$M$1736*$O$1748*Q1745</f>
        <v>4.2729371819815939E-3</v>
      </c>
      <c r="V1744" s="133">
        <v>4.2729371819815939E-3</v>
      </c>
      <c r="W1744" s="134">
        <f>$K$1722+$I$1711+$G$1732+$E$1660+$C$1506+$A$1461+$M$1737+$O$1749+Q1746</f>
        <v>57628.390902399995</v>
      </c>
      <c r="X1744" s="133">
        <f>u_ChronicResp</f>
        <v>0.53465956747782661</v>
      </c>
      <c r="Y1744" s="133"/>
      <c r="Z1744" s="134">
        <f t="shared" si="136"/>
        <v>246.24249422463475</v>
      </c>
      <c r="AA1744" s="6">
        <f t="shared" si="135"/>
        <v>2.2845667455782025E-3</v>
      </c>
    </row>
    <row r="1745" spans="1:27" x14ac:dyDescent="0.3">
      <c r="A1745" s="10"/>
      <c r="B1745" s="10"/>
      <c r="C1745" s="10"/>
      <c r="D1745" s="10"/>
      <c r="E1745" s="10"/>
      <c r="F1745" s="41"/>
      <c r="G1745" s="64"/>
      <c r="H1745" s="64"/>
      <c r="I1745" s="64"/>
      <c r="J1745" s="64"/>
      <c r="K1745" s="64"/>
      <c r="L1745" s="64"/>
      <c r="M1745" s="65"/>
      <c r="N1745" s="64"/>
      <c r="O1745" s="64"/>
      <c r="P1745" s="64"/>
      <c r="Q1745" s="56">
        <f>RDS2CLD_4-(RDS2CLD_4*noHypo2CI_4)</f>
        <v>0.34905610687022898</v>
      </c>
      <c r="R1745" s="56"/>
      <c r="S1745" s="129"/>
      <c r="T1745" s="105"/>
      <c r="U1745" s="133"/>
      <c r="V1745" s="133"/>
      <c r="W1745" s="133"/>
      <c r="X1745" s="133"/>
      <c r="Y1745" s="133"/>
      <c r="Z1745" s="134">
        <f t="shared" si="136"/>
        <v>0</v>
      </c>
      <c r="AA1745" s="6">
        <f t="shared" si="135"/>
        <v>0</v>
      </c>
    </row>
    <row r="1746" spans="1:27" x14ac:dyDescent="0.3">
      <c r="A1746" s="10"/>
      <c r="B1746" s="10"/>
      <c r="C1746" s="10"/>
      <c r="D1746" s="10"/>
      <c r="E1746" s="10"/>
      <c r="F1746" s="41"/>
      <c r="G1746" s="64"/>
      <c r="H1746" s="64"/>
      <c r="I1746" s="64"/>
      <c r="J1746" s="64"/>
      <c r="K1746" s="64"/>
      <c r="L1746" s="64"/>
      <c r="M1746" s="65"/>
      <c r="N1746" s="64"/>
      <c r="O1746" s="64"/>
      <c r="P1746" s="64"/>
      <c r="Q1746" s="57">
        <f>c_lung+c_hosp_fu+c_CSG</f>
        <v>54529.510902399998</v>
      </c>
      <c r="R1746" s="57"/>
      <c r="S1746" s="129"/>
      <c r="T1746" s="105"/>
      <c r="U1746" s="133"/>
      <c r="V1746" s="133"/>
      <c r="W1746" s="133"/>
      <c r="X1746" s="133"/>
      <c r="Y1746" s="133"/>
      <c r="Z1746" s="134">
        <f t="shared" si="136"/>
        <v>0</v>
      </c>
      <c r="AA1746" s="6">
        <f t="shared" si="135"/>
        <v>0</v>
      </c>
    </row>
    <row r="1747" spans="1:27" x14ac:dyDescent="0.3">
      <c r="A1747" s="10"/>
      <c r="B1747" s="10"/>
      <c r="C1747" s="10"/>
      <c r="D1747" s="10"/>
      <c r="E1747" s="10"/>
      <c r="F1747" s="41"/>
      <c r="G1747" s="64"/>
      <c r="H1747" s="64"/>
      <c r="I1747" s="64"/>
      <c r="J1747" s="64"/>
      <c r="K1747" s="64"/>
      <c r="L1747" s="64"/>
      <c r="M1747" s="65"/>
      <c r="N1747" s="64"/>
      <c r="O1747" s="54" t="s">
        <v>371</v>
      </c>
      <c r="P1747" s="64"/>
      <c r="Q1747" s="54" t="s">
        <v>226</v>
      </c>
      <c r="R1747" s="54"/>
      <c r="S1747" s="129"/>
      <c r="T1747" s="105"/>
      <c r="U1747" s="133">
        <f>$K$1721*$I$1710*$G$1731*$E$1659*$C$1505*$A$1460*$M$1736*$O$1748*Q1748</f>
        <v>2.5880390957605959E-4</v>
      </c>
      <c r="V1747" s="133">
        <v>2.5880390957605959E-4</v>
      </c>
      <c r="W1747" s="134">
        <f>$K$1722+$I$1711+$G$1732+$E$1660+$C$1506+$A$1461+$M$1737+$O$1749+Q1749</f>
        <v>18864.88</v>
      </c>
      <c r="X1747" s="133">
        <f>u_CongnitiveImpairement</f>
        <v>17.270393127285455</v>
      </c>
      <c r="Y1747" s="133"/>
      <c r="Z1747" s="134">
        <f t="shared" si="136"/>
        <v>4.8823046976832156</v>
      </c>
      <c r="AA1747" s="6">
        <f t="shared" si="135"/>
        <v>4.4696452612569861E-3</v>
      </c>
    </row>
    <row r="1748" spans="1:27" x14ac:dyDescent="0.3">
      <c r="A1748" s="10"/>
      <c r="B1748" s="10"/>
      <c r="C1748" s="10"/>
      <c r="D1748" s="10"/>
      <c r="E1748" s="10"/>
      <c r="F1748" s="41"/>
      <c r="G1748" s="64"/>
      <c r="H1748" s="64"/>
      <c r="I1748" s="64"/>
      <c r="J1748" s="64"/>
      <c r="K1748" s="64"/>
      <c r="L1748" s="64"/>
      <c r="M1748" s="65"/>
      <c r="N1748" s="64"/>
      <c r="O1748" s="56">
        <f>SGA_term_2normoglycaemia_4</f>
        <v>0.74</v>
      </c>
      <c r="P1748" s="64"/>
      <c r="Q1748" s="56">
        <f>noHypo2CI_4-(RDS2CLD_4*noHypo2CI_4)</f>
        <v>2.1141683406990762E-2</v>
      </c>
      <c r="R1748" s="56"/>
      <c r="S1748" s="129"/>
      <c r="T1748" s="105"/>
      <c r="U1748" s="133"/>
      <c r="V1748" s="133"/>
      <c r="W1748" s="133"/>
      <c r="X1748" s="133"/>
      <c r="Y1748" s="133"/>
      <c r="Z1748" s="134">
        <f t="shared" si="136"/>
        <v>0</v>
      </c>
      <c r="AA1748" s="6">
        <f t="shared" si="135"/>
        <v>0</v>
      </c>
    </row>
    <row r="1749" spans="1:27" x14ac:dyDescent="0.3">
      <c r="A1749" s="10"/>
      <c r="B1749" s="10"/>
      <c r="C1749" s="10"/>
      <c r="D1749" s="10"/>
      <c r="E1749" s="10"/>
      <c r="F1749" s="41"/>
      <c r="G1749" s="64"/>
      <c r="H1749" s="64"/>
      <c r="I1749" s="64"/>
      <c r="J1749" s="64"/>
      <c r="K1749" s="64"/>
      <c r="L1749" s="64"/>
      <c r="M1749" s="65"/>
      <c r="N1749" s="64"/>
      <c r="O1749" s="57"/>
      <c r="P1749" s="64"/>
      <c r="Q1749" s="57">
        <f>c_cog+c_hosp_fu+c_CSG</f>
        <v>15766</v>
      </c>
      <c r="R1749" s="57"/>
      <c r="S1749" s="129"/>
      <c r="T1749" s="105"/>
      <c r="U1749" s="133"/>
      <c r="V1749" s="133"/>
      <c r="W1749" s="133"/>
      <c r="X1749" s="133"/>
      <c r="Y1749" s="133"/>
      <c r="Z1749" s="134">
        <f t="shared" si="136"/>
        <v>0</v>
      </c>
      <c r="AA1749" s="6">
        <f t="shared" si="135"/>
        <v>0</v>
      </c>
    </row>
    <row r="1750" spans="1:27" x14ac:dyDescent="0.3">
      <c r="A1750" s="10"/>
      <c r="B1750" s="10"/>
      <c r="C1750" s="10"/>
      <c r="D1750" s="10"/>
      <c r="E1750" s="10"/>
      <c r="F1750" s="41"/>
      <c r="G1750" s="64"/>
      <c r="H1750" s="64"/>
      <c r="I1750" s="64"/>
      <c r="J1750" s="64"/>
      <c r="K1750" s="64"/>
      <c r="L1750" s="64"/>
      <c r="M1750" s="65"/>
      <c r="N1750" s="64"/>
      <c r="O1750" s="64"/>
      <c r="P1750" s="64"/>
      <c r="Q1750" s="54" t="s">
        <v>369</v>
      </c>
      <c r="R1750" s="54"/>
      <c r="S1750" s="129"/>
      <c r="T1750" s="105"/>
      <c r="U1750" s="133">
        <f>$K$1721*$I$1710*$G$1731*$E$1659*$C$1505*$A$1460*$M$1736*$O$1748*Q1751</f>
        <v>1.4621003342246867E-4</v>
      </c>
      <c r="V1750" s="133">
        <v>1.4621003342246867E-4</v>
      </c>
      <c r="W1750" s="134">
        <f>$K$1722+$I$1711+$G$1732+$E$1660+$C$1506+$A$1461+$M$1737+$O$1749+Q1752</f>
        <v>61447.390902399995</v>
      </c>
      <c r="X1750" s="133">
        <f>u_ChronicResp+u_CongnitiveImpairement</f>
        <v>17.805052694763283</v>
      </c>
      <c r="Y1750" s="133"/>
      <c r="Z1750" s="134">
        <f t="shared" si="136"/>
        <v>8.9842250775634014</v>
      </c>
      <c r="AA1750" s="6">
        <f t="shared" si="135"/>
        <v>2.6032773495901556E-3</v>
      </c>
    </row>
    <row r="1751" spans="1:27" x14ac:dyDescent="0.3">
      <c r="A1751" s="10"/>
      <c r="B1751" s="10"/>
      <c r="C1751" s="10"/>
      <c r="D1751" s="10"/>
      <c r="E1751" s="10"/>
      <c r="F1751" s="41"/>
      <c r="G1751" s="64"/>
      <c r="H1751" s="64"/>
      <c r="I1751" s="64"/>
      <c r="J1751" s="64"/>
      <c r="K1751" s="64"/>
      <c r="L1751" s="64"/>
      <c r="M1751" s="65"/>
      <c r="N1751" s="64"/>
      <c r="O1751" s="64"/>
      <c r="P1751" s="64"/>
      <c r="Q1751" s="56">
        <f>RDS2CLD_4*noHypo2CI_4</f>
        <v>1.1943893129770991E-2</v>
      </c>
      <c r="R1751" s="56"/>
      <c r="S1751" s="129"/>
      <c r="T1751" s="105"/>
      <c r="U1751" s="133"/>
      <c r="V1751" s="133"/>
      <c r="W1751" s="133"/>
      <c r="X1751" s="133"/>
      <c r="Y1751" s="133"/>
      <c r="Z1751" s="134">
        <f t="shared" si="136"/>
        <v>0</v>
      </c>
      <c r="AA1751" s="6">
        <f t="shared" si="135"/>
        <v>0</v>
      </c>
    </row>
    <row r="1752" spans="1:27" x14ac:dyDescent="0.3">
      <c r="A1752" s="10"/>
      <c r="B1752" s="10"/>
      <c r="C1752" s="10"/>
      <c r="D1752" s="10"/>
      <c r="E1752" s="10"/>
      <c r="F1752" s="41"/>
      <c r="G1752" s="64"/>
      <c r="H1752" s="64"/>
      <c r="I1752" s="64"/>
      <c r="J1752" s="64"/>
      <c r="K1752" s="64"/>
      <c r="L1752" s="64"/>
      <c r="M1752" s="65"/>
      <c r="N1752" s="64"/>
      <c r="O1752" s="64"/>
      <c r="P1752" s="64"/>
      <c r="Q1752" s="57">
        <f>c_cog+c_lung+c_hosp_fu+c_CSG</f>
        <v>58348.510902399998</v>
      </c>
      <c r="R1752" s="57"/>
      <c r="S1752" s="129"/>
      <c r="T1752" s="105"/>
      <c r="U1752" s="133"/>
      <c r="V1752" s="133"/>
      <c r="W1752" s="133"/>
      <c r="X1752" s="133"/>
      <c r="Y1752" s="133"/>
      <c r="Z1752" s="134">
        <f t="shared" si="136"/>
        <v>0</v>
      </c>
      <c r="AA1752" s="6">
        <f t="shared" si="135"/>
        <v>0</v>
      </c>
    </row>
    <row r="1753" spans="1:27" x14ac:dyDescent="0.3">
      <c r="A1753" s="10"/>
      <c r="B1753" s="10"/>
      <c r="C1753" s="10"/>
      <c r="D1753" s="10"/>
      <c r="E1753" s="10"/>
      <c r="F1753" s="41"/>
      <c r="G1753" s="64"/>
      <c r="H1753" s="64"/>
      <c r="I1753" s="64"/>
      <c r="J1753" s="64"/>
      <c r="K1753" s="64"/>
      <c r="L1753" s="64"/>
      <c r="M1753" s="65"/>
      <c r="N1753" s="64"/>
      <c r="O1753" s="64"/>
      <c r="P1753" s="64"/>
      <c r="Q1753" s="54" t="s">
        <v>370</v>
      </c>
      <c r="R1753" s="54"/>
      <c r="T1753" s="105"/>
      <c r="U1753" s="133">
        <f>$K$1721*$I$1710*$G$1731*$E$1659*$C$1505*$A$1460*$M$1736*$O$1748*Q1754</f>
        <v>7.563453903839998E-3</v>
      </c>
      <c r="V1753" s="133">
        <v>7.563453903839998E-3</v>
      </c>
      <c r="W1753" s="134">
        <f>$K$1722+$I$1711+$G$1732+$E$1660+$C$1506+$A$1461+$M$1737+$O$1749+Q1755</f>
        <v>17501.88</v>
      </c>
      <c r="X1753" s="133">
        <f>u_Healthy</f>
        <v>0</v>
      </c>
      <c r="Y1753" s="133"/>
      <c r="Z1753" s="134">
        <f t="shared" si="136"/>
        <v>132.37466261053919</v>
      </c>
      <c r="AA1753" s="6">
        <f t="shared" si="135"/>
        <v>0</v>
      </c>
    </row>
    <row r="1754" spans="1:27" x14ac:dyDescent="0.3">
      <c r="A1754" s="10"/>
      <c r="B1754" s="10"/>
      <c r="C1754" s="10"/>
      <c r="D1754" s="10"/>
      <c r="E1754" s="10"/>
      <c r="F1754" s="41"/>
      <c r="G1754" s="64"/>
      <c r="H1754" s="64"/>
      <c r="I1754" s="64"/>
      <c r="J1754" s="64"/>
      <c r="K1754" s="64"/>
      <c r="L1754" s="64"/>
      <c r="M1754" s="65"/>
      <c r="N1754" s="64"/>
      <c r="O1754" s="64"/>
      <c r="P1754" s="64"/>
      <c r="Q1754" s="56">
        <f>1-Q1751-Q1748-Q1745</f>
        <v>0.61785831659300938</v>
      </c>
      <c r="R1754" s="56"/>
      <c r="S1754" s="129"/>
      <c r="T1754" s="105"/>
      <c r="U1754" s="133"/>
      <c r="V1754" s="133"/>
      <c r="W1754" s="133"/>
      <c r="X1754" s="133"/>
      <c r="Y1754" s="133"/>
      <c r="Z1754" s="134">
        <f t="shared" si="136"/>
        <v>0</v>
      </c>
      <c r="AA1754" s="6">
        <f t="shared" si="135"/>
        <v>0</v>
      </c>
    </row>
    <row r="1755" spans="1:27" x14ac:dyDescent="0.3">
      <c r="A1755" s="10"/>
      <c r="B1755" s="10"/>
      <c r="C1755" s="10"/>
      <c r="D1755" s="10"/>
      <c r="E1755" s="10"/>
      <c r="F1755" s="41"/>
      <c r="G1755" s="64"/>
      <c r="H1755" s="64"/>
      <c r="I1755" s="64"/>
      <c r="J1755" s="64"/>
      <c r="K1755" s="64"/>
      <c r="L1755" s="64"/>
      <c r="M1755" s="65"/>
      <c r="N1755" s="64"/>
      <c r="O1755" s="64"/>
      <c r="P1755" s="64"/>
      <c r="Q1755" s="57">
        <f>c_clinic_fu+c_CSG</f>
        <v>14403</v>
      </c>
      <c r="R1755" s="57"/>
      <c r="S1755" s="129"/>
      <c r="T1755" s="105"/>
      <c r="U1755" s="133"/>
      <c r="V1755" s="133"/>
      <c r="W1755" s="133"/>
      <c r="X1755" s="133"/>
      <c r="Y1755" s="133"/>
      <c r="Z1755" s="134">
        <f t="shared" si="136"/>
        <v>0</v>
      </c>
      <c r="AA1755" s="6">
        <f t="shared" si="135"/>
        <v>0</v>
      </c>
    </row>
    <row r="1756" spans="1:27" x14ac:dyDescent="0.3">
      <c r="A1756" s="10"/>
      <c r="B1756" s="10"/>
      <c r="C1756" s="10"/>
      <c r="D1756" s="10"/>
      <c r="E1756" s="10"/>
      <c r="F1756" s="41"/>
      <c r="G1756" s="64"/>
      <c r="H1756" s="64"/>
      <c r="I1756" s="64"/>
      <c r="J1756" s="64"/>
      <c r="K1756" s="64"/>
      <c r="L1756" s="64"/>
      <c r="M1756" s="65"/>
      <c r="N1756" s="64"/>
      <c r="O1756" s="64"/>
      <c r="P1756" s="64"/>
      <c r="Q1756" s="65"/>
      <c r="R1756" s="65"/>
      <c r="S1756" s="129"/>
      <c r="T1756" s="105"/>
      <c r="U1756" s="133"/>
      <c r="V1756" s="133"/>
      <c r="W1756" s="133"/>
      <c r="X1756" s="133"/>
      <c r="Y1756" s="133"/>
      <c r="Z1756" s="134">
        <f t="shared" si="136"/>
        <v>0</v>
      </c>
      <c r="AA1756" s="6">
        <f t="shared" si="135"/>
        <v>0</v>
      </c>
    </row>
    <row r="1757" spans="1:27" x14ac:dyDescent="0.3">
      <c r="A1757" s="10"/>
      <c r="B1757" s="10"/>
      <c r="C1757" s="10"/>
      <c r="D1757" s="10"/>
      <c r="E1757" s="10"/>
      <c r="F1757" s="41"/>
      <c r="G1757" s="64"/>
      <c r="H1757" s="64"/>
      <c r="I1757" s="64"/>
      <c r="J1757" s="64"/>
      <c r="K1757" s="54" t="s">
        <v>165</v>
      </c>
      <c r="L1757" s="54"/>
      <c r="M1757" s="54"/>
      <c r="N1757" s="54"/>
      <c r="O1757" s="54"/>
      <c r="P1757" s="54"/>
      <c r="Q1757" s="54"/>
      <c r="R1757" s="54"/>
      <c r="S1757" s="129"/>
      <c r="T1757" s="105"/>
      <c r="U1757" s="133">
        <f>$K$1758*$I$1766*$G$1731*$E$1659*$C$1505*$A$1460</f>
        <v>4.4560004697704594E-4</v>
      </c>
      <c r="V1757" s="133">
        <v>4.4560004697704594E-4</v>
      </c>
      <c r="W1757" s="134">
        <f>$K$1759+$I$1767+$G$1732+$E$1660+$C$1506+$A$1461</f>
        <v>4890.88</v>
      </c>
      <c r="X1757" s="133">
        <f>u_Death</f>
        <v>19.181538114427529</v>
      </c>
      <c r="Y1757" s="133"/>
      <c r="Z1757" s="134">
        <f t="shared" si="136"/>
        <v>2.1793763577590943</v>
      </c>
      <c r="AA1757" s="6">
        <f t="shared" si="135"/>
        <v>8.547294284880904E-3</v>
      </c>
    </row>
    <row r="1758" spans="1:27" x14ac:dyDescent="0.3">
      <c r="A1758" s="10"/>
      <c r="B1758" s="10"/>
      <c r="C1758" s="10"/>
      <c r="D1758" s="10"/>
      <c r="E1758" s="10"/>
      <c r="F1758" s="41"/>
      <c r="G1758" s="64"/>
      <c r="H1758" s="64"/>
      <c r="I1758" s="64"/>
      <c r="J1758" s="64"/>
      <c r="K1758" s="56">
        <f>AGA_term_2d_4</f>
        <v>6.2333333333333338E-3</v>
      </c>
      <c r="L1758" s="64"/>
      <c r="M1758" s="64"/>
      <c r="N1758" s="64"/>
      <c r="O1758" s="64"/>
      <c r="P1758" s="64"/>
      <c r="Q1758" s="64"/>
      <c r="R1758" s="64"/>
      <c r="S1758" s="129"/>
      <c r="T1758" s="105"/>
      <c r="U1758" s="133"/>
      <c r="V1758" s="133"/>
      <c r="W1758" s="133"/>
      <c r="X1758" s="133"/>
      <c r="Y1758" s="133"/>
      <c r="Z1758" s="134">
        <f t="shared" si="136"/>
        <v>0</v>
      </c>
      <c r="AA1758" s="6">
        <f t="shared" si="135"/>
        <v>0</v>
      </c>
    </row>
    <row r="1759" spans="1:27" x14ac:dyDescent="0.3">
      <c r="A1759" s="10"/>
      <c r="B1759" s="10"/>
      <c r="C1759" s="10"/>
      <c r="D1759" s="10"/>
      <c r="E1759" s="10"/>
      <c r="F1759" s="41"/>
      <c r="G1759" s="64"/>
      <c r="H1759" s="64"/>
      <c r="I1759" s="64"/>
      <c r="J1759" s="64"/>
      <c r="K1759" s="57">
        <f>c_SB</f>
        <v>1792</v>
      </c>
      <c r="L1759" s="64"/>
      <c r="M1759" s="64"/>
      <c r="N1759" s="64"/>
      <c r="O1759" s="64"/>
      <c r="P1759" s="64"/>
      <c r="Q1759" s="64"/>
      <c r="R1759" s="64"/>
      <c r="S1759" s="129"/>
      <c r="T1759" s="105"/>
      <c r="U1759" s="133"/>
      <c r="V1759" s="133"/>
      <c r="W1759" s="133"/>
      <c r="X1759" s="133"/>
      <c r="Y1759" s="133"/>
      <c r="Z1759" s="134">
        <f t="shared" si="136"/>
        <v>0</v>
      </c>
      <c r="AA1759" s="6">
        <f t="shared" si="135"/>
        <v>0</v>
      </c>
    </row>
    <row r="1760" spans="1:27" x14ac:dyDescent="0.3">
      <c r="A1760" s="10"/>
      <c r="B1760" s="10"/>
      <c r="C1760" s="10"/>
      <c r="D1760" s="10"/>
      <c r="E1760" s="10"/>
      <c r="F1760" s="41"/>
      <c r="G1760" s="64"/>
      <c r="H1760" s="64"/>
      <c r="I1760" s="64"/>
      <c r="J1760" s="64"/>
      <c r="K1760" s="53"/>
      <c r="L1760" s="53"/>
      <c r="M1760" s="53"/>
      <c r="N1760" s="53"/>
      <c r="O1760" s="53"/>
      <c r="P1760" s="53"/>
      <c r="Q1760" s="53"/>
      <c r="R1760" s="53"/>
      <c r="S1760" s="129"/>
      <c r="T1760" s="105"/>
      <c r="U1760" s="133"/>
      <c r="V1760" s="133"/>
      <c r="W1760" s="133"/>
      <c r="X1760" s="133"/>
      <c r="Y1760" s="133"/>
      <c r="Z1760" s="134">
        <f t="shared" si="136"/>
        <v>0</v>
      </c>
      <c r="AA1760" s="6">
        <f t="shared" si="135"/>
        <v>0</v>
      </c>
    </row>
    <row r="1761" spans="1:27" x14ac:dyDescent="0.3">
      <c r="A1761" s="10"/>
      <c r="B1761" s="10"/>
      <c r="C1761" s="10"/>
      <c r="D1761" s="10"/>
      <c r="E1761" s="10"/>
      <c r="F1761" s="41"/>
      <c r="G1761" s="64"/>
      <c r="H1761" s="64"/>
      <c r="I1761" s="64"/>
      <c r="J1761" s="64"/>
      <c r="K1761" s="53"/>
      <c r="L1761" s="53"/>
      <c r="M1761" s="53"/>
      <c r="N1761" s="53"/>
      <c r="O1761" s="53"/>
      <c r="P1761" s="53"/>
      <c r="Q1761" s="54" t="s">
        <v>368</v>
      </c>
      <c r="R1761" s="54"/>
      <c r="S1761" s="129"/>
      <c r="T1761" s="105"/>
      <c r="U1761" s="133">
        <f>$K$1777*$I$1766*$G$1731*$E$1659*$C$1505*$A$1460*$M$1772*$O$1767*Q1762</f>
        <v>0</v>
      </c>
      <c r="V1761" s="133"/>
      <c r="W1761" s="134">
        <f>$K$1778+$I$1767+$G$1732+$E$1660+$C$1506+$A$1461+$M$1773+$O$1768+Q1763</f>
        <v>91160.261450605642</v>
      </c>
      <c r="X1761" s="133">
        <f>u_ChronicResp</f>
        <v>0.53465956747782661</v>
      </c>
      <c r="Y1761" s="133"/>
      <c r="Z1761" s="134">
        <f t="shared" si="136"/>
        <v>0</v>
      </c>
      <c r="AA1761" s="6">
        <f t="shared" si="135"/>
        <v>0</v>
      </c>
    </row>
    <row r="1762" spans="1:27" x14ac:dyDescent="0.3">
      <c r="A1762" s="10"/>
      <c r="B1762" s="10"/>
      <c r="C1762" s="10"/>
      <c r="D1762" s="10"/>
      <c r="E1762" s="10"/>
      <c r="F1762" s="41"/>
      <c r="G1762" s="64"/>
      <c r="H1762" s="64"/>
      <c r="I1762" s="64"/>
      <c r="J1762" s="64"/>
      <c r="K1762" s="53"/>
      <c r="L1762" s="53"/>
      <c r="M1762" s="53"/>
      <c r="N1762" s="53"/>
      <c r="O1762" s="64"/>
      <c r="P1762" s="64"/>
      <c r="Q1762" s="56">
        <f>RDS2CLD_4-(Hypo2CI_4*RDS2CLD_4)</f>
        <v>0.34246866666666664</v>
      </c>
      <c r="R1762" s="56"/>
      <c r="S1762" s="129"/>
      <c r="T1762" s="105"/>
      <c r="U1762" s="133"/>
      <c r="V1762" s="133">
        <v>0</v>
      </c>
      <c r="W1762" s="133"/>
      <c r="X1762" s="133"/>
      <c r="Y1762" s="133"/>
      <c r="Z1762" s="134">
        <f t="shared" si="136"/>
        <v>0</v>
      </c>
      <c r="AA1762" s="6">
        <f t="shared" si="135"/>
        <v>0</v>
      </c>
    </row>
    <row r="1763" spans="1:27" x14ac:dyDescent="0.3">
      <c r="A1763" s="10"/>
      <c r="B1763" s="10"/>
      <c r="C1763" s="10"/>
      <c r="D1763" s="10"/>
      <c r="E1763" s="10"/>
      <c r="F1763" s="41"/>
      <c r="G1763" s="64"/>
      <c r="H1763" s="64"/>
      <c r="I1763" s="64"/>
      <c r="J1763" s="64"/>
      <c r="K1763" s="53"/>
      <c r="L1763" s="53"/>
      <c r="M1763" s="53"/>
      <c r="N1763" s="53"/>
      <c r="O1763" s="64"/>
      <c r="P1763" s="64"/>
      <c r="Q1763" s="57">
        <f>c_lung+c_hosp_fu+c_CSG</f>
        <v>54529.510902399998</v>
      </c>
      <c r="R1763" s="57"/>
      <c r="S1763" s="129"/>
      <c r="T1763" s="105"/>
      <c r="U1763" s="133"/>
      <c r="V1763" s="133"/>
      <c r="W1763" s="133"/>
      <c r="X1763" s="133"/>
      <c r="Y1763" s="133"/>
      <c r="Z1763" s="134">
        <f t="shared" si="136"/>
        <v>0</v>
      </c>
      <c r="AA1763" s="6">
        <f t="shared" si="135"/>
        <v>0</v>
      </c>
    </row>
    <row r="1764" spans="1:27" x14ac:dyDescent="0.3">
      <c r="A1764" s="10"/>
      <c r="B1764" s="10"/>
      <c r="C1764" s="10"/>
      <c r="D1764" s="10"/>
      <c r="E1764" s="10"/>
      <c r="F1764" s="41"/>
      <c r="G1764" s="64"/>
      <c r="H1764" s="64"/>
      <c r="I1764" s="64"/>
      <c r="J1764" s="64"/>
      <c r="K1764" s="53"/>
      <c r="L1764" s="53"/>
      <c r="M1764" s="53"/>
      <c r="N1764" s="53"/>
      <c r="O1764" s="64"/>
      <c r="P1764" s="64"/>
      <c r="Q1764" s="54" t="s">
        <v>226</v>
      </c>
      <c r="R1764" s="54"/>
      <c r="S1764" s="129"/>
      <c r="T1764" s="105"/>
      <c r="U1764" s="133">
        <f>$K$1777*$I$1766*$G$1731*$E$1659*$C$1505*$A$1460*$M$1772*$O$1767*Q1765</f>
        <v>0</v>
      </c>
      <c r="V1764" s="133"/>
      <c r="W1764" s="134">
        <f>$K$1778+$I$1767+$G$1732+$E$1660+$C$1506+$A$1461+$M$1773+$O$1768+Q1766</f>
        <v>52396.750548205637</v>
      </c>
      <c r="X1764" s="133">
        <f>u_CongnitiveImpairement</f>
        <v>17.270393127285455</v>
      </c>
      <c r="Y1764" s="133"/>
      <c r="Z1764" s="134">
        <f t="shared" si="136"/>
        <v>0</v>
      </c>
      <c r="AA1764" s="6">
        <f t="shared" si="135"/>
        <v>0</v>
      </c>
    </row>
    <row r="1765" spans="1:27" x14ac:dyDescent="0.3">
      <c r="A1765" s="10"/>
      <c r="B1765" s="10"/>
      <c r="C1765" s="10"/>
      <c r="D1765" s="10"/>
      <c r="E1765" s="10"/>
      <c r="F1765" s="41"/>
      <c r="G1765" s="64"/>
      <c r="H1765" s="64"/>
      <c r="I1765" s="54" t="s">
        <v>425</v>
      </c>
      <c r="J1765" s="64"/>
      <c r="K1765" s="64"/>
      <c r="L1765" s="64"/>
      <c r="M1765" s="64"/>
      <c r="N1765" s="64"/>
      <c r="O1765" s="64"/>
      <c r="P1765" s="64"/>
      <c r="Q1765" s="56">
        <f>Hypo2CI_4-(Hypo2CI_4*RDS2CLD_4)</f>
        <v>3.2801999999999998E-2</v>
      </c>
      <c r="R1765" s="56"/>
      <c r="S1765" s="129"/>
      <c r="T1765" s="105"/>
      <c r="U1765" s="133"/>
      <c r="V1765" s="133">
        <v>0</v>
      </c>
      <c r="W1765" s="133"/>
      <c r="X1765" s="133"/>
      <c r="Y1765" s="133"/>
      <c r="Z1765" s="134">
        <f t="shared" si="136"/>
        <v>0</v>
      </c>
      <c r="AA1765" s="6">
        <f t="shared" si="135"/>
        <v>0</v>
      </c>
    </row>
    <row r="1766" spans="1:27" x14ac:dyDescent="0.3">
      <c r="A1766" s="10"/>
      <c r="B1766" s="10"/>
      <c r="C1766" s="10"/>
      <c r="D1766" s="10"/>
      <c r="E1766" s="10"/>
      <c r="F1766" s="41"/>
      <c r="G1766" s="64"/>
      <c r="H1766" s="64"/>
      <c r="I1766" s="56">
        <f>NBW_term_2AGA_4</f>
        <v>0.81004360154892219</v>
      </c>
      <c r="J1766" s="64"/>
      <c r="K1766" s="64"/>
      <c r="L1766" s="64"/>
      <c r="M1766" s="64"/>
      <c r="N1766" s="64"/>
      <c r="O1766" s="54" t="s">
        <v>161</v>
      </c>
      <c r="P1766" s="64"/>
      <c r="Q1766" s="57">
        <f>c_cog+c_hosp_fu+c_CSG</f>
        <v>15766</v>
      </c>
      <c r="R1766" s="57"/>
      <c r="S1766" s="129"/>
      <c r="T1766" s="105"/>
      <c r="U1766" s="133"/>
      <c r="V1766" s="133"/>
      <c r="W1766" s="133"/>
      <c r="X1766" s="133"/>
      <c r="Y1766" s="133"/>
      <c r="Z1766" s="134">
        <f t="shared" si="136"/>
        <v>0</v>
      </c>
      <c r="AA1766" s="6">
        <f t="shared" si="135"/>
        <v>0</v>
      </c>
    </row>
    <row r="1767" spans="1:27" x14ac:dyDescent="0.3">
      <c r="A1767" s="10"/>
      <c r="B1767" s="10"/>
      <c r="C1767" s="10"/>
      <c r="D1767" s="10"/>
      <c r="E1767" s="10"/>
      <c r="F1767" s="41"/>
      <c r="G1767" s="64"/>
      <c r="H1767" s="64"/>
      <c r="I1767" s="57"/>
      <c r="J1767" s="64"/>
      <c r="K1767" s="64"/>
      <c r="L1767" s="64"/>
      <c r="M1767" s="64"/>
      <c r="N1767" s="64"/>
      <c r="O1767" s="56">
        <f>AGA_term_2hypoglycaemia_4</f>
        <v>0</v>
      </c>
      <c r="P1767" s="64"/>
      <c r="Q1767" s="54" t="s">
        <v>369</v>
      </c>
      <c r="R1767" s="54"/>
      <c r="S1767" s="129"/>
      <c r="T1767" s="105"/>
      <c r="U1767" s="133">
        <f>$K$1777*$I$1766*$G$1731*$E$1659*$C$1505*$A$1460*$M$1772*$O$1767*Q1768</f>
        <v>0</v>
      </c>
      <c r="V1767" s="133"/>
      <c r="W1767" s="134">
        <f>$K$1778+$I$1767+$G$1732+$E$1660+$C$1506+$A$1461+$M$1773+$O$1768+Q1769</f>
        <v>94979.261450605642</v>
      </c>
      <c r="X1767" s="133">
        <f>u_ChronicResp+u_CongnitiveImpairement</f>
        <v>17.805052694763283</v>
      </c>
      <c r="Y1767" s="133"/>
      <c r="Z1767" s="134">
        <f t="shared" si="136"/>
        <v>0</v>
      </c>
      <c r="AA1767" s="6">
        <f t="shared" si="135"/>
        <v>0</v>
      </c>
    </row>
    <row r="1768" spans="1:27" x14ac:dyDescent="0.3">
      <c r="A1768" s="10"/>
      <c r="B1768" s="10"/>
      <c r="C1768" s="10"/>
      <c r="D1768" s="10"/>
      <c r="E1768" s="10"/>
      <c r="F1768" s="41"/>
      <c r="G1768" s="64"/>
      <c r="H1768" s="64"/>
      <c r="I1768" s="64"/>
      <c r="J1768" s="64"/>
      <c r="K1768" s="64"/>
      <c r="L1768" s="64"/>
      <c r="M1768" s="64"/>
      <c r="N1768" s="64"/>
      <c r="O1768" s="57">
        <f>c_hypo</f>
        <v>2936.2604000000001</v>
      </c>
      <c r="P1768" s="64"/>
      <c r="Q1768" s="56">
        <f>Hypo2CI_4*RDS2CLD_4</f>
        <v>1.8531333333333334E-2</v>
      </c>
      <c r="R1768" s="56"/>
      <c r="S1768" s="129"/>
      <c r="T1768" s="105"/>
      <c r="U1768" s="133"/>
      <c r="V1768" s="133">
        <v>0</v>
      </c>
      <c r="W1768" s="133"/>
      <c r="X1768" s="133"/>
      <c r="Y1768" s="133"/>
      <c r="Z1768" s="134">
        <f t="shared" si="136"/>
        <v>0</v>
      </c>
      <c r="AA1768" s="6">
        <f t="shared" si="135"/>
        <v>0</v>
      </c>
    </row>
    <row r="1769" spans="1:27" x14ac:dyDescent="0.3">
      <c r="A1769" s="10"/>
      <c r="B1769" s="10"/>
      <c r="C1769" s="10"/>
      <c r="D1769" s="10"/>
      <c r="E1769" s="10"/>
      <c r="F1769" s="41"/>
      <c r="G1769" s="64"/>
      <c r="H1769" s="64"/>
      <c r="I1769" s="64"/>
      <c r="J1769" s="64"/>
      <c r="K1769" s="64"/>
      <c r="L1769" s="64"/>
      <c r="M1769" s="65"/>
      <c r="N1769" s="64"/>
      <c r="O1769" s="53"/>
      <c r="P1769" s="64"/>
      <c r="Q1769" s="57">
        <f>c_lung+c_cog+c_hosp_fu+c_CSG</f>
        <v>58348.510902399998</v>
      </c>
      <c r="R1769" s="57"/>
      <c r="S1769" s="129"/>
      <c r="T1769" s="105"/>
      <c r="U1769" s="133"/>
      <c r="V1769" s="133"/>
      <c r="W1769" s="133"/>
      <c r="X1769" s="133"/>
      <c r="Y1769" s="133"/>
      <c r="Z1769" s="134">
        <f t="shared" si="136"/>
        <v>0</v>
      </c>
      <c r="AA1769" s="6">
        <f t="shared" si="135"/>
        <v>0</v>
      </c>
    </row>
    <row r="1770" spans="1:27" x14ac:dyDescent="0.3">
      <c r="A1770" s="10"/>
      <c r="B1770" s="10"/>
      <c r="C1770" s="10"/>
      <c r="D1770" s="10"/>
      <c r="E1770" s="10"/>
      <c r="F1770" s="41"/>
      <c r="G1770" s="64"/>
      <c r="H1770" s="64"/>
      <c r="I1770" s="64"/>
      <c r="J1770" s="64"/>
      <c r="K1770" s="64"/>
      <c r="L1770" s="64"/>
      <c r="M1770" s="64"/>
      <c r="N1770" s="64"/>
      <c r="O1770" s="64"/>
      <c r="P1770" s="64"/>
      <c r="Q1770" s="54" t="s">
        <v>370</v>
      </c>
      <c r="R1770" s="54"/>
      <c r="S1770" s="129"/>
      <c r="T1770" s="105"/>
      <c r="U1770" s="133">
        <f>$K$1777*$I$1766*$G$1731*$E$1659*$C$1505*$A$1460*$M$1772*$O$1767*Q1771</f>
        <v>0</v>
      </c>
      <c r="V1770" s="133"/>
      <c r="W1770" s="134">
        <f>$K$1778+$I$1767+$G$1732+$E$1660+$C$1506+$A$1461+$M$1773+$O$1768+Q1772</f>
        <v>51033.750548205637</v>
      </c>
      <c r="X1770" s="133">
        <f>u_Healthy</f>
        <v>0</v>
      </c>
      <c r="Y1770" s="133"/>
      <c r="Z1770" s="134">
        <f t="shared" si="136"/>
        <v>0</v>
      </c>
      <c r="AA1770" s="6">
        <f t="shared" si="135"/>
        <v>0</v>
      </c>
    </row>
    <row r="1771" spans="1:27" x14ac:dyDescent="0.3">
      <c r="A1771" s="10"/>
      <c r="B1771" s="10"/>
      <c r="C1771" s="10"/>
      <c r="D1771" s="10"/>
      <c r="E1771" s="10"/>
      <c r="F1771" s="41"/>
      <c r="G1771" s="64"/>
      <c r="H1771" s="64"/>
      <c r="I1771" s="64"/>
      <c r="J1771" s="64"/>
      <c r="K1771" s="64"/>
      <c r="L1771" s="64"/>
      <c r="M1771" s="54" t="s">
        <v>9</v>
      </c>
      <c r="N1771" s="64"/>
      <c r="O1771" s="64"/>
      <c r="P1771" s="64"/>
      <c r="Q1771" s="56">
        <f>1-Q1762-Q1765-Q1768</f>
        <v>0.60619800000000001</v>
      </c>
      <c r="R1771" s="56"/>
      <c r="S1771" s="129"/>
      <c r="T1771" s="105"/>
      <c r="U1771" s="133"/>
      <c r="V1771" s="133">
        <v>0</v>
      </c>
      <c r="W1771" s="133"/>
      <c r="X1771" s="133"/>
      <c r="Y1771" s="133"/>
      <c r="Z1771" s="134">
        <f t="shared" si="136"/>
        <v>0</v>
      </c>
      <c r="AA1771" s="6">
        <f t="shared" si="135"/>
        <v>0</v>
      </c>
    </row>
    <row r="1772" spans="1:27" x14ac:dyDescent="0.3">
      <c r="A1772" s="10"/>
      <c r="B1772" s="10"/>
      <c r="C1772" s="10"/>
      <c r="D1772" s="10"/>
      <c r="E1772" s="10"/>
      <c r="F1772" s="41"/>
      <c r="G1772" s="64"/>
      <c r="H1772" s="64"/>
      <c r="I1772" s="64"/>
      <c r="J1772" s="64"/>
      <c r="K1772" s="65"/>
      <c r="L1772" s="64"/>
      <c r="M1772" s="56">
        <f>S_term_2RDS_4</f>
        <v>0</v>
      </c>
      <c r="N1772" s="64"/>
      <c r="O1772" s="64"/>
      <c r="P1772" s="64"/>
      <c r="Q1772" s="57">
        <f>c_clinic_fu+c_CSG</f>
        <v>14403</v>
      </c>
      <c r="R1772" s="57"/>
      <c r="S1772" s="129"/>
      <c r="T1772" s="105"/>
      <c r="U1772" s="133"/>
      <c r="V1772" s="133"/>
      <c r="W1772" s="133"/>
      <c r="X1772" s="133"/>
      <c r="Y1772" s="133"/>
      <c r="Z1772" s="134">
        <f t="shared" si="136"/>
        <v>0</v>
      </c>
      <c r="AA1772" s="6">
        <f t="shared" si="135"/>
        <v>0</v>
      </c>
    </row>
    <row r="1773" spans="1:27" x14ac:dyDescent="0.3">
      <c r="A1773" s="10"/>
      <c r="B1773" s="10"/>
      <c r="C1773" s="10"/>
      <c r="D1773" s="10"/>
      <c r="E1773" s="10"/>
      <c r="F1773" s="41"/>
      <c r="G1773" s="64"/>
      <c r="H1773" s="64"/>
      <c r="I1773" s="64"/>
      <c r="J1773" s="64"/>
      <c r="K1773" s="65"/>
      <c r="L1773" s="64"/>
      <c r="M1773" s="57">
        <f>c_RDS</f>
        <v>30595.610148205637</v>
      </c>
      <c r="N1773" s="64"/>
      <c r="O1773" s="64"/>
      <c r="P1773" s="64"/>
      <c r="Q1773" s="65"/>
      <c r="R1773" s="65"/>
      <c r="S1773" s="129"/>
      <c r="T1773" s="105"/>
      <c r="U1773" s="133"/>
      <c r="V1773" s="133"/>
      <c r="W1773" s="133"/>
      <c r="X1773" s="133"/>
      <c r="Y1773" s="133"/>
      <c r="Z1773" s="134">
        <f t="shared" si="136"/>
        <v>0</v>
      </c>
      <c r="AA1773" s="6">
        <f t="shared" si="135"/>
        <v>0</v>
      </c>
    </row>
    <row r="1774" spans="1:27" x14ac:dyDescent="0.3">
      <c r="A1774" s="10"/>
      <c r="B1774" s="10"/>
      <c r="C1774" s="10"/>
      <c r="D1774" s="10"/>
      <c r="E1774" s="10"/>
      <c r="F1774" s="41"/>
      <c r="G1774" s="64"/>
      <c r="H1774" s="64"/>
      <c r="I1774" s="64"/>
      <c r="J1774" s="64"/>
      <c r="K1774" s="64"/>
      <c r="L1774" s="64"/>
      <c r="M1774" s="64"/>
      <c r="N1774" s="64"/>
      <c r="O1774" s="64"/>
      <c r="P1774" s="64"/>
      <c r="Q1774" s="54" t="s">
        <v>368</v>
      </c>
      <c r="R1774" s="54"/>
      <c r="S1774" s="129"/>
      <c r="T1774" s="105"/>
      <c r="U1774" s="133">
        <f>$K$1777*$I$1766*$G$1731*$E$1659*$C$1505*$A$1460*$M$1772*$O$1777*Q1775</f>
        <v>0</v>
      </c>
      <c r="V1774" s="133"/>
      <c r="W1774" s="134">
        <f>$K$1778+$I$1767+$G$1732+$E$1660+$C$1506+$A$1461+$M$1773+$O$1778+Q1776</f>
        <v>88224.001050605642</v>
      </c>
      <c r="X1774" s="133">
        <f>u_ChronicResp</f>
        <v>0.53465956747782661</v>
      </c>
      <c r="Y1774" s="133"/>
      <c r="Z1774" s="134">
        <f t="shared" si="136"/>
        <v>0</v>
      </c>
      <c r="AA1774" s="6">
        <f t="shared" si="135"/>
        <v>0</v>
      </c>
    </row>
    <row r="1775" spans="1:27" x14ac:dyDescent="0.3">
      <c r="A1775" s="10"/>
      <c r="B1775" s="10"/>
      <c r="C1775" s="10"/>
      <c r="D1775" s="10"/>
      <c r="E1775" s="10"/>
      <c r="F1775" s="41"/>
      <c r="G1775" s="64"/>
      <c r="H1775" s="64"/>
      <c r="I1775" s="64"/>
      <c r="J1775" s="64"/>
      <c r="K1775" s="64"/>
      <c r="L1775" s="64"/>
      <c r="M1775" s="64"/>
      <c r="N1775" s="64"/>
      <c r="O1775" s="64"/>
      <c r="P1775" s="64"/>
      <c r="Q1775" s="56">
        <f>RDS2CLD_4-(RDS2CLD_4*noHypo2CI_4)</f>
        <v>0.34905610687022898</v>
      </c>
      <c r="R1775" s="56"/>
      <c r="S1775" s="129"/>
      <c r="T1775" s="105"/>
      <c r="U1775" s="133"/>
      <c r="V1775" s="133">
        <v>0</v>
      </c>
      <c r="W1775" s="133"/>
      <c r="X1775" s="133"/>
      <c r="Y1775" s="133"/>
      <c r="Z1775" s="134">
        <f t="shared" si="136"/>
        <v>0</v>
      </c>
      <c r="AA1775" s="6">
        <f t="shared" si="135"/>
        <v>0</v>
      </c>
    </row>
    <row r="1776" spans="1:27" x14ac:dyDescent="0.3">
      <c r="A1776" s="10"/>
      <c r="B1776" s="10"/>
      <c r="C1776" s="10"/>
      <c r="D1776" s="10"/>
      <c r="E1776" s="10"/>
      <c r="F1776" s="41"/>
      <c r="G1776" s="64"/>
      <c r="H1776" s="64"/>
      <c r="I1776" s="64"/>
      <c r="J1776" s="64"/>
      <c r="K1776" s="54" t="s">
        <v>37</v>
      </c>
      <c r="L1776" s="64"/>
      <c r="M1776" s="65"/>
      <c r="N1776" s="64"/>
      <c r="O1776" s="54" t="s">
        <v>371</v>
      </c>
      <c r="P1776" s="64"/>
      <c r="Q1776" s="57">
        <f>c_lung+c_hosp_fu+c_CSG</f>
        <v>54529.510902399998</v>
      </c>
      <c r="R1776" s="57"/>
      <c r="S1776" s="129"/>
      <c r="T1776" s="105"/>
      <c r="U1776" s="133"/>
      <c r="V1776" s="133"/>
      <c r="W1776" s="133"/>
      <c r="X1776" s="133"/>
      <c r="Y1776" s="133"/>
      <c r="Z1776" s="134">
        <f t="shared" si="136"/>
        <v>0</v>
      </c>
      <c r="AA1776" s="6">
        <f t="shared" si="135"/>
        <v>0</v>
      </c>
    </row>
    <row r="1777" spans="1:27" x14ac:dyDescent="0.3">
      <c r="A1777" s="10"/>
      <c r="B1777" s="10"/>
      <c r="C1777" s="10"/>
      <c r="D1777" s="10"/>
      <c r="E1777" s="10"/>
      <c r="F1777" s="41"/>
      <c r="G1777" s="64"/>
      <c r="H1777" s="64"/>
      <c r="I1777" s="64"/>
      <c r="J1777" s="64"/>
      <c r="K1777" s="56">
        <f>AGA_term_2s_4</f>
        <v>0.99376666666666669</v>
      </c>
      <c r="L1777" s="64"/>
      <c r="M1777" s="64"/>
      <c r="N1777" s="64"/>
      <c r="O1777" s="56">
        <f>AGA_term_2normoglycaemia_4</f>
        <v>1</v>
      </c>
      <c r="P1777" s="64"/>
      <c r="Q1777" s="54" t="s">
        <v>226</v>
      </c>
      <c r="R1777" s="54"/>
      <c r="S1777" s="129"/>
      <c r="T1777" s="105"/>
      <c r="U1777" s="133">
        <f>$K$1777*$I$1766*$G$1731*$E$1659*$C$1505*$A$1460*$M$1772*$O$1777*Q1778</f>
        <v>0</v>
      </c>
      <c r="V1777" s="133"/>
      <c r="W1777" s="134">
        <f>$K$1778+$I$1767+$G$1732+$E$1660+$C$1506+$A$1461+$M$1773+$O$1778+Q1779</f>
        <v>49460.490148205638</v>
      </c>
      <c r="X1777" s="133">
        <f>u_CongnitiveImpairement</f>
        <v>17.270393127285455</v>
      </c>
      <c r="Y1777" s="133"/>
      <c r="Z1777" s="134">
        <f t="shared" si="136"/>
        <v>0</v>
      </c>
      <c r="AA1777" s="6">
        <f t="shared" si="135"/>
        <v>0</v>
      </c>
    </row>
    <row r="1778" spans="1:27" x14ac:dyDescent="0.3">
      <c r="A1778" s="10"/>
      <c r="B1778" s="10"/>
      <c r="C1778" s="10"/>
      <c r="D1778" s="10"/>
      <c r="E1778" s="10"/>
      <c r="F1778" s="41"/>
      <c r="G1778" s="64"/>
      <c r="H1778" s="64"/>
      <c r="I1778" s="64"/>
      <c r="J1778" s="64"/>
      <c r="K1778" s="57"/>
      <c r="L1778" s="64"/>
      <c r="M1778" s="64"/>
      <c r="N1778" s="64"/>
      <c r="O1778" s="57"/>
      <c r="P1778" s="64"/>
      <c r="Q1778" s="56">
        <f>noHypo2CI_4-(RDS2CLD_4*noHypo2CI_4)</f>
        <v>2.1141683406990762E-2</v>
      </c>
      <c r="R1778" s="56"/>
      <c r="S1778" s="129"/>
      <c r="T1778" s="105"/>
      <c r="U1778" s="133"/>
      <c r="V1778" s="133">
        <v>0</v>
      </c>
      <c r="W1778" s="133"/>
      <c r="X1778" s="133"/>
      <c r="Y1778" s="133"/>
      <c r="Z1778" s="134">
        <f t="shared" si="136"/>
        <v>0</v>
      </c>
      <c r="AA1778" s="6">
        <f t="shared" si="135"/>
        <v>0</v>
      </c>
    </row>
    <row r="1779" spans="1:27" x14ac:dyDescent="0.3">
      <c r="A1779" s="10"/>
      <c r="B1779" s="10"/>
      <c r="C1779" s="10"/>
      <c r="D1779" s="10"/>
      <c r="E1779" s="10"/>
      <c r="F1779" s="41"/>
      <c r="G1779" s="64"/>
      <c r="H1779" s="64"/>
      <c r="I1779" s="64"/>
      <c r="J1779" s="64"/>
      <c r="K1779" s="64"/>
      <c r="L1779" s="64"/>
      <c r="M1779" s="64"/>
      <c r="N1779" s="64"/>
      <c r="O1779" s="53"/>
      <c r="P1779" s="64"/>
      <c r="Q1779" s="57">
        <f>c_cog+c_hosp_fu+c_CSG</f>
        <v>15766</v>
      </c>
      <c r="R1779" s="57"/>
      <c r="S1779" s="129"/>
      <c r="T1779" s="105"/>
      <c r="U1779" s="133"/>
      <c r="V1779" s="133"/>
      <c r="W1779" s="133"/>
      <c r="X1779" s="133"/>
      <c r="Y1779" s="133"/>
      <c r="Z1779" s="134">
        <f t="shared" si="136"/>
        <v>0</v>
      </c>
      <c r="AA1779" s="6">
        <f t="shared" si="135"/>
        <v>0</v>
      </c>
    </row>
    <row r="1780" spans="1:27" x14ac:dyDescent="0.3">
      <c r="A1780" s="10"/>
      <c r="B1780" s="10"/>
      <c r="C1780" s="10"/>
      <c r="D1780" s="10"/>
      <c r="E1780" s="10"/>
      <c r="F1780" s="41"/>
      <c r="G1780" s="64"/>
      <c r="H1780" s="64"/>
      <c r="I1780" s="64"/>
      <c r="J1780" s="64"/>
      <c r="K1780" s="64"/>
      <c r="L1780" s="64"/>
      <c r="M1780" s="64"/>
      <c r="N1780" s="64"/>
      <c r="O1780" s="53"/>
      <c r="P1780" s="64"/>
      <c r="Q1780" s="54" t="s">
        <v>369</v>
      </c>
      <c r="R1780" s="54"/>
      <c r="S1780" s="129"/>
      <c r="T1780" s="105"/>
      <c r="U1780" s="133">
        <f>$K$1777*$I$1766*$G$1731*$E$1659*$C$1505*$A$1460*$M$1772*$O$1777*Q1781</f>
        <v>0</v>
      </c>
      <c r="V1780" s="133"/>
      <c r="W1780" s="134">
        <f>$K$1778+$I$1767+$G$1732+$E$1660+$C$1506+$A$1461+$M$1773+$O$1778+Q1782</f>
        <v>92043.001050605642</v>
      </c>
      <c r="X1780" s="133">
        <f>u_ChronicResp+u_CongnitiveImpairement</f>
        <v>17.805052694763283</v>
      </c>
      <c r="Y1780" s="133"/>
      <c r="Z1780" s="134">
        <f t="shared" si="136"/>
        <v>0</v>
      </c>
      <c r="AA1780" s="6">
        <f t="shared" si="135"/>
        <v>0</v>
      </c>
    </row>
    <row r="1781" spans="1:27" x14ac:dyDescent="0.3">
      <c r="A1781" s="10"/>
      <c r="B1781" s="10"/>
      <c r="C1781" s="10"/>
      <c r="D1781" s="10"/>
      <c r="E1781" s="10"/>
      <c r="F1781" s="41"/>
      <c r="G1781" s="64"/>
      <c r="H1781" s="64"/>
      <c r="I1781" s="64"/>
      <c r="J1781" s="64"/>
      <c r="K1781" s="64"/>
      <c r="L1781" s="64"/>
      <c r="M1781" s="64"/>
      <c r="N1781" s="64"/>
      <c r="O1781" s="53"/>
      <c r="P1781" s="64"/>
      <c r="Q1781" s="56">
        <f>RDS2CLD_4*noHypo2CI_4</f>
        <v>1.1943893129770991E-2</v>
      </c>
      <c r="R1781" s="56"/>
      <c r="S1781" s="129"/>
      <c r="T1781" s="105"/>
      <c r="U1781" s="133"/>
      <c r="V1781" s="133">
        <v>0</v>
      </c>
      <c r="W1781" s="133"/>
      <c r="X1781" s="133"/>
      <c r="Y1781" s="133"/>
      <c r="Z1781" s="134">
        <f t="shared" si="136"/>
        <v>0</v>
      </c>
      <c r="AA1781" s="6">
        <f t="shared" si="135"/>
        <v>0</v>
      </c>
    </row>
    <row r="1782" spans="1:27" x14ac:dyDescent="0.3">
      <c r="A1782" s="10"/>
      <c r="B1782" s="10"/>
      <c r="C1782" s="110"/>
      <c r="D1782" s="10"/>
      <c r="E1782" s="10"/>
      <c r="F1782" s="41"/>
      <c r="G1782" s="64"/>
      <c r="H1782" s="64"/>
      <c r="I1782" s="64"/>
      <c r="J1782" s="64"/>
      <c r="K1782" s="64"/>
      <c r="L1782" s="64"/>
      <c r="M1782" s="64"/>
      <c r="N1782" s="64"/>
      <c r="O1782" s="53"/>
      <c r="P1782" s="64"/>
      <c r="Q1782" s="57">
        <f>c_cog+c_lung+c_hosp_fu+c_CSG</f>
        <v>58348.510902399998</v>
      </c>
      <c r="R1782" s="57"/>
      <c r="S1782" s="129"/>
      <c r="T1782" s="105"/>
      <c r="U1782" s="133"/>
      <c r="V1782" s="133"/>
      <c r="W1782" s="133"/>
      <c r="X1782" s="133"/>
      <c r="Y1782" s="133"/>
      <c r="Z1782" s="134">
        <f t="shared" si="136"/>
        <v>0</v>
      </c>
      <c r="AA1782" s="6">
        <f t="shared" si="135"/>
        <v>0</v>
      </c>
    </row>
    <row r="1783" spans="1:27" x14ac:dyDescent="0.3">
      <c r="A1783" s="10"/>
      <c r="B1783" s="10"/>
      <c r="C1783" s="110"/>
      <c r="D1783" s="10"/>
      <c r="E1783" s="10"/>
      <c r="F1783" s="41"/>
      <c r="G1783" s="64"/>
      <c r="H1783" s="64"/>
      <c r="I1783" s="64"/>
      <c r="J1783" s="64"/>
      <c r="K1783" s="64"/>
      <c r="L1783" s="64"/>
      <c r="M1783" s="64"/>
      <c r="N1783" s="64"/>
      <c r="O1783" s="53"/>
      <c r="P1783" s="64"/>
      <c r="Q1783" s="54" t="s">
        <v>370</v>
      </c>
      <c r="R1783" s="54"/>
      <c r="T1783" s="105"/>
      <c r="U1783" s="133">
        <f>$K$1777*$I$1766*$G$1731*$E$1659*$C$1505*$A$1460*$M$1772*$O$1777*Q1784</f>
        <v>0</v>
      </c>
      <c r="V1783" s="133"/>
      <c r="W1783" s="134">
        <f>$K$1778+$I$1767+$G$1732+$E$1660+$C$1506+$A$1461+$M$1773+$O$1778+Q1785</f>
        <v>48097.490148205638</v>
      </c>
      <c r="X1783" s="133">
        <f>u_Healthy</f>
        <v>0</v>
      </c>
      <c r="Y1783" s="133"/>
      <c r="Z1783" s="134">
        <f t="shared" si="136"/>
        <v>0</v>
      </c>
      <c r="AA1783" s="6">
        <f t="shared" si="135"/>
        <v>0</v>
      </c>
    </row>
    <row r="1784" spans="1:27" x14ac:dyDescent="0.3">
      <c r="A1784" s="10"/>
      <c r="B1784" s="10"/>
      <c r="C1784" s="116"/>
      <c r="D1784" s="10"/>
      <c r="E1784" s="10"/>
      <c r="F1784" s="41"/>
      <c r="G1784" s="64"/>
      <c r="H1784" s="64"/>
      <c r="I1784" s="64"/>
      <c r="J1784" s="64"/>
      <c r="K1784" s="64"/>
      <c r="L1784" s="64"/>
      <c r="M1784" s="64"/>
      <c r="N1784" s="64"/>
      <c r="O1784" s="53"/>
      <c r="P1784" s="64"/>
      <c r="Q1784" s="56">
        <f>1-Q1781-Q1778-Q1775</f>
        <v>0.61785831659300938</v>
      </c>
      <c r="R1784" s="56"/>
      <c r="S1784" s="129"/>
      <c r="T1784" s="105"/>
      <c r="U1784" s="133"/>
      <c r="V1784" s="133">
        <v>0</v>
      </c>
      <c r="W1784" s="133"/>
      <c r="X1784" s="133"/>
      <c r="Y1784" s="133"/>
      <c r="Z1784" s="134">
        <f t="shared" si="136"/>
        <v>0</v>
      </c>
      <c r="AA1784" s="6">
        <f t="shared" si="135"/>
        <v>0</v>
      </c>
    </row>
    <row r="1785" spans="1:27" x14ac:dyDescent="0.3">
      <c r="A1785" s="10"/>
      <c r="B1785" s="10"/>
      <c r="C1785" s="10"/>
      <c r="D1785" s="10"/>
      <c r="E1785" s="10"/>
      <c r="F1785" s="41"/>
      <c r="G1785" s="64"/>
      <c r="H1785" s="64"/>
      <c r="I1785" s="64"/>
      <c r="J1785" s="64"/>
      <c r="K1785" s="64"/>
      <c r="L1785" s="64"/>
      <c r="M1785" s="64"/>
      <c r="N1785" s="64"/>
      <c r="O1785" s="64"/>
      <c r="P1785" s="64"/>
      <c r="Q1785" s="57">
        <f>c_clinic_fu+c_CSG</f>
        <v>14403</v>
      </c>
      <c r="R1785" s="57"/>
      <c r="S1785" s="129"/>
      <c r="T1785" s="105"/>
      <c r="U1785" s="133"/>
      <c r="V1785" s="133"/>
      <c r="W1785" s="133"/>
      <c r="X1785" s="133"/>
      <c r="Y1785" s="133"/>
      <c r="Z1785" s="134">
        <f t="shared" si="136"/>
        <v>0</v>
      </c>
      <c r="AA1785" s="6">
        <f t="shared" si="135"/>
        <v>0</v>
      </c>
    </row>
    <row r="1786" spans="1:27" x14ac:dyDescent="0.3">
      <c r="A1786" s="10"/>
      <c r="B1786" s="10"/>
      <c r="C1786" s="10"/>
      <c r="D1786" s="10"/>
      <c r="E1786" s="10"/>
      <c r="F1786" s="41"/>
      <c r="G1786" s="64"/>
      <c r="H1786" s="64"/>
      <c r="I1786" s="64"/>
      <c r="J1786" s="64"/>
      <c r="K1786" s="64"/>
      <c r="L1786" s="64"/>
      <c r="M1786" s="64"/>
      <c r="N1786" s="64"/>
      <c r="O1786" s="64"/>
      <c r="P1786" s="64"/>
      <c r="Q1786" s="65"/>
      <c r="R1786" s="65"/>
      <c r="S1786" s="129"/>
      <c r="T1786" s="105"/>
      <c r="U1786" s="133"/>
      <c r="V1786" s="133"/>
      <c r="W1786" s="133"/>
      <c r="X1786" s="133"/>
      <c r="Y1786" s="133"/>
      <c r="Z1786" s="134">
        <f t="shared" si="136"/>
        <v>0</v>
      </c>
      <c r="AA1786" s="6">
        <f t="shared" si="135"/>
        <v>0</v>
      </c>
    </row>
    <row r="1787" spans="1:27" x14ac:dyDescent="0.3">
      <c r="A1787" s="10"/>
      <c r="B1787" s="10"/>
      <c r="C1787" s="10"/>
      <c r="D1787" s="10"/>
      <c r="E1787" s="10"/>
      <c r="F1787" s="41"/>
      <c r="G1787" s="53"/>
      <c r="H1787" s="64"/>
      <c r="I1787" s="64"/>
      <c r="J1787" s="64"/>
      <c r="K1787" s="64"/>
      <c r="L1787" s="64"/>
      <c r="M1787" s="64"/>
      <c r="N1787" s="64"/>
      <c r="O1787" s="64"/>
      <c r="P1787" s="64"/>
      <c r="Q1787" s="54" t="s">
        <v>368</v>
      </c>
      <c r="R1787" s="54"/>
      <c r="S1787" s="129"/>
      <c r="T1787" s="105"/>
      <c r="U1787" s="133">
        <f>$K$1777*$I$1766*$G$1731*$E$1659*$C$1505*$A$1460*$M$1792*$O$1790*Q1788</f>
        <v>0</v>
      </c>
      <c r="V1787" s="133"/>
      <c r="W1787" s="134">
        <f>$K$1778+$I$1767+$G$1732+$E$1660+$C$1506+$A$1461+$M$1793+$O$1791+Q1789</f>
        <v>60564.651302400001</v>
      </c>
      <c r="X1787" s="133">
        <f>u_ChronicResp</f>
        <v>0.53465956747782661</v>
      </c>
      <c r="Y1787" s="133"/>
      <c r="Z1787" s="134">
        <f t="shared" si="136"/>
        <v>0</v>
      </c>
      <c r="AA1787" s="6">
        <f t="shared" si="135"/>
        <v>0</v>
      </c>
    </row>
    <row r="1788" spans="1:27" x14ac:dyDescent="0.3">
      <c r="A1788" s="10"/>
      <c r="B1788" s="10"/>
      <c r="C1788" s="10"/>
      <c r="D1788" s="10"/>
      <c r="E1788" s="10"/>
      <c r="F1788" s="41"/>
      <c r="G1788" s="64"/>
      <c r="H1788" s="64"/>
      <c r="I1788" s="64"/>
      <c r="J1788" s="64"/>
      <c r="K1788" s="64"/>
      <c r="L1788" s="64"/>
      <c r="M1788" s="64"/>
      <c r="N1788" s="64"/>
      <c r="O1788" s="64"/>
      <c r="P1788" s="64"/>
      <c r="Q1788" s="56">
        <f>RDS2CLD_4-(Hypo2CI_4*RDS2CLD_4)</f>
        <v>0.34246866666666664</v>
      </c>
      <c r="R1788" s="56"/>
      <c r="S1788" s="129"/>
      <c r="T1788" s="105"/>
      <c r="U1788" s="133"/>
      <c r="V1788" s="133">
        <v>0</v>
      </c>
      <c r="W1788" s="133"/>
      <c r="X1788" s="133"/>
      <c r="Y1788" s="133"/>
      <c r="Z1788" s="134">
        <f t="shared" si="136"/>
        <v>0</v>
      </c>
      <c r="AA1788" s="6">
        <f t="shared" si="135"/>
        <v>0</v>
      </c>
    </row>
    <row r="1789" spans="1:27" x14ac:dyDescent="0.3">
      <c r="A1789" s="10"/>
      <c r="B1789" s="10"/>
      <c r="C1789" s="10"/>
      <c r="D1789" s="10"/>
      <c r="E1789" s="10"/>
      <c r="F1789" s="41"/>
      <c r="G1789" s="64"/>
      <c r="H1789" s="64"/>
      <c r="I1789" s="64"/>
      <c r="J1789" s="64"/>
      <c r="K1789" s="64"/>
      <c r="L1789" s="64"/>
      <c r="M1789" s="64"/>
      <c r="N1789" s="64"/>
      <c r="O1789" s="54" t="s">
        <v>161</v>
      </c>
      <c r="P1789" s="64"/>
      <c r="Q1789" s="57">
        <f>c_lung+c_hosp_fu+c_CSG</f>
        <v>54529.510902399998</v>
      </c>
      <c r="R1789" s="57"/>
      <c r="S1789" s="129"/>
      <c r="T1789" s="105"/>
      <c r="U1789" s="133"/>
      <c r="V1789" s="133"/>
      <c r="W1789" s="133"/>
      <c r="X1789" s="133"/>
      <c r="Y1789" s="133"/>
      <c r="Z1789" s="134">
        <f t="shared" si="136"/>
        <v>0</v>
      </c>
      <c r="AA1789" s="6">
        <f t="shared" si="135"/>
        <v>0</v>
      </c>
    </row>
    <row r="1790" spans="1:27" x14ac:dyDescent="0.3">
      <c r="A1790" s="10"/>
      <c r="B1790" s="10"/>
      <c r="C1790" s="10"/>
      <c r="D1790" s="10"/>
      <c r="E1790" s="10"/>
      <c r="F1790" s="41"/>
      <c r="G1790" s="64"/>
      <c r="H1790" s="64"/>
      <c r="I1790" s="64"/>
      <c r="J1790" s="64"/>
      <c r="K1790" s="64"/>
      <c r="L1790" s="64"/>
      <c r="M1790" s="64"/>
      <c r="N1790" s="64"/>
      <c r="O1790" s="56">
        <f>AGA_term_2hypoglycaemia_4</f>
        <v>0</v>
      </c>
      <c r="P1790" s="64"/>
      <c r="Q1790" s="54" t="s">
        <v>226</v>
      </c>
      <c r="R1790" s="54"/>
      <c r="S1790" s="129"/>
      <c r="T1790" s="105"/>
      <c r="U1790" s="133">
        <f>$K$1777*$I$1766*$G$1731*$E$1659*$C$1505*$A$1460*$M$1792*$O$1790*Q1791</f>
        <v>0</v>
      </c>
      <c r="V1790" s="133"/>
      <c r="W1790" s="134">
        <f>$K$1778+$I$1767+$G$1732+$E$1660+$C$1506+$A$1461+$M$1793+$O$1791+Q1792</f>
        <v>21801.1404</v>
      </c>
      <c r="X1790" s="133">
        <f>u_CongnitiveImpairement</f>
        <v>17.270393127285455</v>
      </c>
      <c r="Y1790" s="133"/>
      <c r="Z1790" s="134">
        <f t="shared" si="136"/>
        <v>0</v>
      </c>
      <c r="AA1790" s="6">
        <f t="shared" si="135"/>
        <v>0</v>
      </c>
    </row>
    <row r="1791" spans="1:27" x14ac:dyDescent="0.3">
      <c r="A1791" s="10"/>
      <c r="B1791" s="10"/>
      <c r="C1791" s="10"/>
      <c r="D1791" s="10"/>
      <c r="E1791" s="10"/>
      <c r="F1791" s="41"/>
      <c r="G1791" s="64"/>
      <c r="H1791" s="64"/>
      <c r="I1791" s="64"/>
      <c r="J1791" s="64"/>
      <c r="K1791" s="64"/>
      <c r="L1791" s="64"/>
      <c r="M1791" s="54" t="s">
        <v>203</v>
      </c>
      <c r="N1791" s="64"/>
      <c r="O1791" s="57">
        <f>c_hypo</f>
        <v>2936.2604000000001</v>
      </c>
      <c r="P1791" s="64"/>
      <c r="Q1791" s="56">
        <f>Hypo2CI_4-(Hypo2CI_4*RDS2CLD_4)</f>
        <v>3.2801999999999998E-2</v>
      </c>
      <c r="R1791" s="56"/>
      <c r="S1791" s="129"/>
      <c r="T1791" s="105"/>
      <c r="U1791" s="133"/>
      <c r="V1791" s="133">
        <v>0</v>
      </c>
      <c r="W1791" s="133"/>
      <c r="X1791" s="133"/>
      <c r="Y1791" s="133"/>
      <c r="Z1791" s="134">
        <f t="shared" si="136"/>
        <v>0</v>
      </c>
      <c r="AA1791" s="6">
        <f t="shared" si="135"/>
        <v>0</v>
      </c>
    </row>
    <row r="1792" spans="1:27" x14ac:dyDescent="0.3">
      <c r="A1792" s="10"/>
      <c r="B1792" s="10"/>
      <c r="C1792" s="10"/>
      <c r="D1792" s="10"/>
      <c r="E1792" s="10"/>
      <c r="F1792" s="41"/>
      <c r="G1792" s="64"/>
      <c r="H1792" s="64"/>
      <c r="I1792" s="64"/>
      <c r="J1792" s="64"/>
      <c r="K1792" s="64"/>
      <c r="L1792" s="64"/>
      <c r="M1792" s="56">
        <f>S_term_2noRDS_4</f>
        <v>1</v>
      </c>
      <c r="N1792" s="64"/>
      <c r="O1792" s="53"/>
      <c r="P1792" s="64"/>
      <c r="Q1792" s="57">
        <f>c_cog+c_hosp_fu+c_CSG</f>
        <v>15766</v>
      </c>
      <c r="R1792" s="57"/>
      <c r="S1792" s="129"/>
      <c r="T1792" s="105"/>
      <c r="U1792" s="133"/>
      <c r="V1792" s="133"/>
      <c r="W1792" s="133"/>
      <c r="X1792" s="133"/>
      <c r="Y1792" s="133"/>
      <c r="Z1792" s="134">
        <f t="shared" si="136"/>
        <v>0</v>
      </c>
      <c r="AA1792" s="6">
        <f t="shared" si="135"/>
        <v>0</v>
      </c>
    </row>
    <row r="1793" spans="1:27" x14ac:dyDescent="0.3">
      <c r="A1793" s="10"/>
      <c r="B1793" s="10"/>
      <c r="C1793" s="10"/>
      <c r="D1793" s="10"/>
      <c r="E1793" s="10"/>
      <c r="F1793" s="41"/>
      <c r="G1793" s="64"/>
      <c r="H1793" s="64"/>
      <c r="I1793" s="64"/>
      <c r="J1793" s="64"/>
      <c r="K1793" s="64"/>
      <c r="L1793" s="64"/>
      <c r="M1793" s="57"/>
      <c r="N1793" s="64"/>
      <c r="O1793" s="65"/>
      <c r="P1793" s="64"/>
      <c r="Q1793" s="54" t="s">
        <v>369</v>
      </c>
      <c r="R1793" s="54"/>
      <c r="S1793" s="129"/>
      <c r="T1793" s="105"/>
      <c r="U1793" s="133">
        <f>$K$1777*$I$1766*$G$1731*$E$1659*$C$1505*$A$1460*$M$1792*$O$1790*Q1794</f>
        <v>0</v>
      </c>
      <c r="V1793" s="133"/>
      <c r="W1793" s="134">
        <f>$K$1778+$I$1767+$G$1732+$E$1660+$C$1506+$A$1461+$M$1793+$O$1791+Q1795</f>
        <v>64383.651302400001</v>
      </c>
      <c r="X1793" s="133">
        <f>u_ChronicResp+u_CongnitiveImpairement</f>
        <v>17.805052694763283</v>
      </c>
      <c r="Y1793" s="133"/>
      <c r="Z1793" s="134">
        <f t="shared" si="136"/>
        <v>0</v>
      </c>
      <c r="AA1793" s="6">
        <f t="shared" si="135"/>
        <v>0</v>
      </c>
    </row>
    <row r="1794" spans="1:27" x14ac:dyDescent="0.3">
      <c r="A1794" s="10"/>
      <c r="B1794" s="10"/>
      <c r="C1794" s="10"/>
      <c r="D1794" s="10"/>
      <c r="E1794" s="10"/>
      <c r="F1794" s="41"/>
      <c r="G1794" s="64"/>
      <c r="H1794" s="64"/>
      <c r="I1794" s="53"/>
      <c r="J1794" s="53"/>
      <c r="K1794" s="64"/>
      <c r="L1794" s="64"/>
      <c r="M1794" s="65"/>
      <c r="N1794" s="64"/>
      <c r="O1794" s="41"/>
      <c r="P1794" s="64"/>
      <c r="Q1794" s="56">
        <f>Hypo2CI_4*RDS2CLD_4</f>
        <v>1.8531333333333334E-2</v>
      </c>
      <c r="R1794" s="56"/>
      <c r="S1794" s="129"/>
      <c r="T1794" s="105"/>
      <c r="U1794" s="133"/>
      <c r="V1794" s="133">
        <v>0</v>
      </c>
      <c r="W1794" s="133"/>
      <c r="X1794" s="133"/>
      <c r="Y1794" s="133"/>
      <c r="Z1794" s="134">
        <f t="shared" si="136"/>
        <v>0</v>
      </c>
      <c r="AA1794" s="6">
        <f t="shared" si="135"/>
        <v>0</v>
      </c>
    </row>
    <row r="1795" spans="1:27" x14ac:dyDescent="0.3">
      <c r="A1795" s="10"/>
      <c r="B1795" s="10"/>
      <c r="C1795" s="10"/>
      <c r="D1795" s="10"/>
      <c r="E1795" s="10"/>
      <c r="F1795" s="41"/>
      <c r="G1795" s="64"/>
      <c r="H1795" s="64"/>
      <c r="I1795" s="53"/>
      <c r="J1795" s="53"/>
      <c r="K1795" s="64"/>
      <c r="L1795" s="64"/>
      <c r="M1795" s="65"/>
      <c r="N1795" s="64"/>
      <c r="O1795" s="41"/>
      <c r="P1795" s="64"/>
      <c r="Q1795" s="57">
        <f>c_lung+c_cog+c_hosp_fu+c_CSG</f>
        <v>58348.510902399998</v>
      </c>
      <c r="R1795" s="57"/>
      <c r="S1795" s="129"/>
      <c r="T1795" s="105"/>
      <c r="U1795" s="133"/>
      <c r="V1795" s="133"/>
      <c r="W1795" s="133"/>
      <c r="X1795" s="133"/>
      <c r="Y1795" s="133"/>
      <c r="Z1795" s="134">
        <f t="shared" si="136"/>
        <v>0</v>
      </c>
      <c r="AA1795" s="6">
        <f t="shared" si="135"/>
        <v>0</v>
      </c>
    </row>
    <row r="1796" spans="1:27" x14ac:dyDescent="0.3">
      <c r="A1796" s="10"/>
      <c r="B1796" s="10"/>
      <c r="C1796" s="10"/>
      <c r="D1796" s="10"/>
      <c r="E1796" s="10"/>
      <c r="F1796" s="41"/>
      <c r="G1796" s="64"/>
      <c r="H1796" s="64"/>
      <c r="I1796" s="53"/>
      <c r="J1796" s="53"/>
      <c r="K1796" s="64"/>
      <c r="L1796" s="64"/>
      <c r="M1796" s="65"/>
      <c r="N1796" s="64"/>
      <c r="O1796" s="41"/>
      <c r="P1796" s="64"/>
      <c r="Q1796" s="54" t="s">
        <v>370</v>
      </c>
      <c r="R1796" s="54"/>
      <c r="S1796" s="129"/>
      <c r="T1796" s="105"/>
      <c r="U1796" s="133">
        <f>$K$1777*$I$1766*$G$1731*$E$1659*$C$1505*$A$1460*$M$1792*$O$1790*Q1797</f>
        <v>0</v>
      </c>
      <c r="V1796" s="133"/>
      <c r="W1796" s="134">
        <f>$K$1778+$I$1767+$G$1732+$E$1660+$C$1506+$A$1461+$M$1793+$O$1791+Q1798</f>
        <v>20438.1404</v>
      </c>
      <c r="X1796" s="133">
        <f>u_Healthy</f>
        <v>0</v>
      </c>
      <c r="Y1796" s="133"/>
      <c r="Z1796" s="134">
        <f t="shared" si="136"/>
        <v>0</v>
      </c>
      <c r="AA1796" s="6">
        <f t="shared" si="135"/>
        <v>0</v>
      </c>
    </row>
    <row r="1797" spans="1:27" x14ac:dyDescent="0.3">
      <c r="A1797" s="10"/>
      <c r="B1797" s="10"/>
      <c r="C1797" s="10"/>
      <c r="D1797" s="10"/>
      <c r="E1797" s="10"/>
      <c r="F1797" s="41"/>
      <c r="G1797" s="64"/>
      <c r="H1797" s="64"/>
      <c r="I1797" s="53"/>
      <c r="J1797" s="53"/>
      <c r="K1797" s="64"/>
      <c r="L1797" s="64"/>
      <c r="M1797" s="65"/>
      <c r="N1797" s="64"/>
      <c r="O1797" s="65"/>
      <c r="P1797" s="64"/>
      <c r="Q1797" s="56">
        <f>1-Q1788-Q1791-Q1794</f>
        <v>0.60619800000000001</v>
      </c>
      <c r="R1797" s="56"/>
      <c r="T1797" s="105"/>
      <c r="U1797" s="133"/>
      <c r="V1797" s="133">
        <v>0</v>
      </c>
      <c r="W1797" s="133"/>
      <c r="X1797" s="133"/>
      <c r="Y1797" s="133"/>
      <c r="Z1797" s="134">
        <f t="shared" si="136"/>
        <v>0</v>
      </c>
      <c r="AA1797" s="6">
        <f t="shared" si="135"/>
        <v>0</v>
      </c>
    </row>
    <row r="1798" spans="1:27" x14ac:dyDescent="0.3">
      <c r="A1798" s="10"/>
      <c r="B1798" s="10"/>
      <c r="C1798" s="10"/>
      <c r="D1798" s="10"/>
      <c r="E1798" s="10"/>
      <c r="F1798" s="41"/>
      <c r="G1798" s="64"/>
      <c r="H1798" s="64"/>
      <c r="I1798" s="53"/>
      <c r="J1798" s="53"/>
      <c r="K1798" s="64"/>
      <c r="L1798" s="64"/>
      <c r="M1798" s="65"/>
      <c r="N1798" s="64"/>
      <c r="O1798" s="64"/>
      <c r="P1798" s="64"/>
      <c r="Q1798" s="57">
        <f>c_clinic_fu+c_CSG</f>
        <v>14403</v>
      </c>
      <c r="R1798" s="57"/>
      <c r="S1798" s="130"/>
      <c r="T1798" s="105"/>
      <c r="U1798" s="133"/>
      <c r="V1798" s="133"/>
      <c r="W1798" s="133"/>
      <c r="X1798" s="133"/>
      <c r="Y1798" s="133"/>
      <c r="Z1798" s="134">
        <f t="shared" si="136"/>
        <v>0</v>
      </c>
      <c r="AA1798" s="6">
        <f t="shared" si="135"/>
        <v>0</v>
      </c>
    </row>
    <row r="1799" spans="1:27" x14ac:dyDescent="0.3">
      <c r="A1799" s="10"/>
      <c r="B1799" s="10"/>
      <c r="C1799" s="10"/>
      <c r="D1799" s="10"/>
      <c r="E1799" s="10"/>
      <c r="F1799" s="41"/>
      <c r="G1799" s="64"/>
      <c r="H1799" s="64"/>
      <c r="I1799" s="41"/>
      <c r="J1799" s="64"/>
      <c r="K1799" s="64"/>
      <c r="L1799" s="64"/>
      <c r="M1799" s="65"/>
      <c r="N1799" s="64"/>
      <c r="O1799" s="64"/>
      <c r="P1799" s="64"/>
      <c r="Q1799" s="65"/>
      <c r="R1799" s="65"/>
      <c r="S1799" s="129"/>
      <c r="T1799" s="105"/>
      <c r="U1799" s="133"/>
      <c r="V1799" s="133"/>
      <c r="W1799" s="133"/>
      <c r="X1799" s="133"/>
      <c r="Y1799" s="133"/>
      <c r="Z1799" s="134">
        <f t="shared" si="136"/>
        <v>0</v>
      </c>
      <c r="AA1799" s="6">
        <f t="shared" si="135"/>
        <v>0</v>
      </c>
    </row>
    <row r="1800" spans="1:27" x14ac:dyDescent="0.3">
      <c r="A1800" s="10"/>
      <c r="B1800" s="10"/>
      <c r="C1800" s="10"/>
      <c r="D1800" s="10"/>
      <c r="E1800" s="10"/>
      <c r="F1800" s="41"/>
      <c r="G1800" s="64"/>
      <c r="H1800" s="64"/>
      <c r="I1800" s="41"/>
      <c r="J1800" s="64"/>
      <c r="K1800" s="64"/>
      <c r="L1800" s="64"/>
      <c r="M1800" s="65"/>
      <c r="N1800" s="64"/>
      <c r="O1800" s="64"/>
      <c r="P1800" s="64"/>
      <c r="Q1800" s="54" t="s">
        <v>368</v>
      </c>
      <c r="R1800" s="54"/>
      <c r="S1800" s="129"/>
      <c r="T1800" s="105"/>
      <c r="U1800" s="133">
        <f>$K$1777*$I$1766*$G$1731*$E$1659*$C$1505*$A$1460*$M$1792*$O$1804*Q1801</f>
        <v>2.4797308328744445E-2</v>
      </c>
      <c r="V1800" s="133">
        <v>2.4797308328744445E-2</v>
      </c>
      <c r="W1800" s="134">
        <f>$K$1778+$I$1767+$G$1732+$E$1660+$C$1506+$A$1461+$M$1793+$O$1805+Q1802</f>
        <v>57628.390902399995</v>
      </c>
      <c r="X1800" s="133">
        <f>u_ChronicResp</f>
        <v>0.53465956747782661</v>
      </c>
      <c r="Y1800" s="133"/>
      <c r="Z1800" s="134">
        <f t="shared" si="136"/>
        <v>1429.028977696224</v>
      </c>
      <c r="AA1800" s="6">
        <f t="shared" si="135"/>
        <v>1.3258118145660813E-2</v>
      </c>
    </row>
    <row r="1801" spans="1:27" x14ac:dyDescent="0.3">
      <c r="A1801" s="10"/>
      <c r="B1801" s="10"/>
      <c r="C1801" s="10"/>
      <c r="D1801" s="10"/>
      <c r="E1801" s="10"/>
      <c r="F1801" s="41"/>
      <c r="G1801" s="64"/>
      <c r="H1801" s="64"/>
      <c r="I1801" s="41"/>
      <c r="J1801" s="64"/>
      <c r="K1801" s="64"/>
      <c r="L1801" s="64"/>
      <c r="M1801" s="65"/>
      <c r="N1801" s="64"/>
      <c r="O1801" s="64"/>
      <c r="P1801" s="64"/>
      <c r="Q1801" s="56">
        <f>RDS2CLD_4-(RDS2CLD_4*noHypo2CI_4)</f>
        <v>0.34905610687022898</v>
      </c>
      <c r="R1801" s="56"/>
      <c r="S1801" s="129"/>
      <c r="T1801" s="105"/>
      <c r="U1801" s="133"/>
      <c r="V1801" s="133"/>
      <c r="W1801" s="133"/>
      <c r="X1801" s="133"/>
      <c r="Y1801" s="133"/>
      <c r="Z1801" s="134">
        <f t="shared" si="136"/>
        <v>0</v>
      </c>
      <c r="AA1801" s="6">
        <f t="shared" si="135"/>
        <v>0</v>
      </c>
    </row>
    <row r="1802" spans="1:27" x14ac:dyDescent="0.3">
      <c r="A1802" s="10"/>
      <c r="B1802" s="10"/>
      <c r="C1802" s="10"/>
      <c r="D1802" s="10"/>
      <c r="E1802" s="10"/>
      <c r="F1802" s="41"/>
      <c r="G1802" s="64"/>
      <c r="H1802" s="64"/>
      <c r="I1802" s="64"/>
      <c r="J1802" s="64"/>
      <c r="K1802" s="64"/>
      <c r="L1802" s="64"/>
      <c r="M1802" s="65"/>
      <c r="N1802" s="64"/>
      <c r="O1802" s="64"/>
      <c r="P1802" s="64"/>
      <c r="Q1802" s="57">
        <f>c_lung+c_hosp_fu+c_CSG</f>
        <v>54529.510902399998</v>
      </c>
      <c r="R1802" s="57"/>
      <c r="S1802" s="129"/>
      <c r="T1802" s="105"/>
      <c r="U1802" s="133"/>
      <c r="V1802" s="133"/>
      <c r="W1802" s="133"/>
      <c r="X1802" s="133"/>
      <c r="Y1802" s="133"/>
      <c r="Z1802" s="134">
        <f t="shared" si="136"/>
        <v>0</v>
      </c>
      <c r="AA1802" s="6">
        <f t="shared" si="135"/>
        <v>0</v>
      </c>
    </row>
    <row r="1803" spans="1:27" x14ac:dyDescent="0.3">
      <c r="A1803" s="10"/>
      <c r="B1803" s="10"/>
      <c r="C1803" s="10"/>
      <c r="D1803" s="10"/>
      <c r="E1803" s="10"/>
      <c r="F1803" s="41"/>
      <c r="G1803" s="64"/>
      <c r="H1803" s="64"/>
      <c r="I1803" s="64"/>
      <c r="J1803" s="64"/>
      <c r="K1803" s="64"/>
      <c r="L1803" s="64"/>
      <c r="M1803" s="65"/>
      <c r="N1803" s="64"/>
      <c r="O1803" s="54" t="s">
        <v>371</v>
      </c>
      <c r="P1803" s="64"/>
      <c r="Q1803" s="54" t="s">
        <v>226</v>
      </c>
      <c r="R1803" s="54"/>
      <c r="S1803" s="129"/>
      <c r="T1803" s="105"/>
      <c r="U1803" s="133">
        <f>$K$1777*$I$1766*$G$1731*$E$1659*$C$1505*$A$1460*$M$1792*$O$1804*Q1804</f>
        <v>1.5019271449869143E-3</v>
      </c>
      <c r="V1803" s="133">
        <v>1.5019271449869143E-3</v>
      </c>
      <c r="W1803" s="134">
        <f>$K$1778+$I$1767+$G$1732+$E$1660+$C$1506+$A$1461+$M$1793+$O$1805+Q1805</f>
        <v>18864.88</v>
      </c>
      <c r="X1803" s="133">
        <f>u_CongnitiveImpairement</f>
        <v>17.270393127285455</v>
      </c>
      <c r="Y1803" s="133"/>
      <c r="Z1803" s="134">
        <f t="shared" si="136"/>
        <v>28.33367535892074</v>
      </c>
      <c r="AA1803" s="6">
        <f t="shared" si="135"/>
        <v>2.593887224246547E-2</v>
      </c>
    </row>
    <row r="1804" spans="1:27" x14ac:dyDescent="0.3">
      <c r="A1804" s="10"/>
      <c r="B1804" s="10"/>
      <c r="C1804" s="10"/>
      <c r="D1804" s="10"/>
      <c r="E1804" s="10"/>
      <c r="F1804" s="41"/>
      <c r="G1804" s="64"/>
      <c r="H1804" s="64"/>
      <c r="I1804" s="64"/>
      <c r="J1804" s="64"/>
      <c r="K1804" s="64"/>
      <c r="L1804" s="64"/>
      <c r="M1804" s="65"/>
      <c r="N1804" s="64"/>
      <c r="O1804" s="56">
        <f>AGA_term_2normoglycaemia_4</f>
        <v>1</v>
      </c>
      <c r="P1804" s="64"/>
      <c r="Q1804" s="56">
        <f>noHypo2CI_4-(RDS2CLD_4*noHypo2CI_4)</f>
        <v>2.1141683406990762E-2</v>
      </c>
      <c r="R1804" s="56"/>
      <c r="S1804" s="129"/>
      <c r="T1804" s="105"/>
      <c r="U1804" s="133"/>
      <c r="V1804" s="133"/>
      <c r="W1804" s="133"/>
      <c r="X1804" s="133"/>
      <c r="Y1804" s="133"/>
      <c r="Z1804" s="134">
        <f t="shared" si="136"/>
        <v>0</v>
      </c>
      <c r="AA1804" s="6">
        <f t="shared" si="135"/>
        <v>0</v>
      </c>
    </row>
    <row r="1805" spans="1:27" x14ac:dyDescent="0.3">
      <c r="A1805" s="10"/>
      <c r="B1805" s="10"/>
      <c r="C1805" s="10"/>
      <c r="D1805" s="10"/>
      <c r="E1805" s="10"/>
      <c r="F1805" s="41"/>
      <c r="G1805" s="64"/>
      <c r="H1805" s="64"/>
      <c r="I1805" s="64"/>
      <c r="J1805" s="64"/>
      <c r="K1805" s="64"/>
      <c r="L1805" s="64"/>
      <c r="M1805" s="65"/>
      <c r="N1805" s="64"/>
      <c r="O1805" s="57"/>
      <c r="P1805" s="64"/>
      <c r="Q1805" s="57">
        <f>c_cog+c_hosp_fu+c_CSG</f>
        <v>15766</v>
      </c>
      <c r="R1805" s="57"/>
      <c r="S1805" s="129"/>
      <c r="T1805" s="105"/>
      <c r="U1805" s="133"/>
      <c r="V1805" s="133"/>
      <c r="W1805" s="133"/>
      <c r="X1805" s="133"/>
      <c r="Y1805" s="133"/>
      <c r="Z1805" s="134">
        <f t="shared" si="136"/>
        <v>0</v>
      </c>
      <c r="AA1805" s="6">
        <f t="shared" si="135"/>
        <v>0</v>
      </c>
    </row>
    <row r="1806" spans="1:27" x14ac:dyDescent="0.3">
      <c r="A1806" s="10"/>
      <c r="B1806" s="10"/>
      <c r="C1806" s="10"/>
      <c r="D1806" s="10"/>
      <c r="E1806" s="10"/>
      <c r="F1806" s="41"/>
      <c r="G1806" s="65"/>
      <c r="H1806" s="64"/>
      <c r="I1806" s="64"/>
      <c r="J1806" s="64"/>
      <c r="K1806" s="64"/>
      <c r="L1806" s="64"/>
      <c r="M1806" s="65"/>
      <c r="N1806" s="64"/>
      <c r="O1806" s="64"/>
      <c r="P1806" s="64"/>
      <c r="Q1806" s="54" t="s">
        <v>369</v>
      </c>
      <c r="R1806" s="54"/>
      <c r="S1806" s="129"/>
      <c r="T1806" s="105"/>
      <c r="U1806" s="133">
        <f>$K$1777*$I$1766*$G$1731*$E$1659*$C$1505*$A$1460*$M$1792*$O$1804*Q1807</f>
        <v>8.4850657173752111E-4</v>
      </c>
      <c r="V1806" s="133">
        <v>8.4850657173752111E-4</v>
      </c>
      <c r="W1806" s="134">
        <f>$K$1778+$I$1767+$G$1732+$E$1660+$C$1506+$A$1461+$M$1793+$O$1805+Q1808</f>
        <v>61447.390902399995</v>
      </c>
      <c r="X1806" s="133">
        <f>u_ChronicResp+u_CongnitiveImpairement</f>
        <v>17.805052694763283</v>
      </c>
      <c r="Y1806" s="133"/>
      <c r="Z1806" s="134">
        <f t="shared" si="136"/>
        <v>52.138514996810763</v>
      </c>
      <c r="AA1806" s="6">
        <f t="shared" si="135"/>
        <v>1.5107704221639505E-2</v>
      </c>
    </row>
    <row r="1807" spans="1:27" x14ac:dyDescent="0.3">
      <c r="A1807" s="10"/>
      <c r="B1807" s="10"/>
      <c r="C1807" s="10"/>
      <c r="D1807" s="10"/>
      <c r="E1807" s="10"/>
      <c r="F1807" s="41"/>
      <c r="G1807" s="64"/>
      <c r="H1807" s="64"/>
      <c r="I1807" s="64"/>
      <c r="J1807" s="64"/>
      <c r="K1807" s="64"/>
      <c r="L1807" s="64"/>
      <c r="M1807" s="53"/>
      <c r="N1807" s="64"/>
      <c r="O1807" s="64"/>
      <c r="P1807" s="64"/>
      <c r="Q1807" s="56">
        <f>RDS2CLD_4*noHypo2CI_4</f>
        <v>1.1943893129770991E-2</v>
      </c>
      <c r="R1807" s="56"/>
      <c r="S1807" s="129"/>
      <c r="T1807" s="105"/>
      <c r="U1807" s="133"/>
      <c r="V1807" s="133"/>
      <c r="W1807" s="133"/>
      <c r="X1807" s="133"/>
      <c r="Y1807" s="133"/>
      <c r="Z1807" s="134">
        <f t="shared" si="136"/>
        <v>0</v>
      </c>
      <c r="AA1807" s="6">
        <f t="shared" si="135"/>
        <v>0</v>
      </c>
    </row>
    <row r="1808" spans="1:27" x14ac:dyDescent="0.3">
      <c r="A1808" s="10"/>
      <c r="B1808" s="10"/>
      <c r="C1808" s="10"/>
      <c r="D1808" s="10"/>
      <c r="E1808" s="10"/>
      <c r="F1808" s="41"/>
      <c r="G1808" s="64"/>
      <c r="H1808" s="64"/>
      <c r="I1808" s="64"/>
      <c r="J1808" s="64"/>
      <c r="K1808" s="64"/>
      <c r="L1808" s="64"/>
      <c r="M1808" s="44"/>
      <c r="N1808" s="64"/>
      <c r="O1808" s="64"/>
      <c r="P1808" s="64"/>
      <c r="Q1808" s="57">
        <f>c_cog+c_lung+c_hosp_fu+c_CSG</f>
        <v>58348.510902399998</v>
      </c>
      <c r="R1808" s="57"/>
      <c r="S1808" s="129"/>
      <c r="T1808" s="105"/>
      <c r="U1808" s="133"/>
      <c r="V1808" s="133"/>
      <c r="W1808" s="133"/>
      <c r="X1808" s="133"/>
      <c r="Y1808" s="133"/>
      <c r="Z1808" s="134">
        <f t="shared" si="136"/>
        <v>0</v>
      </c>
      <c r="AA1808" s="6">
        <f t="shared" si="135"/>
        <v>0</v>
      </c>
    </row>
    <row r="1809" spans="1:27" x14ac:dyDescent="0.3">
      <c r="A1809" s="10"/>
      <c r="B1809" s="10"/>
      <c r="C1809" s="10"/>
      <c r="D1809" s="10"/>
      <c r="E1809" s="10"/>
      <c r="F1809" s="41"/>
      <c r="G1809" s="64"/>
      <c r="H1809" s="64"/>
      <c r="I1809" s="64"/>
      <c r="J1809" s="64"/>
      <c r="K1809" s="64"/>
      <c r="L1809" s="64"/>
      <c r="M1809" s="65"/>
      <c r="N1809" s="64"/>
      <c r="O1809" s="64"/>
      <c r="P1809" s="64"/>
      <c r="Q1809" s="54" t="s">
        <v>370</v>
      </c>
      <c r="R1809" s="54"/>
      <c r="T1809" s="105"/>
      <c r="U1809" s="133">
        <f>$K$1777*$I$1766*$G$1731*$E$1659*$C$1505*$A$1460*$M$1792*$O$1804*Q1810</f>
        <v>4.3893296460021346E-2</v>
      </c>
      <c r="V1809" s="133">
        <v>4.3893296460021346E-2</v>
      </c>
      <c r="W1809" s="134">
        <f>$K$1778+$I$1767+$G$1732+$E$1660+$C$1506+$A$1461+$M$1793+$O$1805+Q1811</f>
        <v>17501.88</v>
      </c>
      <c r="X1809" s="133">
        <f>u_Healthy</f>
        <v>0</v>
      </c>
      <c r="Y1809" s="133"/>
      <c r="Z1809" s="134">
        <f t="shared" si="136"/>
        <v>768.2152074477184</v>
      </c>
      <c r="AA1809" s="6">
        <f t="shared" si="135"/>
        <v>0</v>
      </c>
    </row>
    <row r="1810" spans="1:27" x14ac:dyDescent="0.3">
      <c r="A1810" s="10"/>
      <c r="B1810" s="10"/>
      <c r="C1810" s="10"/>
      <c r="D1810" s="10"/>
      <c r="E1810" s="10"/>
      <c r="F1810" s="41"/>
      <c r="G1810" s="64"/>
      <c r="H1810" s="64"/>
      <c r="I1810" s="64"/>
      <c r="J1810" s="64"/>
      <c r="K1810" s="64"/>
      <c r="L1810" s="64"/>
      <c r="M1810" s="65"/>
      <c r="N1810" s="44"/>
      <c r="O1810" s="64"/>
      <c r="P1810" s="64"/>
      <c r="Q1810" s="56">
        <f>1-Q1807-Q1804-Q1801</f>
        <v>0.61785831659300938</v>
      </c>
      <c r="R1810" s="56"/>
      <c r="S1810" s="129"/>
      <c r="T1810" s="105"/>
      <c r="U1810" s="133"/>
      <c r="V1810" s="133"/>
      <c r="W1810" s="133"/>
      <c r="X1810" s="133"/>
      <c r="Y1810" s="133"/>
      <c r="Z1810" s="133"/>
      <c r="AA1810" s="6"/>
    </row>
    <row r="1811" spans="1:27" x14ac:dyDescent="0.3">
      <c r="A1811" s="10"/>
      <c r="B1811" s="10"/>
      <c r="C1811" s="10"/>
      <c r="D1811" s="10"/>
      <c r="E1811" s="10"/>
      <c r="F1811" s="41"/>
      <c r="G1811" s="64"/>
      <c r="H1811" s="64"/>
      <c r="I1811" s="64"/>
      <c r="J1811" s="64"/>
      <c r="K1811" s="64"/>
      <c r="L1811" s="64"/>
      <c r="M1811" s="65"/>
      <c r="N1811" s="64"/>
      <c r="O1811" s="64"/>
      <c r="P1811" s="64"/>
      <c r="Q1811" s="57">
        <f>c_clinic_fu+c_CSG</f>
        <v>14403</v>
      </c>
      <c r="R1811" s="57"/>
      <c r="S1811" s="129"/>
      <c r="T1811" s="105"/>
      <c r="U1811" s="133"/>
      <c r="V1811" s="133"/>
      <c r="W1811" s="133"/>
      <c r="X1811" s="133"/>
      <c r="Y1811" s="133"/>
      <c r="Z1811" s="133"/>
      <c r="AA1811" s="6"/>
    </row>
    <row r="1812" spans="1:27" x14ac:dyDescent="0.3">
      <c r="A1812" s="115"/>
      <c r="B1812" s="115"/>
      <c r="C1812" s="115"/>
      <c r="D1812" s="115"/>
      <c r="E1812" s="115"/>
      <c r="F1812" s="111"/>
      <c r="G1812" s="112"/>
      <c r="H1812" s="112"/>
      <c r="I1812" s="112"/>
      <c r="J1812" s="112"/>
      <c r="K1812" s="112"/>
      <c r="L1812" s="112"/>
      <c r="M1812" s="117"/>
      <c r="N1812" s="112"/>
      <c r="O1812" s="112"/>
      <c r="P1812" s="112"/>
      <c r="Q1812" s="117"/>
      <c r="R1812" s="117"/>
      <c r="S1812" s="131"/>
      <c r="T1812" s="137"/>
      <c r="U1812" s="133"/>
      <c r="V1812" s="133"/>
      <c r="W1812" s="133"/>
      <c r="X1812" s="133"/>
      <c r="Y1812" s="133"/>
      <c r="Z1812" s="133"/>
      <c r="AA1812" s="6"/>
    </row>
    <row r="1813" spans="1:27" x14ac:dyDescent="0.3">
      <c r="T1813" s="140"/>
      <c r="U1813" s="138">
        <f>SUM(U909:U1809)</f>
        <v>1.0000000000000002</v>
      </c>
      <c r="V1813" s="138"/>
      <c r="W1813" s="138">
        <f>SUM(W909:W1809)</f>
        <v>41036510.342780255</v>
      </c>
      <c r="X1813" s="138">
        <f>SUM(X909:X1809)</f>
        <v>2624.314430989391</v>
      </c>
      <c r="Y1813" s="138"/>
      <c r="Z1813" s="138">
        <f>SUM(Z909:Z1809)</f>
        <v>100999.81617493607</v>
      </c>
      <c r="AA1813" s="139">
        <f>SUM(AA909:AA1809)</f>
        <v>1.309764501791614</v>
      </c>
    </row>
  </sheetData>
  <conditionalFormatting sqref="BE63:BT83">
    <cfRule type="colorScale" priority="9">
      <colorScale>
        <cfvo type="min"/>
        <cfvo type="percentile" val="50"/>
        <cfvo type="max"/>
        <color rgb="FF63BE7B"/>
        <color rgb="FFFFEB84"/>
        <color rgb="FFF8696B"/>
      </colorScale>
    </cfRule>
  </conditionalFormatting>
  <conditionalFormatting sqref="BF530:CL601">
    <cfRule type="colorScale" priority="6">
      <colorScale>
        <cfvo type="min"/>
        <cfvo type="percentile" val="50"/>
        <cfvo type="max"/>
        <color rgb="FFF8696B"/>
        <color rgb="FFFFEB84"/>
        <color rgb="FF63BE7B"/>
      </colorScale>
    </cfRule>
  </conditionalFormatting>
  <conditionalFormatting sqref="T1139:T181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6"/>
  <sheetViews>
    <sheetView topLeftCell="A64" workbookViewId="0">
      <selection activeCell="I84" sqref="I84"/>
    </sheetView>
  </sheetViews>
  <sheetFormatPr defaultRowHeight="14.4" x14ac:dyDescent="0.3"/>
  <sheetData>
    <row r="1" spans="1:1" s="35" customFormat="1" x14ac:dyDescent="0.3">
      <c r="A1" s="35" t="s">
        <v>90</v>
      </c>
    </row>
    <row r="3" spans="1:1" x14ac:dyDescent="0.3">
      <c r="A3" t="s">
        <v>91</v>
      </c>
    </row>
    <row r="4" spans="1:1" x14ac:dyDescent="0.3">
      <c r="A4" t="s">
        <v>92</v>
      </c>
    </row>
    <row r="5" spans="1:1" x14ac:dyDescent="0.3">
      <c r="A5" t="s">
        <v>93</v>
      </c>
    </row>
    <row r="6" spans="1:1" x14ac:dyDescent="0.3">
      <c r="A6" t="s">
        <v>94</v>
      </c>
    </row>
    <row r="7" spans="1:1" x14ac:dyDescent="0.3">
      <c r="A7" t="s">
        <v>95</v>
      </c>
    </row>
    <row r="9" spans="1:1" s="35" customFormat="1" x14ac:dyDescent="0.3">
      <c r="A9" s="35" t="s">
        <v>96</v>
      </c>
    </row>
    <row r="11" spans="1:1" x14ac:dyDescent="0.3">
      <c r="A11" t="s">
        <v>97</v>
      </c>
    </row>
    <row r="12" spans="1:1" x14ac:dyDescent="0.3">
      <c r="A12" t="s">
        <v>98</v>
      </c>
    </row>
    <row r="13" spans="1:1" x14ac:dyDescent="0.3">
      <c r="A13" t="s">
        <v>99</v>
      </c>
    </row>
    <row r="14" spans="1:1" x14ac:dyDescent="0.3">
      <c r="A14" t="s">
        <v>100</v>
      </c>
    </row>
    <row r="15" spans="1:1" x14ac:dyDescent="0.3">
      <c r="A15" t="s">
        <v>101</v>
      </c>
    </row>
    <row r="16" spans="1:1" x14ac:dyDescent="0.3">
      <c r="A16" t="s">
        <v>102</v>
      </c>
    </row>
    <row r="17" spans="1:1" x14ac:dyDescent="0.3">
      <c r="A17" t="s">
        <v>103</v>
      </c>
    </row>
    <row r="18" spans="1:1" x14ac:dyDescent="0.3">
      <c r="A18" t="s">
        <v>104</v>
      </c>
    </row>
    <row r="20" spans="1:1" s="35" customFormat="1" x14ac:dyDescent="0.3">
      <c r="A20" s="35" t="s">
        <v>105</v>
      </c>
    </row>
    <row r="22" spans="1:1" x14ac:dyDescent="0.3">
      <c r="A22" t="s">
        <v>106</v>
      </c>
    </row>
    <row r="23" spans="1:1" x14ac:dyDescent="0.3">
      <c r="A23" t="s">
        <v>107</v>
      </c>
    </row>
    <row r="24" spans="1:1" x14ac:dyDescent="0.3">
      <c r="A24" t="s">
        <v>108</v>
      </c>
    </row>
    <row r="25" spans="1:1" x14ac:dyDescent="0.3">
      <c r="A25" t="s">
        <v>109</v>
      </c>
    </row>
    <row r="26" spans="1:1" x14ac:dyDescent="0.3">
      <c r="A26" t="s">
        <v>110</v>
      </c>
    </row>
    <row r="27" spans="1:1" x14ac:dyDescent="0.3">
      <c r="A27" t="s">
        <v>111</v>
      </c>
    </row>
    <row r="28" spans="1:1" x14ac:dyDescent="0.3">
      <c r="A28" t="s">
        <v>112</v>
      </c>
    </row>
    <row r="29" spans="1:1" x14ac:dyDescent="0.3">
      <c r="A29" t="s">
        <v>113</v>
      </c>
    </row>
    <row r="30" spans="1:1" x14ac:dyDescent="0.3">
      <c r="A30" t="s">
        <v>114</v>
      </c>
    </row>
    <row r="31" spans="1:1" x14ac:dyDescent="0.3">
      <c r="A31" t="s">
        <v>115</v>
      </c>
    </row>
    <row r="32" spans="1:1" x14ac:dyDescent="0.3">
      <c r="A32" t="s">
        <v>116</v>
      </c>
    </row>
    <row r="33" spans="1:1" x14ac:dyDescent="0.3">
      <c r="A33" t="s">
        <v>117</v>
      </c>
    </row>
    <row r="34" spans="1:1" x14ac:dyDescent="0.3">
      <c r="A34" t="s">
        <v>118</v>
      </c>
    </row>
    <row r="35" spans="1:1" x14ac:dyDescent="0.3">
      <c r="A35" t="s">
        <v>119</v>
      </c>
    </row>
    <row r="37" spans="1:1" s="35" customFormat="1" x14ac:dyDescent="0.3">
      <c r="A37" s="35" t="s">
        <v>131</v>
      </c>
    </row>
    <row r="39" spans="1:1" x14ac:dyDescent="0.3">
      <c r="A39" t="s">
        <v>132</v>
      </c>
    </row>
    <row r="40" spans="1:1" x14ac:dyDescent="0.3">
      <c r="A40" t="s">
        <v>133</v>
      </c>
    </row>
    <row r="41" spans="1:1" x14ac:dyDescent="0.3">
      <c r="A41" t="s">
        <v>134</v>
      </c>
    </row>
    <row r="42" spans="1:1" x14ac:dyDescent="0.3">
      <c r="A42" t="s">
        <v>135</v>
      </c>
    </row>
    <row r="43" spans="1:1" x14ac:dyDescent="0.3">
      <c r="A43" t="s">
        <v>136</v>
      </c>
    </row>
    <row r="44" spans="1:1" x14ac:dyDescent="0.3">
      <c r="A44" t="s">
        <v>137</v>
      </c>
    </row>
    <row r="45" spans="1:1" x14ac:dyDescent="0.3">
      <c r="A45" t="s">
        <v>138</v>
      </c>
    </row>
    <row r="46" spans="1:1" x14ac:dyDescent="0.3">
      <c r="A46" t="s">
        <v>139</v>
      </c>
    </row>
    <row r="47" spans="1:1" x14ac:dyDescent="0.3">
      <c r="A47" t="s">
        <v>140</v>
      </c>
    </row>
    <row r="48" spans="1:1" x14ac:dyDescent="0.3">
      <c r="A48" t="s">
        <v>141</v>
      </c>
    </row>
    <row r="49" spans="1:1" x14ac:dyDescent="0.3">
      <c r="A49" t="s">
        <v>142</v>
      </c>
    </row>
    <row r="50" spans="1:1" x14ac:dyDescent="0.3">
      <c r="A50" t="s">
        <v>143</v>
      </c>
    </row>
    <row r="51" spans="1:1" x14ac:dyDescent="0.3">
      <c r="A51" t="s">
        <v>144</v>
      </c>
    </row>
    <row r="53" spans="1:1" x14ac:dyDescent="0.3">
      <c r="A53" t="s">
        <v>145</v>
      </c>
    </row>
    <row r="54" spans="1:1" x14ac:dyDescent="0.3">
      <c r="A54" t="s">
        <v>146</v>
      </c>
    </row>
    <row r="55" spans="1:1" x14ac:dyDescent="0.3">
      <c r="A55" t="s">
        <v>147</v>
      </c>
    </row>
    <row r="56" spans="1:1" x14ac:dyDescent="0.3">
      <c r="A56" t="s">
        <v>148</v>
      </c>
    </row>
    <row r="57" spans="1:1" x14ac:dyDescent="0.3">
      <c r="A57" t="s">
        <v>149</v>
      </c>
    </row>
    <row r="58" spans="1:1" x14ac:dyDescent="0.3">
      <c r="A58" t="s">
        <v>150</v>
      </c>
    </row>
    <row r="59" spans="1:1" x14ac:dyDescent="0.3">
      <c r="A59" t="s">
        <v>151</v>
      </c>
    </row>
    <row r="60" spans="1:1" x14ac:dyDescent="0.3">
      <c r="A60" t="s">
        <v>152</v>
      </c>
    </row>
    <row r="61" spans="1:1" x14ac:dyDescent="0.3">
      <c r="A61" t="s">
        <v>153</v>
      </c>
    </row>
    <row r="62" spans="1:1" x14ac:dyDescent="0.3">
      <c r="A62" t="s">
        <v>154</v>
      </c>
    </row>
    <row r="63" spans="1:1" x14ac:dyDescent="0.3">
      <c r="A63" t="s">
        <v>155</v>
      </c>
    </row>
    <row r="64" spans="1:1" x14ac:dyDescent="0.3">
      <c r="A64" t="s">
        <v>156</v>
      </c>
    </row>
    <row r="65" spans="1:1" x14ac:dyDescent="0.3">
      <c r="A65" t="s">
        <v>157</v>
      </c>
    </row>
    <row r="66" spans="1:1" x14ac:dyDescent="0.3">
      <c r="A66" t="s">
        <v>158</v>
      </c>
    </row>
    <row r="67" spans="1:1" x14ac:dyDescent="0.3">
      <c r="A67" t="s">
        <v>159</v>
      </c>
    </row>
    <row r="69" spans="1:1" s="38" customFormat="1" x14ac:dyDescent="0.3">
      <c r="A69" s="38" t="s">
        <v>173</v>
      </c>
    </row>
    <row r="71" spans="1:1" x14ac:dyDescent="0.3">
      <c r="A71" t="s">
        <v>174</v>
      </c>
    </row>
    <row r="72" spans="1:1" x14ac:dyDescent="0.3">
      <c r="A72" t="s">
        <v>175</v>
      </c>
    </row>
    <row r="73" spans="1:1" x14ac:dyDescent="0.3">
      <c r="A73" t="s">
        <v>176</v>
      </c>
    </row>
    <row r="74" spans="1:1" x14ac:dyDescent="0.3">
      <c r="A74" t="s">
        <v>177</v>
      </c>
    </row>
    <row r="75" spans="1:1" x14ac:dyDescent="0.3">
      <c r="A75" t="s">
        <v>178</v>
      </c>
    </row>
    <row r="76" spans="1:1" x14ac:dyDescent="0.3">
      <c r="A76" t="s">
        <v>179</v>
      </c>
    </row>
    <row r="77" spans="1:1" x14ac:dyDescent="0.3">
      <c r="A77" t="s">
        <v>180</v>
      </c>
    </row>
    <row r="78" spans="1:1" x14ac:dyDescent="0.3">
      <c r="A78" t="s">
        <v>181</v>
      </c>
    </row>
    <row r="79" spans="1:1" x14ac:dyDescent="0.3">
      <c r="A79" t="s">
        <v>182</v>
      </c>
    </row>
    <row r="80" spans="1:1" x14ac:dyDescent="0.3">
      <c r="A80" t="s">
        <v>183</v>
      </c>
    </row>
    <row r="81" spans="1:1" x14ac:dyDescent="0.3">
      <c r="A81" t="s">
        <v>184</v>
      </c>
    </row>
    <row r="82" spans="1:1" x14ac:dyDescent="0.3">
      <c r="A82" t="s">
        <v>185</v>
      </c>
    </row>
    <row r="83" spans="1:1" x14ac:dyDescent="0.3">
      <c r="A83" t="s">
        <v>186</v>
      </c>
    </row>
    <row r="84" spans="1:1" x14ac:dyDescent="0.3">
      <c r="A84" t="s">
        <v>187</v>
      </c>
    </row>
    <row r="85" spans="1:1" x14ac:dyDescent="0.3">
      <c r="A85" t="s">
        <v>188</v>
      </c>
    </row>
    <row r="86" spans="1:1" x14ac:dyDescent="0.3">
      <c r="A86" t="s">
        <v>189</v>
      </c>
    </row>
    <row r="87" spans="1:1" x14ac:dyDescent="0.3">
      <c r="A87" t="s">
        <v>190</v>
      </c>
    </row>
    <row r="88" spans="1:1" x14ac:dyDescent="0.3">
      <c r="A88" t="s">
        <v>191</v>
      </c>
    </row>
    <row r="90" spans="1:1" s="35" customFormat="1" x14ac:dyDescent="0.3">
      <c r="A90" s="35" t="s">
        <v>160</v>
      </c>
    </row>
    <row r="91" spans="1:1" x14ac:dyDescent="0.3">
      <c r="A91" t="s">
        <v>89</v>
      </c>
    </row>
    <row r="93" spans="1:1" s="35" customFormat="1" x14ac:dyDescent="0.3">
      <c r="A93" s="35" t="s">
        <v>120</v>
      </c>
    </row>
    <row r="95" spans="1:1" x14ac:dyDescent="0.3">
      <c r="A95" t="s">
        <v>121</v>
      </c>
    </row>
    <row r="96" spans="1:1" x14ac:dyDescent="0.3">
      <c r="A96" t="s">
        <v>122</v>
      </c>
    </row>
    <row r="97" spans="1:1" x14ac:dyDescent="0.3">
      <c r="A97" t="s">
        <v>123</v>
      </c>
    </row>
    <row r="98" spans="1:1" x14ac:dyDescent="0.3">
      <c r="A98" t="s">
        <v>124</v>
      </c>
    </row>
    <row r="99" spans="1:1" x14ac:dyDescent="0.3">
      <c r="A99" t="s">
        <v>125</v>
      </c>
    </row>
    <row r="100" spans="1:1" x14ac:dyDescent="0.3">
      <c r="A100" t="s">
        <v>126</v>
      </c>
    </row>
    <row r="101" spans="1:1" x14ac:dyDescent="0.3">
      <c r="A101" t="s">
        <v>127</v>
      </c>
    </row>
    <row r="102" spans="1:1" x14ac:dyDescent="0.3">
      <c r="A102" t="s">
        <v>128</v>
      </c>
    </row>
    <row r="103" spans="1:1" x14ac:dyDescent="0.3">
      <c r="A103" t="s">
        <v>129</v>
      </c>
    </row>
    <row r="104" spans="1:1" x14ac:dyDescent="0.3">
      <c r="A104" t="s">
        <v>130</v>
      </c>
    </row>
    <row r="106" spans="1:1" s="35" customFormat="1" x14ac:dyDescent="0.3">
      <c r="A106" s="35" t="s">
        <v>71</v>
      </c>
    </row>
    <row r="108" spans="1:1" x14ac:dyDescent="0.3">
      <c r="A108" t="s">
        <v>72</v>
      </c>
    </row>
    <row r="109" spans="1:1" x14ac:dyDescent="0.3">
      <c r="A109" t="s">
        <v>73</v>
      </c>
    </row>
    <row r="110" spans="1:1" x14ac:dyDescent="0.3">
      <c r="A110" t="s">
        <v>74</v>
      </c>
    </row>
    <row r="111" spans="1:1" x14ac:dyDescent="0.3">
      <c r="A111" t="s">
        <v>75</v>
      </c>
    </row>
    <row r="112" spans="1:1" x14ac:dyDescent="0.3">
      <c r="A112" t="s">
        <v>76</v>
      </c>
    </row>
    <row r="113" spans="1:1" x14ac:dyDescent="0.3">
      <c r="A113" t="s">
        <v>77</v>
      </c>
    </row>
    <row r="114" spans="1:1" x14ac:dyDescent="0.3">
      <c r="A114" t="s">
        <v>78</v>
      </c>
    </row>
    <row r="115" spans="1:1" x14ac:dyDescent="0.3">
      <c r="A115" t="s">
        <v>79</v>
      </c>
    </row>
    <row r="117" spans="1:1" x14ac:dyDescent="0.3">
      <c r="A117" t="s">
        <v>80</v>
      </c>
    </row>
    <row r="118" spans="1:1" x14ac:dyDescent="0.3">
      <c r="A118" t="s">
        <v>81</v>
      </c>
    </row>
    <row r="119" spans="1:1" x14ac:dyDescent="0.3">
      <c r="A119" t="s">
        <v>82</v>
      </c>
    </row>
    <row r="120" spans="1:1" x14ac:dyDescent="0.3">
      <c r="A120" t="s">
        <v>83</v>
      </c>
    </row>
    <row r="122" spans="1:1" x14ac:dyDescent="0.3">
      <c r="A122" t="s">
        <v>84</v>
      </c>
    </row>
    <row r="123" spans="1:1" x14ac:dyDescent="0.3">
      <c r="A123" t="s">
        <v>85</v>
      </c>
    </row>
    <row r="124" spans="1:1" x14ac:dyDescent="0.3">
      <c r="A124" t="s">
        <v>86</v>
      </c>
    </row>
    <row r="125" spans="1:1" x14ac:dyDescent="0.3">
      <c r="A125" t="s">
        <v>87</v>
      </c>
    </row>
    <row r="126" spans="1:1" x14ac:dyDescent="0.3">
      <c r="A126" t="s">
        <v>88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36"/>
  <sheetViews>
    <sheetView zoomScale="50" zoomScaleNormal="50" workbookViewId="0">
      <selection activeCell="H44" sqref="H44"/>
    </sheetView>
  </sheetViews>
  <sheetFormatPr defaultColWidth="8.88671875" defaultRowHeight="14.4" x14ac:dyDescent="0.3"/>
  <cols>
    <col min="1" max="1" width="11.21875" style="53" bestFit="1" customWidth="1"/>
    <col min="2" max="3" width="8.88671875" style="53"/>
    <col min="4" max="4" width="10.77734375" style="53" bestFit="1" customWidth="1"/>
    <col min="5" max="5" width="8.88671875" style="53"/>
    <col min="6" max="6" width="13.109375" style="53" bestFit="1" customWidth="1"/>
    <col min="7" max="7" width="8.88671875" style="53"/>
    <col min="8" max="8" width="18.109375" style="53" bestFit="1" customWidth="1"/>
    <col min="9" max="9" width="8.88671875" style="53"/>
    <col min="10" max="10" width="21" style="53" bestFit="1" customWidth="1"/>
    <col min="11" max="11" width="8.88671875" style="53"/>
    <col min="12" max="12" width="25.88671875" style="55" bestFit="1" customWidth="1"/>
    <col min="13" max="13" width="28.77734375" style="53" bestFit="1" customWidth="1"/>
    <col min="14" max="14" width="14.44140625" style="59" bestFit="1" customWidth="1"/>
    <col min="15" max="15" width="14.5546875" style="53" bestFit="1" customWidth="1"/>
    <col min="16" max="16" width="17.6640625" style="59" bestFit="1" customWidth="1"/>
    <col min="17" max="17" width="20.109375" style="53" bestFit="1" customWidth="1"/>
    <col min="18" max="16384" width="8.88671875" style="53"/>
  </cols>
  <sheetData>
    <row r="1" spans="4:17" x14ac:dyDescent="0.3">
      <c r="L1" s="66" t="s">
        <v>59</v>
      </c>
      <c r="M1" s="67" t="s">
        <v>60</v>
      </c>
      <c r="N1" s="68" t="s">
        <v>67</v>
      </c>
      <c r="O1" s="67" t="s">
        <v>63</v>
      </c>
      <c r="P1" s="69" t="s">
        <v>66</v>
      </c>
      <c r="Q1" s="67" t="s">
        <v>64</v>
      </c>
    </row>
    <row r="2" spans="4:17" x14ac:dyDescent="0.3">
      <c r="L2" s="70" t="s">
        <v>4</v>
      </c>
      <c r="M2" s="71"/>
      <c r="N2" s="69"/>
      <c r="O2" s="71"/>
      <c r="P2" s="69"/>
      <c r="Q2" s="71"/>
    </row>
    <row r="3" spans="4:17" x14ac:dyDescent="0.3">
      <c r="L3" s="53"/>
      <c r="N3" s="53"/>
      <c r="P3" s="53"/>
    </row>
    <row r="4" spans="4:17" x14ac:dyDescent="0.3">
      <c r="J4" s="54" t="s">
        <v>221</v>
      </c>
      <c r="K4" s="54"/>
      <c r="L4" s="53">
        <v>1</v>
      </c>
      <c r="M4" s="73" t="e">
        <f>B22*D14*F11*H8*J5</f>
        <v>#REF!</v>
      </c>
      <c r="N4" s="59">
        <f>A29+B23+D15+F12+H9+J6</f>
        <v>275791.78835871373</v>
      </c>
      <c r="O4" s="53">
        <f>u_ChronicResp</f>
        <v>0.53465956747782661</v>
      </c>
      <c r="P4" s="74" t="e">
        <f>M4*N4</f>
        <v>#REF!</v>
      </c>
      <c r="Q4" s="78" t="e">
        <f>M4*O4</f>
        <v>#REF!</v>
      </c>
    </row>
    <row r="5" spans="4:17" x14ac:dyDescent="0.3">
      <c r="J5" s="56" t="e">
        <f>Rate_of_chronic_lung_disease</f>
        <v>#REF!</v>
      </c>
      <c r="L5" s="53"/>
      <c r="N5" s="53"/>
      <c r="P5" s="53"/>
    </row>
    <row r="6" spans="4:17" x14ac:dyDescent="0.3">
      <c r="J6" s="57">
        <f>ChronicResp_cost</f>
        <v>42582.510902399998</v>
      </c>
      <c r="L6" s="72"/>
      <c r="M6" s="73"/>
      <c r="N6" s="73"/>
      <c r="O6" s="73"/>
      <c r="P6" s="73"/>
      <c r="Q6" s="73"/>
    </row>
    <row r="7" spans="4:17" x14ac:dyDescent="0.3">
      <c r="H7" s="54" t="s">
        <v>9</v>
      </c>
      <c r="I7" s="54"/>
      <c r="J7" s="54" t="s">
        <v>220</v>
      </c>
      <c r="K7" s="54"/>
      <c r="L7" s="55">
        <v>2</v>
      </c>
      <c r="M7" s="73" t="e">
        <f>B22*D14*F11*H8*J8</f>
        <v>#REF!</v>
      </c>
      <c r="N7" s="74">
        <f>A29+B23+D15+F12+H9+J9</f>
        <v>233209.27745631372</v>
      </c>
      <c r="O7" s="73">
        <f>u_Healthy</f>
        <v>0</v>
      </c>
      <c r="P7" s="74" t="e">
        <f>M7*N7</f>
        <v>#REF!</v>
      </c>
      <c r="Q7" s="73" t="e">
        <f>M7*O7</f>
        <v>#REF!</v>
      </c>
    </row>
    <row r="8" spans="4:17" x14ac:dyDescent="0.3">
      <c r="H8" s="56" t="e">
        <f>RDS_rate</f>
        <v>#REF!</v>
      </c>
      <c r="J8" s="56" t="e">
        <f>1-J5</f>
        <v>#REF!</v>
      </c>
      <c r="L8" s="75"/>
      <c r="M8" s="76"/>
      <c r="N8" s="77"/>
      <c r="O8" s="76"/>
      <c r="P8" s="77"/>
      <c r="Q8" s="78"/>
    </row>
    <row r="9" spans="4:17" x14ac:dyDescent="0.3">
      <c r="H9" s="57">
        <f>RDS_cost+follow_up__hosp__cost</f>
        <v>31502.610148205637</v>
      </c>
      <c r="J9" s="57"/>
      <c r="L9" s="79"/>
      <c r="M9" s="73"/>
      <c r="N9" s="74"/>
      <c r="O9" s="76"/>
      <c r="P9" s="77"/>
      <c r="Q9" s="78"/>
    </row>
    <row r="10" spans="4:17" x14ac:dyDescent="0.3">
      <c r="F10" s="54" t="s">
        <v>8</v>
      </c>
      <c r="H10" s="54" t="s">
        <v>203</v>
      </c>
      <c r="I10" s="54"/>
      <c r="J10" s="54"/>
      <c r="K10" s="54"/>
      <c r="L10" s="58">
        <v>3</v>
      </c>
      <c r="M10" s="73" t="e">
        <f>B22*D14*F11*H11</f>
        <v>#REF!</v>
      </c>
      <c r="N10" s="74">
        <f>A29+B23+D15+F12+H12</f>
        <v>202613.6673081081</v>
      </c>
      <c r="O10" s="76">
        <f>u_Healthy</f>
        <v>0</v>
      </c>
      <c r="P10" s="77" t="e">
        <f>M10*N10</f>
        <v>#REF!</v>
      </c>
      <c r="Q10" s="78" t="e">
        <f>M10*O10</f>
        <v>#REF!</v>
      </c>
    </row>
    <row r="11" spans="4:17" x14ac:dyDescent="0.3">
      <c r="F11" s="56" t="e">
        <f>LBW__reduction</f>
        <v>#REF!</v>
      </c>
      <c r="H11" s="56" t="e">
        <f>1-H8-H14</f>
        <v>#REF!</v>
      </c>
      <c r="L11" s="53"/>
      <c r="M11" s="73"/>
      <c r="N11" s="74"/>
      <c r="O11" s="76"/>
      <c r="P11" s="77"/>
      <c r="Q11" s="78"/>
    </row>
    <row r="12" spans="4:17" x14ac:dyDescent="0.3">
      <c r="F12" s="57">
        <f>LBW_cost</f>
        <v>198651.76559999998</v>
      </c>
      <c r="H12" s="57">
        <f>follow_up__hosp__cost</f>
        <v>907</v>
      </c>
      <c r="L12" s="53"/>
      <c r="M12" s="73"/>
      <c r="N12" s="74"/>
      <c r="O12" s="76"/>
      <c r="P12" s="77"/>
      <c r="Q12" s="78"/>
    </row>
    <row r="13" spans="4:17" x14ac:dyDescent="0.3">
      <c r="D13" s="54" t="s">
        <v>10</v>
      </c>
      <c r="H13" s="54" t="s">
        <v>165</v>
      </c>
      <c r="I13" s="54"/>
      <c r="J13" s="54"/>
      <c r="K13" s="54"/>
      <c r="L13" s="72">
        <v>4</v>
      </c>
      <c r="M13" s="73" t="e">
        <f>B22*D14*F11*H14</f>
        <v>#REF!</v>
      </c>
      <c r="N13" s="74">
        <f>A29+B23+D15+F12</f>
        <v>201706.6673081081</v>
      </c>
      <c r="O13" s="76">
        <f>u_Death</f>
        <v>19.181538114427529</v>
      </c>
      <c r="P13" s="77" t="e">
        <f>M13*N13</f>
        <v>#REF!</v>
      </c>
      <c r="Q13" s="78" t="e">
        <f>M13*O13</f>
        <v>#REF!</v>
      </c>
    </row>
    <row r="14" spans="4:17" x14ac:dyDescent="0.3">
      <c r="D14" s="56" t="e">
        <f>Preterm__ANC_and_PSG</f>
        <v>#REF!</v>
      </c>
      <c r="H14" s="56" t="e">
        <f>Rate_of_prem_death</f>
        <v>#REF!</v>
      </c>
      <c r="M14" s="73"/>
      <c r="N14" s="74"/>
      <c r="O14" s="76"/>
      <c r="P14" s="77"/>
      <c r="Q14" s="78"/>
    </row>
    <row r="15" spans="4:17" x14ac:dyDescent="0.3">
      <c r="D15" s="57">
        <f>Preterm_cost</f>
        <v>577.9017081081081</v>
      </c>
      <c r="L15" s="75"/>
      <c r="M15" s="73"/>
      <c r="N15" s="74"/>
      <c r="O15" s="76"/>
      <c r="P15" s="77"/>
      <c r="Q15" s="78"/>
    </row>
    <row r="16" spans="4:17" x14ac:dyDescent="0.3">
      <c r="F16" s="54" t="s">
        <v>201</v>
      </c>
      <c r="G16" s="54"/>
      <c r="H16" s="54"/>
      <c r="I16" s="54"/>
      <c r="J16" s="54"/>
      <c r="K16" s="54"/>
      <c r="L16" s="79">
        <v>5</v>
      </c>
      <c r="M16" s="73" t="e">
        <f>B22*D14*F17</f>
        <v>#REF!</v>
      </c>
      <c r="N16" s="74">
        <f>A29+B23+D15+F21</f>
        <v>3054.9017081081083</v>
      </c>
      <c r="O16" s="76">
        <f>u_Healthy</f>
        <v>0</v>
      </c>
      <c r="P16" s="77" t="e">
        <f>M16*N16</f>
        <v>#REF!</v>
      </c>
      <c r="Q16" s="78" t="e">
        <f>M16*O16</f>
        <v>#REF!</v>
      </c>
    </row>
    <row r="17" spans="1:17" x14ac:dyDescent="0.3">
      <c r="F17" s="56" t="e">
        <f>1-F11</f>
        <v>#REF!</v>
      </c>
      <c r="L17" s="58"/>
      <c r="M17" s="73"/>
      <c r="N17" s="74"/>
      <c r="O17" s="76"/>
      <c r="P17" s="77"/>
      <c r="Q17" s="78"/>
    </row>
    <row r="18" spans="1:17" x14ac:dyDescent="0.3">
      <c r="F18" s="57">
        <f>follow_up__clinic__cost</f>
        <v>3363</v>
      </c>
      <c r="L18" s="53"/>
      <c r="M18" s="73"/>
      <c r="N18" s="74"/>
      <c r="O18" s="76"/>
      <c r="P18" s="77"/>
      <c r="Q18" s="78"/>
    </row>
    <row r="19" spans="1:17" x14ac:dyDescent="0.3">
      <c r="J19" s="54" t="s">
        <v>226</v>
      </c>
      <c r="K19" s="54"/>
      <c r="L19" s="53">
        <v>6</v>
      </c>
      <c r="M19" s="73" t="e">
        <f>B22*D28*F26*H23*J20</f>
        <v>#REF!</v>
      </c>
      <c r="N19" s="74">
        <f>A29+B23+H24+J21</f>
        <v>12595.260399999999</v>
      </c>
      <c r="O19" s="76">
        <f>u_CongnitiveImpairement</f>
        <v>17.270393127285455</v>
      </c>
      <c r="P19" s="74" t="e">
        <f>M19*N19</f>
        <v>#REF!</v>
      </c>
      <c r="Q19" s="78" t="e">
        <f>M19*O19</f>
        <v>#REF!</v>
      </c>
    </row>
    <row r="20" spans="1:17" x14ac:dyDescent="0.3">
      <c r="J20" s="56" t="e">
        <f>Rate_of_cognitive_impairement</f>
        <v>#REF!</v>
      </c>
      <c r="L20" s="72"/>
      <c r="M20" s="73"/>
      <c r="N20" s="74"/>
      <c r="O20" s="76"/>
      <c r="P20" s="77"/>
      <c r="Q20" s="78"/>
    </row>
    <row r="21" spans="1:17" x14ac:dyDescent="0.3">
      <c r="B21" s="54" t="s">
        <v>202</v>
      </c>
      <c r="J21" s="57">
        <f>Cognitive_impairement_cost</f>
        <v>3819</v>
      </c>
      <c r="M21" s="73"/>
      <c r="N21" s="74"/>
      <c r="O21" s="76"/>
      <c r="P21" s="77"/>
      <c r="Q21" s="78"/>
    </row>
    <row r="22" spans="1:17" x14ac:dyDescent="0.3">
      <c r="B22" s="56" t="e">
        <f>ANC_first_vist__increase</f>
        <v>#REF!</v>
      </c>
      <c r="H22" s="54" t="s">
        <v>161</v>
      </c>
      <c r="I22" s="54"/>
      <c r="J22" s="54" t="s">
        <v>204</v>
      </c>
      <c r="K22" s="54"/>
      <c r="L22" s="75">
        <v>7</v>
      </c>
      <c r="M22" s="73" t="e">
        <f>B22*D28*F26*H23*J23</f>
        <v>#REF!</v>
      </c>
      <c r="N22" s="74">
        <f>A29+B23+H24+J24</f>
        <v>8776.2603999999992</v>
      </c>
      <c r="O22" s="76">
        <f>u_Healthy</f>
        <v>0</v>
      </c>
      <c r="P22" s="77" t="e">
        <f>M22*N22</f>
        <v>#REF!</v>
      </c>
      <c r="Q22" s="78" t="e">
        <f>M22*O22</f>
        <v>#REF!</v>
      </c>
    </row>
    <row r="23" spans="1:17" x14ac:dyDescent="0.3">
      <c r="B23" s="57">
        <f>ANC_cost</f>
        <v>177</v>
      </c>
      <c r="H23" s="56" t="e">
        <f>Hypoglycaemia</f>
        <v>#REF!</v>
      </c>
      <c r="J23" s="56" t="e">
        <f>1-J20</f>
        <v>#REF!</v>
      </c>
      <c r="L23" s="79"/>
      <c r="M23" s="73"/>
      <c r="N23" s="74"/>
      <c r="O23" s="76"/>
      <c r="P23" s="77"/>
      <c r="Q23" s="78"/>
    </row>
    <row r="24" spans="1:17" x14ac:dyDescent="0.3">
      <c r="H24" s="57">
        <f>Hypoglycaemia_cost+follow_up__clinic__cost</f>
        <v>6299.2604000000001</v>
      </c>
      <c r="L24" s="58"/>
      <c r="M24" s="73"/>
      <c r="N24" s="74"/>
      <c r="O24" s="76"/>
      <c r="P24" s="77"/>
      <c r="Q24" s="78"/>
    </row>
    <row r="25" spans="1:17" x14ac:dyDescent="0.3">
      <c r="F25" s="54" t="s">
        <v>164</v>
      </c>
      <c r="H25" s="54" t="s">
        <v>204</v>
      </c>
      <c r="I25" s="54"/>
      <c r="J25" s="54"/>
      <c r="K25" s="54"/>
      <c r="L25" s="53">
        <v>8</v>
      </c>
      <c r="M25" s="73" t="e">
        <f>B22*D28*F26*H26</f>
        <v>#REF!</v>
      </c>
      <c r="N25" s="74">
        <f>A29+B23+H27</f>
        <v>5840</v>
      </c>
      <c r="O25" s="76">
        <f>u_Healthy</f>
        <v>0</v>
      </c>
      <c r="P25" s="77" t="e">
        <f>M25*N25</f>
        <v>#REF!</v>
      </c>
      <c r="Q25" s="78" t="e">
        <f>M25*O25</f>
        <v>#REF!</v>
      </c>
    </row>
    <row r="26" spans="1:17" x14ac:dyDescent="0.3">
      <c r="F26" s="56" t="e">
        <f>SGA__reduction</f>
        <v>#REF!</v>
      </c>
      <c r="H26" s="56" t="e">
        <f>1-H23</f>
        <v>#REF!</v>
      </c>
      <c r="L26" s="53"/>
      <c r="M26" s="73"/>
      <c r="N26" s="74"/>
      <c r="O26" s="76"/>
      <c r="P26" s="77"/>
      <c r="Q26" s="78"/>
    </row>
    <row r="27" spans="1:17" x14ac:dyDescent="0.3">
      <c r="D27" s="54" t="s">
        <v>11</v>
      </c>
      <c r="H27" s="57">
        <f>follow_up__clinic__cost</f>
        <v>3363</v>
      </c>
      <c r="L27" s="72"/>
      <c r="M27" s="73"/>
      <c r="N27" s="74"/>
      <c r="O27" s="76"/>
      <c r="P27" s="77"/>
      <c r="Q27" s="78"/>
    </row>
    <row r="28" spans="1:17" x14ac:dyDescent="0.3">
      <c r="A28" s="54" t="s">
        <v>205</v>
      </c>
      <c r="D28" s="56" t="e">
        <f>1-D14</f>
        <v>#REF!</v>
      </c>
      <c r="F28" s="54" t="s">
        <v>201</v>
      </c>
      <c r="G28" s="54"/>
      <c r="H28" s="54"/>
      <c r="I28" s="54"/>
      <c r="J28" s="54"/>
      <c r="K28" s="54"/>
      <c r="L28" s="55">
        <v>9</v>
      </c>
      <c r="M28" s="73" t="e">
        <f>B22*D28*F29</f>
        <v>#REF!</v>
      </c>
      <c r="N28" s="74">
        <f>A29+B23+F30</f>
        <v>5840</v>
      </c>
      <c r="O28" s="76">
        <f>u_Healthy</f>
        <v>0</v>
      </c>
      <c r="P28" s="77" t="e">
        <f>M28*N28</f>
        <v>#REF!</v>
      </c>
      <c r="Q28" s="78" t="e">
        <f>M28*O28</f>
        <v>#REF!</v>
      </c>
    </row>
    <row r="29" spans="1:17" x14ac:dyDescent="0.3">
      <c r="A29" s="57">
        <f>Grant_cost</f>
        <v>2300</v>
      </c>
      <c r="F29" s="56" t="e">
        <f>1-F26-F32</f>
        <v>#REF!</v>
      </c>
      <c r="L29" s="75"/>
      <c r="M29" s="73"/>
      <c r="N29" s="74"/>
      <c r="O29" s="76"/>
      <c r="P29" s="77"/>
      <c r="Q29" s="78"/>
    </row>
    <row r="30" spans="1:17" x14ac:dyDescent="0.3">
      <c r="F30" s="57">
        <f>follow_up__clinic__cost</f>
        <v>3363</v>
      </c>
      <c r="L30" s="79"/>
      <c r="M30" s="73"/>
      <c r="N30" s="74"/>
      <c r="O30" s="76"/>
      <c r="P30" s="77"/>
      <c r="Q30" s="78"/>
    </row>
    <row r="31" spans="1:17" x14ac:dyDescent="0.3">
      <c r="F31" s="54" t="s">
        <v>207</v>
      </c>
      <c r="G31" s="54"/>
      <c r="H31" s="54"/>
      <c r="I31" s="54"/>
      <c r="J31" s="54"/>
      <c r="K31" s="54"/>
      <c r="L31" s="58">
        <v>10</v>
      </c>
      <c r="M31" s="73" t="e">
        <f>B22*D28*F32</f>
        <v>#REF!</v>
      </c>
      <c r="N31" s="74">
        <f>A29+B23</f>
        <v>2477</v>
      </c>
      <c r="O31" s="76">
        <f>u_Death</f>
        <v>19.181538114427529</v>
      </c>
      <c r="P31" s="77" t="e">
        <f>M31*N31</f>
        <v>#REF!</v>
      </c>
      <c r="Q31" s="78" t="e">
        <f>M31*O31</f>
        <v>#REF!</v>
      </c>
    </row>
    <row r="32" spans="1:17" x14ac:dyDescent="0.3">
      <c r="F32" s="56" t="e">
        <f>Term_stillbirth</f>
        <v>#REF!</v>
      </c>
      <c r="L32" s="53"/>
      <c r="M32" s="73"/>
      <c r="N32" s="74"/>
      <c r="O32" s="76"/>
      <c r="P32" s="77"/>
      <c r="Q32" s="78"/>
    </row>
    <row r="33" spans="4:17" x14ac:dyDescent="0.3">
      <c r="L33" s="53"/>
      <c r="M33" s="73"/>
      <c r="N33" s="74"/>
      <c r="O33" s="76"/>
      <c r="P33" s="77"/>
      <c r="Q33" s="78"/>
    </row>
    <row r="34" spans="4:17" x14ac:dyDescent="0.3">
      <c r="J34" s="54" t="s">
        <v>221</v>
      </c>
      <c r="K34" s="54"/>
      <c r="L34" s="72">
        <v>11</v>
      </c>
      <c r="M34" s="73" t="e">
        <f>B52*D44*F41*H38*J35</f>
        <v>#REF!</v>
      </c>
      <c r="N34" s="74">
        <f>A29+D45+F42+H39+J36</f>
        <v>278070.78835871373</v>
      </c>
      <c r="O34" s="76">
        <f>u_ChronicResp</f>
        <v>0.53465956747782661</v>
      </c>
      <c r="P34" s="74" t="e">
        <f>M34*N34</f>
        <v>#REF!</v>
      </c>
      <c r="Q34" s="78" t="e">
        <f>M34*O34</f>
        <v>#REF!</v>
      </c>
    </row>
    <row r="35" spans="4:17" x14ac:dyDescent="0.3">
      <c r="J35" s="56" t="e">
        <f>Rate_of_chronic_lung_disease</f>
        <v>#REF!</v>
      </c>
      <c r="M35" s="73"/>
      <c r="N35" s="74"/>
      <c r="O35" s="76"/>
      <c r="P35" s="77"/>
      <c r="Q35" s="78"/>
    </row>
    <row r="36" spans="4:17" x14ac:dyDescent="0.3">
      <c r="J36" s="57">
        <f>ChronicResp_cost</f>
        <v>42582.510902399998</v>
      </c>
      <c r="L36" s="75"/>
      <c r="M36" s="73"/>
      <c r="N36" s="74"/>
      <c r="O36" s="76"/>
      <c r="P36" s="77"/>
      <c r="Q36" s="78"/>
    </row>
    <row r="37" spans="4:17" x14ac:dyDescent="0.3">
      <c r="H37" s="54" t="s">
        <v>9</v>
      </c>
      <c r="I37" s="54"/>
      <c r="J37" s="54" t="s">
        <v>220</v>
      </c>
      <c r="K37" s="54"/>
      <c r="L37" s="79">
        <v>12</v>
      </c>
      <c r="M37" s="73" t="e">
        <f>B52*D44*F41*H38*J38</f>
        <v>#REF!</v>
      </c>
      <c r="N37" s="74">
        <f>A29+D45+F42+H39+J39</f>
        <v>235488.27745631372</v>
      </c>
      <c r="O37" s="76">
        <f>u_Healthy</f>
        <v>0</v>
      </c>
      <c r="P37" s="77" t="e">
        <f>M37*N37</f>
        <v>#REF!</v>
      </c>
      <c r="Q37" s="78" t="e">
        <f>M37*O37</f>
        <v>#REF!</v>
      </c>
    </row>
    <row r="38" spans="4:17" x14ac:dyDescent="0.3">
      <c r="H38" s="56" t="e">
        <f>RDS_rate</f>
        <v>#REF!</v>
      </c>
      <c r="J38" s="56" t="e">
        <f>1-J35</f>
        <v>#REF!</v>
      </c>
      <c r="L38" s="58"/>
      <c r="M38" s="73"/>
      <c r="N38" s="74"/>
      <c r="O38" s="76"/>
      <c r="P38" s="77"/>
      <c r="Q38" s="78"/>
    </row>
    <row r="39" spans="4:17" x14ac:dyDescent="0.3">
      <c r="H39" s="57">
        <f>RDS_cost+follow_up__clinic__cost</f>
        <v>33958.61014820564</v>
      </c>
      <c r="J39" s="57"/>
      <c r="L39" s="53"/>
      <c r="M39" s="73"/>
      <c r="N39" s="74"/>
      <c r="O39" s="76"/>
      <c r="P39" s="77"/>
      <c r="Q39" s="78"/>
    </row>
    <row r="40" spans="4:17" x14ac:dyDescent="0.3">
      <c r="F40" s="54" t="s">
        <v>8</v>
      </c>
      <c r="H40" s="54" t="s">
        <v>203</v>
      </c>
      <c r="I40" s="54"/>
      <c r="J40" s="54"/>
      <c r="K40" s="54"/>
      <c r="L40" s="53">
        <v>13</v>
      </c>
      <c r="M40" s="73" t="e">
        <f>B52*D44*F41*H41</f>
        <v>#REF!</v>
      </c>
      <c r="N40" s="74">
        <f>A29+D45+F42+H42</f>
        <v>202436.6673081081</v>
      </c>
      <c r="O40" s="76">
        <f>u_Healthy</f>
        <v>0</v>
      </c>
      <c r="P40" s="77" t="e">
        <f>M40*N40</f>
        <v>#REF!</v>
      </c>
      <c r="Q40" s="78" t="e">
        <f>M40*O40</f>
        <v>#REF!</v>
      </c>
    </row>
    <row r="41" spans="4:17" x14ac:dyDescent="0.3">
      <c r="F41" s="56" t="e">
        <f>LBW__reduction</f>
        <v>#REF!</v>
      </c>
      <c r="H41" s="56" t="e">
        <f>1-H38-H44</f>
        <v>#REF!</v>
      </c>
      <c r="L41" s="72"/>
      <c r="M41" s="73"/>
      <c r="N41" s="74"/>
      <c r="O41" s="76"/>
      <c r="P41" s="77"/>
      <c r="Q41" s="78"/>
    </row>
    <row r="42" spans="4:17" x14ac:dyDescent="0.3">
      <c r="F42" s="57">
        <f>LBW_cost</f>
        <v>198651.76559999998</v>
      </c>
      <c r="H42" s="57">
        <f>follow_up__hosp__cost</f>
        <v>907</v>
      </c>
      <c r="M42" s="73"/>
      <c r="N42" s="74"/>
      <c r="O42" s="76"/>
      <c r="P42" s="77"/>
      <c r="Q42" s="78"/>
    </row>
    <row r="43" spans="4:17" x14ac:dyDescent="0.3">
      <c r="D43" s="54" t="s">
        <v>10</v>
      </c>
      <c r="H43" s="54" t="s">
        <v>165</v>
      </c>
      <c r="I43" s="54"/>
      <c r="J43" s="54"/>
      <c r="K43" s="54"/>
      <c r="L43" s="75">
        <v>14</v>
      </c>
      <c r="M43" s="73" t="e">
        <f>B52*D44*F41*H44</f>
        <v>#REF!</v>
      </c>
      <c r="N43" s="74">
        <f>A29+D45+F42</f>
        <v>201529.6673081081</v>
      </c>
      <c r="O43" s="76">
        <f>u_Death</f>
        <v>19.181538114427529</v>
      </c>
      <c r="P43" s="77" t="e">
        <f>M43*N43</f>
        <v>#REF!</v>
      </c>
      <c r="Q43" s="78" t="e">
        <f>M43*O43</f>
        <v>#REF!</v>
      </c>
    </row>
    <row r="44" spans="4:17" x14ac:dyDescent="0.3">
      <c r="D44" s="56" t="e">
        <f>Preterm__reduction</f>
        <v>#REF!</v>
      </c>
      <c r="H44" s="56" t="e">
        <f>Rate_of_prem_death</f>
        <v>#REF!</v>
      </c>
      <c r="L44" s="79"/>
      <c r="M44" s="73"/>
      <c r="N44" s="74"/>
      <c r="O44" s="76"/>
      <c r="P44" s="77"/>
      <c r="Q44" s="78"/>
    </row>
    <row r="45" spans="4:17" x14ac:dyDescent="0.3">
      <c r="D45" s="57">
        <f>Preterm_cost</f>
        <v>577.9017081081081</v>
      </c>
      <c r="L45" s="58"/>
      <c r="M45" s="73"/>
      <c r="N45" s="74"/>
      <c r="O45" s="76"/>
      <c r="P45" s="77"/>
      <c r="Q45" s="78"/>
    </row>
    <row r="46" spans="4:17" x14ac:dyDescent="0.3">
      <c r="F46" s="54" t="s">
        <v>201</v>
      </c>
      <c r="G46" s="54"/>
      <c r="H46" s="54"/>
      <c r="I46" s="54"/>
      <c r="J46" s="54"/>
      <c r="K46" s="54"/>
      <c r="L46" s="53">
        <v>15</v>
      </c>
      <c r="M46" s="73" t="e">
        <f>B52*D44*F47</f>
        <v>#REF!</v>
      </c>
      <c r="N46" s="74">
        <f>A29+D45+F48</f>
        <v>6240.9017081081083</v>
      </c>
      <c r="O46" s="76">
        <f>u_Healthy</f>
        <v>0</v>
      </c>
      <c r="P46" s="77" t="e">
        <f>M46*N46</f>
        <v>#REF!</v>
      </c>
      <c r="Q46" s="78" t="e">
        <f>M46*O46</f>
        <v>#REF!</v>
      </c>
    </row>
    <row r="47" spans="4:17" x14ac:dyDescent="0.3">
      <c r="F47" s="56" t="e">
        <f>1-F41</f>
        <v>#REF!</v>
      </c>
      <c r="L47" s="53"/>
      <c r="M47" s="73"/>
      <c r="N47" s="74"/>
      <c r="O47" s="76"/>
      <c r="P47" s="77"/>
      <c r="Q47" s="78"/>
    </row>
    <row r="48" spans="4:17" x14ac:dyDescent="0.3">
      <c r="F48" s="57">
        <f>follow_up__clinic__cost</f>
        <v>3363</v>
      </c>
      <c r="L48" s="72"/>
      <c r="M48" s="73"/>
      <c r="N48" s="74"/>
      <c r="O48" s="76"/>
      <c r="P48" s="77"/>
      <c r="Q48" s="78"/>
    </row>
    <row r="49" spans="1:17" x14ac:dyDescent="0.3">
      <c r="J49" s="54" t="s">
        <v>226</v>
      </c>
      <c r="K49" s="54"/>
      <c r="L49" s="55">
        <v>16</v>
      </c>
      <c r="M49" s="73" t="e">
        <f>B52*D60*F56*H53*J50</f>
        <v>#REF!</v>
      </c>
      <c r="N49" s="74">
        <f>A29+H54+J51</f>
        <v>12418.260399999999</v>
      </c>
      <c r="O49" s="76">
        <f>u_CongnitiveImpairement</f>
        <v>17.270393127285455</v>
      </c>
      <c r="P49" s="74" t="e">
        <f>M49*N49</f>
        <v>#REF!</v>
      </c>
      <c r="Q49" s="78" t="e">
        <f>M49*O49</f>
        <v>#REF!</v>
      </c>
    </row>
    <row r="50" spans="1:17" x14ac:dyDescent="0.3">
      <c r="J50" s="56" t="e">
        <f>Rate_of_cognitive_impairement</f>
        <v>#REF!</v>
      </c>
      <c r="L50" s="75"/>
      <c r="M50" s="73"/>
      <c r="N50" s="74"/>
      <c r="O50" s="76"/>
      <c r="P50" s="77"/>
      <c r="Q50" s="78"/>
    </row>
    <row r="51" spans="1:17" x14ac:dyDescent="0.3">
      <c r="B51" s="54" t="s">
        <v>23</v>
      </c>
      <c r="J51" s="57">
        <f>Cognitive_impairement_cost</f>
        <v>3819</v>
      </c>
      <c r="L51" s="79"/>
      <c r="M51" s="73"/>
      <c r="N51" s="74"/>
      <c r="O51" s="76"/>
      <c r="P51" s="77"/>
      <c r="Q51" s="78"/>
    </row>
    <row r="52" spans="1:17" x14ac:dyDescent="0.3">
      <c r="B52" s="56" t="e">
        <f>1-B22</f>
        <v>#REF!</v>
      </c>
      <c r="H52" s="54" t="s">
        <v>161</v>
      </c>
      <c r="I52" s="54"/>
      <c r="J52" s="54" t="s">
        <v>204</v>
      </c>
      <c r="K52" s="54"/>
      <c r="L52" s="58">
        <v>17</v>
      </c>
      <c r="M52" s="73" t="e">
        <f>B52*D60*F56*H53*J53</f>
        <v>#REF!</v>
      </c>
      <c r="N52" s="74">
        <f>A29+H54+J54</f>
        <v>8599.2603999999992</v>
      </c>
      <c r="O52" s="76">
        <f>u_Healthy</f>
        <v>0</v>
      </c>
      <c r="P52" s="77" t="e">
        <f>M52*N52</f>
        <v>#REF!</v>
      </c>
      <c r="Q52" s="78" t="e">
        <f>M52*O52</f>
        <v>#REF!</v>
      </c>
    </row>
    <row r="53" spans="1:17" x14ac:dyDescent="0.3">
      <c r="H53" s="56" t="e">
        <f>Hypoglycaemia</f>
        <v>#REF!</v>
      </c>
      <c r="J53" s="56" t="e">
        <f>1-J50</f>
        <v>#REF!</v>
      </c>
      <c r="L53" s="53"/>
      <c r="M53" s="73"/>
      <c r="N53" s="74"/>
      <c r="O53" s="76"/>
      <c r="P53" s="77"/>
      <c r="Q53" s="78"/>
    </row>
    <row r="54" spans="1:17" x14ac:dyDescent="0.3">
      <c r="H54" s="57">
        <f>Hypoglycaemia_cost+follow_up__clinic__cost</f>
        <v>6299.2604000000001</v>
      </c>
      <c r="L54" s="53"/>
      <c r="M54" s="73"/>
      <c r="N54" s="74"/>
      <c r="O54" s="76"/>
      <c r="P54" s="77"/>
      <c r="Q54" s="78"/>
    </row>
    <row r="55" spans="1:17" x14ac:dyDescent="0.3">
      <c r="F55" s="54" t="s">
        <v>164</v>
      </c>
      <c r="H55" s="54" t="s">
        <v>204</v>
      </c>
      <c r="I55" s="54"/>
      <c r="J55" s="54"/>
      <c r="K55" s="54"/>
      <c r="L55" s="72">
        <v>18</v>
      </c>
      <c r="M55" s="73" t="e">
        <f>B52*D60*F56*H56</f>
        <v>#REF!</v>
      </c>
      <c r="N55" s="74">
        <f>A29+H57</f>
        <v>5663</v>
      </c>
      <c r="O55" s="76">
        <f>u_Healthy</f>
        <v>0</v>
      </c>
      <c r="P55" s="77" t="e">
        <f>M55*N55</f>
        <v>#REF!</v>
      </c>
      <c r="Q55" s="78" t="e">
        <f>M55*O55</f>
        <v>#REF!</v>
      </c>
    </row>
    <row r="56" spans="1:17" x14ac:dyDescent="0.3">
      <c r="F56" s="56" t="e">
        <f>SGA__reduction</f>
        <v>#REF!</v>
      </c>
      <c r="H56" s="56" t="e">
        <f>1-H53</f>
        <v>#REF!</v>
      </c>
      <c r="M56" s="73"/>
      <c r="N56" s="74"/>
      <c r="O56" s="76"/>
      <c r="P56" s="77"/>
      <c r="Q56" s="78"/>
    </row>
    <row r="57" spans="1:17" x14ac:dyDescent="0.3">
      <c r="H57" s="57">
        <f>follow_up__clinic__cost</f>
        <v>3363</v>
      </c>
      <c r="L57" s="75"/>
      <c r="M57" s="73"/>
      <c r="N57" s="74"/>
      <c r="O57" s="76"/>
      <c r="P57" s="77"/>
      <c r="Q57" s="78"/>
    </row>
    <row r="58" spans="1:17" x14ac:dyDescent="0.3">
      <c r="F58" s="54" t="s">
        <v>201</v>
      </c>
      <c r="G58" s="54"/>
      <c r="H58" s="54"/>
      <c r="I58" s="54"/>
      <c r="J58" s="54"/>
      <c r="K58" s="54"/>
      <c r="L58" s="79">
        <v>19</v>
      </c>
      <c r="M58" s="73" t="e">
        <f>B52*D60*F59</f>
        <v>#REF!</v>
      </c>
      <c r="N58" s="74">
        <f>A29+F60</f>
        <v>5663</v>
      </c>
      <c r="O58" s="76">
        <f>u_Healthy</f>
        <v>0</v>
      </c>
      <c r="P58" s="77" t="e">
        <f>M58*N58</f>
        <v>#REF!</v>
      </c>
      <c r="Q58" s="78" t="e">
        <f>M58*O58</f>
        <v>#REF!</v>
      </c>
    </row>
    <row r="59" spans="1:17" x14ac:dyDescent="0.3">
      <c r="D59" s="54" t="s">
        <v>11</v>
      </c>
      <c r="F59" s="56" t="e">
        <f>1-F56-F62</f>
        <v>#REF!</v>
      </c>
      <c r="L59" s="79"/>
      <c r="M59" s="73"/>
      <c r="N59" s="74"/>
      <c r="O59" s="76"/>
      <c r="P59" s="77"/>
      <c r="Q59" s="78"/>
    </row>
    <row r="60" spans="1:17" x14ac:dyDescent="0.3">
      <c r="D60" s="56" t="e">
        <f>1-D44</f>
        <v>#REF!</v>
      </c>
      <c r="F60" s="57">
        <f>follow_up__clinic__cost</f>
        <v>3363</v>
      </c>
      <c r="L60" s="79"/>
      <c r="M60" s="73"/>
      <c r="N60" s="74"/>
      <c r="O60" s="76"/>
      <c r="P60" s="77"/>
      <c r="Q60" s="78"/>
    </row>
    <row r="61" spans="1:17" x14ac:dyDescent="0.3">
      <c r="F61" s="54" t="s">
        <v>207</v>
      </c>
      <c r="G61" s="54"/>
      <c r="H61" s="54"/>
      <c r="I61" s="54"/>
      <c r="J61" s="54"/>
      <c r="K61" s="54"/>
      <c r="L61" s="79">
        <v>20</v>
      </c>
      <c r="M61" s="73" t="e">
        <f>B52*D60*F62</f>
        <v>#REF!</v>
      </c>
      <c r="N61" s="74">
        <f>A29</f>
        <v>2300</v>
      </c>
      <c r="O61" s="76">
        <f>u_Death</f>
        <v>19.181538114427529</v>
      </c>
      <c r="P61" s="77" t="e">
        <f>M61*N61</f>
        <v>#REF!</v>
      </c>
      <c r="Q61" s="78" t="e">
        <f>M61*O61</f>
        <v>#REF!</v>
      </c>
    </row>
    <row r="62" spans="1:17" x14ac:dyDescent="0.3">
      <c r="F62" s="56" t="e">
        <f>Term_stillbirth</f>
        <v>#REF!</v>
      </c>
      <c r="L62" s="79"/>
      <c r="M62" s="73"/>
      <c r="N62" s="74"/>
      <c r="O62" s="76"/>
      <c r="P62" s="77"/>
      <c r="Q62" s="78"/>
    </row>
    <row r="63" spans="1:17" x14ac:dyDescent="0.3">
      <c r="O63" s="76"/>
      <c r="P63" s="77"/>
      <c r="Q63" s="78"/>
    </row>
    <row r="64" spans="1:17" x14ac:dyDescent="0.3">
      <c r="A64" s="60"/>
      <c r="B64" s="60"/>
      <c r="C64" s="60"/>
      <c r="D64" s="60"/>
      <c r="E64" s="60"/>
      <c r="F64" s="60"/>
      <c r="G64" s="60"/>
      <c r="H64" s="60"/>
      <c r="I64" s="60"/>
      <c r="J64" s="60"/>
      <c r="K64" s="60"/>
      <c r="L64" s="61" t="s">
        <v>206</v>
      </c>
      <c r="M64" s="60" t="e">
        <f>SUM(M4:M61)</f>
        <v>#REF!</v>
      </c>
      <c r="N64" s="60">
        <f>SUM(N3:N61)</f>
        <v>1910314.645878704</v>
      </c>
      <c r="O64" s="60">
        <f>SUM(O4:O61)</f>
        <v>112.33625784723668</v>
      </c>
      <c r="P64" s="62" t="e">
        <f>SUM(P3:P61)</f>
        <v>#REF!</v>
      </c>
      <c r="Q64" s="60" t="e">
        <f>SUM(Q4:Q61)</f>
        <v>#REF!</v>
      </c>
    </row>
    <row r="65" spans="1:24" x14ac:dyDescent="0.3">
      <c r="L65" s="61" t="s">
        <v>5</v>
      </c>
      <c r="M65" s="61"/>
      <c r="N65" s="63"/>
      <c r="O65" s="61"/>
      <c r="P65" s="63"/>
      <c r="Q65" s="61"/>
    </row>
    <row r="66" spans="1:24" x14ac:dyDescent="0.3">
      <c r="L66" s="53"/>
      <c r="N66" s="53"/>
      <c r="P66" s="53"/>
    </row>
    <row r="67" spans="1:24" x14ac:dyDescent="0.3">
      <c r="J67" s="54" t="s">
        <v>221</v>
      </c>
      <c r="K67" s="54"/>
      <c r="L67" s="53">
        <v>1</v>
      </c>
      <c r="M67" s="81" t="e">
        <f>B86*D77*F74*H71*J68</f>
        <v>#REF!</v>
      </c>
      <c r="N67" s="59">
        <f>B87+D78+F75+H72+J69</f>
        <v>273491.78835871373</v>
      </c>
      <c r="O67" s="53">
        <f>u_ChronicResp</f>
        <v>0.53465956747782661</v>
      </c>
      <c r="P67" s="74" t="e">
        <f>M67*N67</f>
        <v>#REF!</v>
      </c>
      <c r="Q67" s="78" t="e">
        <f>M67*O67</f>
        <v>#REF!</v>
      </c>
    </row>
    <row r="68" spans="1:24" x14ac:dyDescent="0.3">
      <c r="J68" s="56" t="e">
        <f>Rate_of_chronic_lung_disease</f>
        <v>#REF!</v>
      </c>
      <c r="L68" s="53"/>
      <c r="M68" s="81"/>
      <c r="N68" s="53"/>
      <c r="P68" s="53"/>
    </row>
    <row r="69" spans="1:24" x14ac:dyDescent="0.3">
      <c r="J69" s="57">
        <f>ChronicResp_cost</f>
        <v>42582.510902399998</v>
      </c>
      <c r="L69" s="53"/>
      <c r="M69" s="81"/>
      <c r="N69" s="53"/>
      <c r="P69" s="53"/>
    </row>
    <row r="70" spans="1:24" s="64" customFormat="1" x14ac:dyDescent="0.3">
      <c r="A70" s="53"/>
      <c r="B70" s="53"/>
      <c r="C70" s="53"/>
      <c r="D70" s="53"/>
      <c r="E70" s="53"/>
      <c r="F70" s="53"/>
      <c r="G70" s="53"/>
      <c r="H70" s="54" t="s">
        <v>9</v>
      </c>
      <c r="I70" s="54"/>
      <c r="J70" s="54" t="s">
        <v>220</v>
      </c>
      <c r="K70" s="54"/>
      <c r="L70" s="55">
        <v>2</v>
      </c>
      <c r="M70" s="81" t="e">
        <f>B86*D77*F74*H71*J71</f>
        <v>#REF!</v>
      </c>
      <c r="N70" s="59">
        <f>B87+D78+F75+H72+J72</f>
        <v>230909.27745631372</v>
      </c>
      <c r="O70" s="76">
        <f>u_Healthy</f>
        <v>0</v>
      </c>
      <c r="P70" s="77" t="e">
        <f>M70*N70</f>
        <v>#REF!</v>
      </c>
      <c r="Q70" s="78" t="e">
        <f>M70*O70</f>
        <v>#REF!</v>
      </c>
    </row>
    <row r="71" spans="1:24" x14ac:dyDescent="0.3">
      <c r="H71" s="56" t="e">
        <f>RDS_rate</f>
        <v>#REF!</v>
      </c>
      <c r="J71" s="56" t="e">
        <f>1-J68</f>
        <v>#REF!</v>
      </c>
      <c r="L71" s="75"/>
      <c r="M71" s="81"/>
      <c r="O71" s="76"/>
      <c r="P71" s="77"/>
      <c r="Q71" s="78"/>
      <c r="R71" s="58"/>
      <c r="S71" s="58"/>
      <c r="T71" s="58"/>
      <c r="U71" s="58"/>
      <c r="V71" s="58"/>
      <c r="W71" s="58"/>
      <c r="X71" s="58"/>
    </row>
    <row r="72" spans="1:24" x14ac:dyDescent="0.3">
      <c r="H72" s="57">
        <f>RDS_cost+follow_up__hosp__cost</f>
        <v>31502.610148205637</v>
      </c>
      <c r="J72" s="57"/>
      <c r="L72" s="79"/>
      <c r="M72" s="81"/>
      <c r="O72" s="76"/>
      <c r="P72" s="77"/>
      <c r="Q72" s="78"/>
    </row>
    <row r="73" spans="1:24" x14ac:dyDescent="0.3">
      <c r="F73" s="54" t="s">
        <v>8</v>
      </c>
      <c r="H73" s="54" t="s">
        <v>203</v>
      </c>
      <c r="I73" s="54"/>
      <c r="J73" s="54"/>
      <c r="K73" s="54"/>
      <c r="L73" s="58">
        <v>3</v>
      </c>
      <c r="M73" s="81" t="e">
        <f>B86*D77*F74*H74</f>
        <v>#REF!</v>
      </c>
      <c r="N73" s="59">
        <f>B87+D78+F75+H75</f>
        <v>200313.6673081081</v>
      </c>
      <c r="O73" s="76">
        <f>u_Healthy</f>
        <v>0</v>
      </c>
      <c r="P73" s="77" t="e">
        <f>M73*N73</f>
        <v>#REF!</v>
      </c>
      <c r="Q73" s="78" t="e">
        <f>M73*O73</f>
        <v>#REF!</v>
      </c>
    </row>
    <row r="74" spans="1:24" x14ac:dyDescent="0.3">
      <c r="F74" s="56" t="e">
        <f>Rate_of_LBW</f>
        <v>#REF!</v>
      </c>
      <c r="H74" s="56" t="e">
        <f>1-H71-H77</f>
        <v>#REF!</v>
      </c>
      <c r="L74" s="79"/>
      <c r="M74" s="81"/>
      <c r="O74" s="76"/>
      <c r="P74" s="77"/>
      <c r="Q74" s="78"/>
    </row>
    <row r="75" spans="1:24" x14ac:dyDescent="0.3">
      <c r="F75" s="57">
        <f>LBW_cost</f>
        <v>198651.76559999998</v>
      </c>
      <c r="H75" s="57">
        <f>follow_up__hosp__cost</f>
        <v>907</v>
      </c>
      <c r="L75" s="79"/>
      <c r="M75" s="81"/>
      <c r="O75" s="76"/>
      <c r="P75" s="77"/>
      <c r="Q75" s="78"/>
    </row>
    <row r="76" spans="1:24" x14ac:dyDescent="0.3">
      <c r="D76" s="54" t="s">
        <v>10</v>
      </c>
      <c r="H76" s="54" t="s">
        <v>165</v>
      </c>
      <c r="I76" s="54"/>
      <c r="J76" s="54"/>
      <c r="K76" s="54"/>
      <c r="L76" s="79">
        <v>4</v>
      </c>
      <c r="M76" s="81" t="e">
        <f>B86*D77*F74*H77</f>
        <v>#REF!</v>
      </c>
      <c r="N76" s="59">
        <f>B87+D78+F75</f>
        <v>199406.6673081081</v>
      </c>
      <c r="O76" s="76">
        <f>u_Death</f>
        <v>19.181538114427529</v>
      </c>
      <c r="P76" s="77" t="e">
        <f>M76*N76</f>
        <v>#REF!</v>
      </c>
      <c r="Q76" s="78" t="e">
        <f>M76*O76</f>
        <v>#REF!</v>
      </c>
    </row>
    <row r="77" spans="1:24" x14ac:dyDescent="0.3">
      <c r="D77" s="56" t="e">
        <f>Preterm_reduction_with_ANC</f>
        <v>#REF!</v>
      </c>
      <c r="H77" s="56" t="e">
        <f>Rate_of_prem_death</f>
        <v>#REF!</v>
      </c>
      <c r="L77" s="79"/>
      <c r="M77" s="81"/>
      <c r="O77" s="76"/>
      <c r="P77" s="77"/>
      <c r="Q77" s="78"/>
    </row>
    <row r="78" spans="1:24" x14ac:dyDescent="0.3">
      <c r="D78" s="57">
        <f>Preterm_cost</f>
        <v>577.9017081081081</v>
      </c>
      <c r="L78" s="79"/>
      <c r="M78" s="81"/>
      <c r="O78" s="76"/>
      <c r="P78" s="77"/>
      <c r="Q78" s="78"/>
    </row>
    <row r="79" spans="1:24" x14ac:dyDescent="0.3">
      <c r="F79" s="54" t="s">
        <v>201</v>
      </c>
      <c r="G79" s="54"/>
      <c r="H79" s="54"/>
      <c r="I79" s="54"/>
      <c r="J79" s="54"/>
      <c r="K79" s="54"/>
      <c r="L79" s="75">
        <v>5</v>
      </c>
      <c r="M79" s="81" t="e">
        <f>B86*D77*F80</f>
        <v>#REF!</v>
      </c>
      <c r="N79" s="59">
        <f>B87+D78+F84</f>
        <v>754.9017081081081</v>
      </c>
      <c r="O79" s="76">
        <f>u_Healthy</f>
        <v>0</v>
      </c>
      <c r="P79" s="77" t="e">
        <f>M79*N79</f>
        <v>#REF!</v>
      </c>
      <c r="Q79" s="78" t="e">
        <f>M79*O79</f>
        <v>#REF!</v>
      </c>
    </row>
    <row r="80" spans="1:24" x14ac:dyDescent="0.3">
      <c r="F80" s="56" t="e">
        <f>1-F74</f>
        <v>#REF!</v>
      </c>
      <c r="L80" s="79"/>
      <c r="M80" s="81"/>
      <c r="O80" s="76"/>
      <c r="P80" s="77"/>
      <c r="Q80" s="78"/>
    </row>
    <row r="81" spans="2:17" x14ac:dyDescent="0.3">
      <c r="F81" s="57">
        <f>follow_up__clinic__cost</f>
        <v>3363</v>
      </c>
      <c r="L81" s="79"/>
      <c r="M81" s="81"/>
      <c r="O81" s="76"/>
      <c r="P81" s="77"/>
      <c r="Q81" s="78"/>
    </row>
    <row r="82" spans="2:17" x14ac:dyDescent="0.3">
      <c r="J82" s="54" t="s">
        <v>226</v>
      </c>
      <c r="K82" s="54"/>
      <c r="L82" s="79">
        <v>6</v>
      </c>
      <c r="M82" s="81" t="e">
        <f>B86*D93*F89*H86*J83</f>
        <v>#REF!</v>
      </c>
      <c r="N82" s="59">
        <f>B87+H87+J84</f>
        <v>10295.260399999999</v>
      </c>
      <c r="O82" s="76">
        <f>u_CongnitiveImpairement</f>
        <v>17.270393127285455</v>
      </c>
      <c r="P82" s="74" t="e">
        <f>M82*N82</f>
        <v>#REF!</v>
      </c>
      <c r="Q82" s="78" t="e">
        <f>M82*O82</f>
        <v>#REF!</v>
      </c>
    </row>
    <row r="83" spans="2:17" x14ac:dyDescent="0.3">
      <c r="J83" s="56" t="e">
        <f>Rate_of_cognitive_impairement</f>
        <v>#REF!</v>
      </c>
      <c r="L83" s="79"/>
      <c r="M83" s="81"/>
      <c r="O83" s="76"/>
      <c r="P83" s="77"/>
      <c r="Q83" s="78"/>
    </row>
    <row r="84" spans="2:17" x14ac:dyDescent="0.3">
      <c r="J84" s="57">
        <f>Cognitive_impairement_cost</f>
        <v>3819</v>
      </c>
      <c r="L84" s="79"/>
      <c r="M84" s="81"/>
      <c r="O84" s="76"/>
      <c r="P84" s="77"/>
      <c r="Q84" s="78"/>
    </row>
    <row r="85" spans="2:17" x14ac:dyDescent="0.3">
      <c r="B85" s="54" t="s">
        <v>202</v>
      </c>
      <c r="H85" s="54" t="s">
        <v>161</v>
      </c>
      <c r="I85" s="54"/>
      <c r="J85" s="54" t="s">
        <v>204</v>
      </c>
      <c r="K85" s="54"/>
      <c r="L85" s="79">
        <v>7</v>
      </c>
      <c r="M85" s="81" t="e">
        <f>B86*D93*F89*H86*J86</f>
        <v>#REF!</v>
      </c>
      <c r="N85" s="59">
        <f>B87+H87+J87</f>
        <v>6476.2604000000001</v>
      </c>
      <c r="O85" s="76">
        <f>u_Healthy</f>
        <v>0</v>
      </c>
      <c r="P85" s="77" t="e">
        <f>M85*N85</f>
        <v>#REF!</v>
      </c>
      <c r="Q85" s="78" t="e">
        <f>M85*O85</f>
        <v>#REF!</v>
      </c>
    </row>
    <row r="86" spans="2:17" x14ac:dyDescent="0.3">
      <c r="B86" s="56">
        <f>ANC_first_visit_coverage_rate</f>
        <v>0.83099999999999996</v>
      </c>
      <c r="H86" s="56" t="e">
        <f>Hypoglycaemia</f>
        <v>#REF!</v>
      </c>
      <c r="J86" s="56" t="e">
        <f>1-J83</f>
        <v>#REF!</v>
      </c>
      <c r="L86" s="79"/>
      <c r="M86" s="81"/>
      <c r="O86" s="76"/>
      <c r="P86" s="77"/>
      <c r="Q86" s="78"/>
    </row>
    <row r="87" spans="2:17" x14ac:dyDescent="0.3">
      <c r="B87" s="57">
        <f>ANC_cost</f>
        <v>177</v>
      </c>
      <c r="H87" s="57">
        <f>Hypoglycaemia_cost+follow_up__clinic__cost</f>
        <v>6299.2604000000001</v>
      </c>
      <c r="L87" s="75"/>
      <c r="M87" s="81"/>
      <c r="O87" s="76"/>
      <c r="P87" s="77"/>
      <c r="Q87" s="78"/>
    </row>
    <row r="88" spans="2:17" x14ac:dyDescent="0.3">
      <c r="F88" s="54" t="s">
        <v>164</v>
      </c>
      <c r="H88" s="54" t="s">
        <v>204</v>
      </c>
      <c r="I88" s="54"/>
      <c r="J88" s="54"/>
      <c r="K88" s="54"/>
      <c r="L88" s="79">
        <v>8</v>
      </c>
      <c r="M88" s="81" t="e">
        <f>B86*D93*F89*H89</f>
        <v>#REF!</v>
      </c>
      <c r="N88" s="59">
        <f>B87+H90</f>
        <v>3540</v>
      </c>
      <c r="O88" s="76">
        <f>u_Healthy</f>
        <v>0</v>
      </c>
      <c r="P88" s="77" t="e">
        <f>M88*N88</f>
        <v>#REF!</v>
      </c>
      <c r="Q88" s="78" t="e">
        <f>M88*O88</f>
        <v>#REF!</v>
      </c>
    </row>
    <row r="89" spans="2:17" x14ac:dyDescent="0.3">
      <c r="F89" s="56" t="e">
        <f>SGA</f>
        <v>#REF!</v>
      </c>
      <c r="H89" s="56" t="e">
        <f>1-H86</f>
        <v>#REF!</v>
      </c>
      <c r="L89" s="79"/>
      <c r="M89" s="81"/>
      <c r="O89" s="76"/>
      <c r="P89" s="77"/>
      <c r="Q89" s="78"/>
    </row>
    <row r="90" spans="2:17" x14ac:dyDescent="0.3">
      <c r="H90" s="57">
        <f>follow_up__clinic__cost</f>
        <v>3363</v>
      </c>
      <c r="L90" s="79"/>
      <c r="M90" s="81"/>
      <c r="O90" s="76"/>
      <c r="P90" s="77"/>
      <c r="Q90" s="78"/>
    </row>
    <row r="91" spans="2:17" x14ac:dyDescent="0.3">
      <c r="F91" s="54" t="s">
        <v>201</v>
      </c>
      <c r="G91" s="54"/>
      <c r="H91" s="54"/>
      <c r="I91" s="54"/>
      <c r="J91" s="54"/>
      <c r="K91" s="54"/>
      <c r="L91" s="79">
        <v>9</v>
      </c>
      <c r="M91" s="81" t="e">
        <f>B86*D93*F92</f>
        <v>#REF!</v>
      </c>
      <c r="N91" s="59">
        <f>B87+F93</f>
        <v>3540</v>
      </c>
      <c r="O91" s="76">
        <f>u_Healthy</f>
        <v>0</v>
      </c>
      <c r="P91" s="77" t="e">
        <f>M91*N91</f>
        <v>#REF!</v>
      </c>
      <c r="Q91" s="78" t="e">
        <f>M91*O91</f>
        <v>#REF!</v>
      </c>
    </row>
    <row r="92" spans="2:17" x14ac:dyDescent="0.3">
      <c r="D92" s="54" t="s">
        <v>11</v>
      </c>
      <c r="F92" s="56" t="e">
        <f>1-F89-F95</f>
        <v>#REF!</v>
      </c>
      <c r="L92" s="79"/>
      <c r="M92" s="81"/>
      <c r="O92" s="76"/>
      <c r="P92" s="77"/>
      <c r="Q92" s="78"/>
    </row>
    <row r="93" spans="2:17" x14ac:dyDescent="0.3">
      <c r="D93" s="56" t="e">
        <f>1-D77</f>
        <v>#REF!</v>
      </c>
      <c r="F93" s="57">
        <f>follow_up__clinic__cost</f>
        <v>3363</v>
      </c>
      <c r="L93" s="79"/>
      <c r="M93" s="81"/>
      <c r="O93" s="76"/>
      <c r="P93" s="77"/>
      <c r="Q93" s="78"/>
    </row>
    <row r="94" spans="2:17" x14ac:dyDescent="0.3">
      <c r="F94" s="54" t="s">
        <v>207</v>
      </c>
      <c r="G94" s="54"/>
      <c r="H94" s="54"/>
      <c r="I94" s="54"/>
      <c r="J94" s="54"/>
      <c r="K94" s="54"/>
      <c r="L94" s="79">
        <v>10</v>
      </c>
      <c r="M94" s="81" t="e">
        <f>B86*D93*F95</f>
        <v>#REF!</v>
      </c>
      <c r="N94" s="59">
        <f>B87</f>
        <v>177</v>
      </c>
      <c r="O94" s="76">
        <f>u_Death</f>
        <v>19.181538114427529</v>
      </c>
      <c r="P94" s="77" t="e">
        <f>M94*N94</f>
        <v>#REF!</v>
      </c>
      <c r="Q94" s="78" t="e">
        <f>M94*O94</f>
        <v>#REF!</v>
      </c>
    </row>
    <row r="95" spans="2:17" x14ac:dyDescent="0.3">
      <c r="F95" s="56" t="e">
        <f>Term_stillbirth</f>
        <v>#REF!</v>
      </c>
      <c r="L95" s="79"/>
      <c r="M95" s="81"/>
      <c r="O95" s="76"/>
      <c r="P95" s="77"/>
      <c r="Q95" s="78"/>
    </row>
    <row r="96" spans="2:17" x14ac:dyDescent="0.3">
      <c r="L96" s="79"/>
      <c r="M96" s="81"/>
      <c r="O96" s="76"/>
      <c r="P96" s="77"/>
      <c r="Q96" s="78"/>
    </row>
    <row r="97" spans="4:17" x14ac:dyDescent="0.3">
      <c r="J97" s="54" t="s">
        <v>221</v>
      </c>
      <c r="K97" s="54"/>
      <c r="L97" s="79">
        <v>11</v>
      </c>
      <c r="M97" s="81" t="e">
        <f>B119*D110*F104*H101*J98</f>
        <v>#REF!</v>
      </c>
      <c r="N97" s="59">
        <f>D111+F105+H102+J99</f>
        <v>273314.78835871373</v>
      </c>
      <c r="O97" s="76">
        <f>u_ChronicResp</f>
        <v>0.53465956747782661</v>
      </c>
      <c r="P97" s="74" t="e">
        <f>M97*N97</f>
        <v>#REF!</v>
      </c>
      <c r="Q97" s="78" t="e">
        <f>M97*O97</f>
        <v>#REF!</v>
      </c>
    </row>
    <row r="98" spans="4:17" x14ac:dyDescent="0.3">
      <c r="J98" s="56" t="e">
        <f>Rate_of_chronic_lung_disease</f>
        <v>#REF!</v>
      </c>
      <c r="L98" s="79"/>
      <c r="M98" s="81"/>
      <c r="O98" s="76"/>
      <c r="P98" s="77"/>
      <c r="Q98" s="78"/>
    </row>
    <row r="99" spans="4:17" x14ac:dyDescent="0.3">
      <c r="J99" s="57">
        <f>ChronicResp_cost</f>
        <v>42582.510902399998</v>
      </c>
      <c r="L99" s="75"/>
      <c r="M99" s="81"/>
      <c r="O99" s="76"/>
      <c r="P99" s="77"/>
      <c r="Q99" s="78"/>
    </row>
    <row r="100" spans="4:17" x14ac:dyDescent="0.3">
      <c r="H100" s="54" t="s">
        <v>9</v>
      </c>
      <c r="I100" s="54"/>
      <c r="J100" s="54" t="s">
        <v>220</v>
      </c>
      <c r="K100" s="54"/>
      <c r="L100" s="79">
        <v>12</v>
      </c>
      <c r="M100" s="81" t="e">
        <f>B119*D110*F104*H101*J101</f>
        <v>#REF!</v>
      </c>
      <c r="N100" s="59">
        <f>D111+F105+H102+J102</f>
        <v>230732.27745631372</v>
      </c>
      <c r="O100" s="76">
        <f>u_Healthy</f>
        <v>0</v>
      </c>
      <c r="P100" s="77" t="e">
        <f>M100*N100</f>
        <v>#REF!</v>
      </c>
      <c r="Q100" s="78" t="e">
        <f>M100*O100</f>
        <v>#REF!</v>
      </c>
    </row>
    <row r="101" spans="4:17" x14ac:dyDescent="0.3">
      <c r="H101" s="56" t="e">
        <f>RDS_rate</f>
        <v>#REF!</v>
      </c>
      <c r="J101" s="56" t="e">
        <f>1-J98</f>
        <v>#REF!</v>
      </c>
      <c r="L101" s="79"/>
      <c r="M101" s="81"/>
      <c r="O101" s="76"/>
      <c r="P101" s="77"/>
      <c r="Q101" s="78"/>
    </row>
    <row r="102" spans="4:17" x14ac:dyDescent="0.3">
      <c r="H102" s="57">
        <f>RDS_cost+follow_up__hosp__cost</f>
        <v>31502.610148205637</v>
      </c>
      <c r="J102" s="57"/>
      <c r="L102" s="79"/>
      <c r="M102" s="81"/>
      <c r="O102" s="76"/>
      <c r="P102" s="77"/>
      <c r="Q102" s="78"/>
    </row>
    <row r="103" spans="4:17" x14ac:dyDescent="0.3">
      <c r="F103" s="54" t="s">
        <v>8</v>
      </c>
      <c r="H103" s="54" t="s">
        <v>203</v>
      </c>
      <c r="I103" s="54"/>
      <c r="J103" s="54"/>
      <c r="K103" s="54"/>
      <c r="L103" s="79">
        <v>13</v>
      </c>
      <c r="M103" s="81" t="e">
        <f>B119*D110*F104*H104</f>
        <v>#REF!</v>
      </c>
      <c r="N103" s="59">
        <f>D111+F105+H105</f>
        <v>200136.6673081081</v>
      </c>
      <c r="O103" s="76">
        <f>u_Healthy</f>
        <v>0</v>
      </c>
      <c r="P103" s="77" t="e">
        <f>M103*N103</f>
        <v>#REF!</v>
      </c>
      <c r="Q103" s="78" t="e">
        <f>M103*O103</f>
        <v>#REF!</v>
      </c>
    </row>
    <row r="104" spans="4:17" x14ac:dyDescent="0.3">
      <c r="F104" s="56" t="e">
        <f>Rate_of_LBW</f>
        <v>#REF!</v>
      </c>
      <c r="H104" s="56" t="e">
        <f>1-H101-H107</f>
        <v>#REF!</v>
      </c>
      <c r="L104" s="79"/>
      <c r="M104" s="81"/>
      <c r="O104" s="76"/>
      <c r="P104" s="77"/>
      <c r="Q104" s="78"/>
    </row>
    <row r="105" spans="4:17" x14ac:dyDescent="0.3">
      <c r="F105" s="57">
        <f>LBW_cost</f>
        <v>198651.76559999998</v>
      </c>
      <c r="H105" s="57">
        <f>follow_up__hosp__cost</f>
        <v>907</v>
      </c>
      <c r="L105" s="75"/>
      <c r="M105" s="81"/>
      <c r="O105" s="76"/>
      <c r="P105" s="77"/>
      <c r="Q105" s="78"/>
    </row>
    <row r="106" spans="4:17" x14ac:dyDescent="0.3">
      <c r="H106" s="54" t="s">
        <v>165</v>
      </c>
      <c r="I106" s="54"/>
      <c r="J106" s="54"/>
      <c r="K106" s="54"/>
      <c r="L106" s="79">
        <v>14</v>
      </c>
      <c r="M106" s="81" t="e">
        <f>B119*D110*F104*H107</f>
        <v>#REF!</v>
      </c>
      <c r="N106" s="59">
        <f>D111+F105</f>
        <v>199229.6673081081</v>
      </c>
      <c r="O106" s="76">
        <f>u_Death</f>
        <v>19.181538114427529</v>
      </c>
      <c r="P106" s="77" t="e">
        <f>M106*N106</f>
        <v>#REF!</v>
      </c>
      <c r="Q106" s="78" t="e">
        <f>M106*O106</f>
        <v>#REF!</v>
      </c>
    </row>
    <row r="107" spans="4:17" x14ac:dyDescent="0.3">
      <c r="H107" s="56" t="e">
        <f>Rate_of_prem_death</f>
        <v>#REF!</v>
      </c>
      <c r="L107" s="79"/>
      <c r="M107" s="81"/>
      <c r="O107" s="76"/>
      <c r="P107" s="77"/>
      <c r="Q107" s="78"/>
    </row>
    <row r="108" spans="4:17" x14ac:dyDescent="0.3">
      <c r="L108" s="79"/>
      <c r="M108" s="81"/>
      <c r="O108" s="76"/>
      <c r="P108" s="77"/>
      <c r="Q108" s="78"/>
    </row>
    <row r="109" spans="4:17" x14ac:dyDescent="0.3">
      <c r="D109" s="54" t="s">
        <v>10</v>
      </c>
      <c r="F109" s="54" t="s">
        <v>201</v>
      </c>
      <c r="G109" s="54"/>
      <c r="H109" s="54"/>
      <c r="I109" s="54"/>
      <c r="J109" s="54"/>
      <c r="K109" s="54"/>
      <c r="L109" s="79">
        <v>15</v>
      </c>
      <c r="M109" s="81" t="e">
        <f>B119*D110*F110</f>
        <v>#REF!</v>
      </c>
      <c r="N109" s="59">
        <f>D111+F111</f>
        <v>3940.9017081081083</v>
      </c>
      <c r="O109" s="76">
        <f>u_Healthy</f>
        <v>0</v>
      </c>
      <c r="P109" s="77" t="e">
        <f>M109*N109</f>
        <v>#REF!</v>
      </c>
      <c r="Q109" s="78" t="e">
        <f>M109*O109</f>
        <v>#REF!</v>
      </c>
    </row>
    <row r="110" spans="4:17" x14ac:dyDescent="0.3">
      <c r="D110" s="56" t="e">
        <f>Preterm_rate</f>
        <v>#REF!</v>
      </c>
      <c r="F110" s="56" t="e">
        <f>1-F104</f>
        <v>#REF!</v>
      </c>
      <c r="L110" s="79"/>
      <c r="M110" s="81"/>
      <c r="O110" s="76"/>
      <c r="P110" s="77"/>
      <c r="Q110" s="78"/>
    </row>
    <row r="111" spans="4:17" x14ac:dyDescent="0.3">
      <c r="D111" s="57">
        <f>Preterm_cost</f>
        <v>577.9017081081081</v>
      </c>
      <c r="F111" s="57">
        <f>follow_up__clinic__cost</f>
        <v>3363</v>
      </c>
      <c r="L111" s="75"/>
      <c r="M111" s="81"/>
      <c r="O111" s="76"/>
      <c r="P111" s="77"/>
      <c r="Q111" s="78"/>
    </row>
    <row r="112" spans="4:17" x14ac:dyDescent="0.3">
      <c r="J112" s="54" t="s">
        <v>226</v>
      </c>
      <c r="K112" s="54"/>
      <c r="L112" s="75">
        <v>16</v>
      </c>
      <c r="M112" s="81" t="e">
        <f>B119*D123*F119*H116*J113</f>
        <v>#REF!</v>
      </c>
      <c r="N112" s="59">
        <f>H117+J114</f>
        <v>10118.260399999999</v>
      </c>
      <c r="O112" s="76">
        <f>u_CongnitiveImpairement</f>
        <v>17.270393127285455</v>
      </c>
      <c r="P112" s="74" t="e">
        <f>M112*N112</f>
        <v>#REF!</v>
      </c>
      <c r="Q112" s="78" t="e">
        <f>M112*O112</f>
        <v>#REF!</v>
      </c>
    </row>
    <row r="113" spans="1:17" x14ac:dyDescent="0.3">
      <c r="J113" s="56" t="e">
        <f>Rate_of_cognitive_impairement</f>
        <v>#REF!</v>
      </c>
      <c r="L113" s="75"/>
      <c r="M113" s="81"/>
      <c r="O113" s="76"/>
      <c r="P113" s="77"/>
      <c r="Q113" s="78"/>
    </row>
    <row r="114" spans="1:17" x14ac:dyDescent="0.3">
      <c r="J114" s="57">
        <f>Cognitive_impairement_cost</f>
        <v>3819</v>
      </c>
      <c r="L114" s="75"/>
      <c r="M114" s="81"/>
      <c r="O114" s="76"/>
      <c r="P114" s="77"/>
      <c r="Q114" s="78"/>
    </row>
    <row r="115" spans="1:17" x14ac:dyDescent="0.3">
      <c r="H115" s="54" t="s">
        <v>161</v>
      </c>
      <c r="I115" s="54"/>
      <c r="J115" s="54" t="s">
        <v>204</v>
      </c>
      <c r="K115" s="54"/>
      <c r="L115" s="79">
        <v>17</v>
      </c>
      <c r="M115" s="81" t="e">
        <f>B119*D123*F119*H116*J116</f>
        <v>#REF!</v>
      </c>
      <c r="N115" s="59">
        <f>H117+J117</f>
        <v>6299.2604000000001</v>
      </c>
      <c r="O115" s="76">
        <f>u_Healthy</f>
        <v>0</v>
      </c>
      <c r="P115" s="77" t="e">
        <f>M115*N115</f>
        <v>#REF!</v>
      </c>
      <c r="Q115" s="78" t="e">
        <f>M115*O115</f>
        <v>#REF!</v>
      </c>
    </row>
    <row r="116" spans="1:17" x14ac:dyDescent="0.3">
      <c r="H116" s="56" t="e">
        <f>Hypoglycaemia</f>
        <v>#REF!</v>
      </c>
      <c r="J116" s="56" t="e">
        <f>1-J113</f>
        <v>#REF!</v>
      </c>
      <c r="L116" s="79"/>
      <c r="M116" s="81"/>
      <c r="O116" s="76"/>
      <c r="P116" s="77"/>
      <c r="Q116" s="78"/>
    </row>
    <row r="117" spans="1:17" x14ac:dyDescent="0.3">
      <c r="H117" s="57">
        <f>Hypoglycaemia_cost+follow_up__clinic__cost</f>
        <v>6299.2604000000001</v>
      </c>
      <c r="L117" s="75"/>
      <c r="M117" s="81"/>
      <c r="O117" s="76"/>
      <c r="P117" s="77"/>
      <c r="Q117" s="78"/>
    </row>
    <row r="118" spans="1:17" x14ac:dyDescent="0.3">
      <c r="B118" s="54" t="s">
        <v>23</v>
      </c>
      <c r="F118" s="54" t="s">
        <v>164</v>
      </c>
      <c r="H118" s="54" t="s">
        <v>204</v>
      </c>
      <c r="I118" s="54"/>
      <c r="J118" s="54"/>
      <c r="K118" s="54"/>
      <c r="L118" s="79">
        <v>18</v>
      </c>
      <c r="M118" s="81" t="e">
        <f>B119*D123*F119*H119</f>
        <v>#REF!</v>
      </c>
      <c r="N118" s="59">
        <f>H120</f>
        <v>3363</v>
      </c>
      <c r="O118" s="76">
        <f>u_Healthy</f>
        <v>0</v>
      </c>
      <c r="P118" s="77" t="e">
        <f>M118*N118</f>
        <v>#REF!</v>
      </c>
      <c r="Q118" s="78" t="e">
        <f>M118*O118</f>
        <v>#REF!</v>
      </c>
    </row>
    <row r="119" spans="1:17" x14ac:dyDescent="0.3">
      <c r="B119" s="56">
        <f>1-B86</f>
        <v>0.16900000000000004</v>
      </c>
      <c r="F119" s="56" t="e">
        <f>SGA</f>
        <v>#REF!</v>
      </c>
      <c r="H119" s="56" t="e">
        <f>1-H116</f>
        <v>#REF!</v>
      </c>
      <c r="L119" s="79"/>
      <c r="M119" s="81"/>
      <c r="O119" s="76"/>
      <c r="P119" s="77"/>
      <c r="Q119" s="78"/>
    </row>
    <row r="120" spans="1:17" x14ac:dyDescent="0.3">
      <c r="H120" s="57">
        <f>follow_up__clinic__cost</f>
        <v>3363</v>
      </c>
      <c r="L120" s="79"/>
      <c r="M120" s="81"/>
      <c r="O120" s="76"/>
      <c r="P120" s="77"/>
      <c r="Q120" s="78"/>
    </row>
    <row r="121" spans="1:17" x14ac:dyDescent="0.3">
      <c r="F121" s="54" t="s">
        <v>201</v>
      </c>
      <c r="G121" s="54"/>
      <c r="H121" s="54"/>
      <c r="I121" s="54"/>
      <c r="J121" s="54"/>
      <c r="K121" s="54"/>
      <c r="L121" s="79">
        <v>19</v>
      </c>
      <c r="M121" s="81" t="e">
        <f>B119*D123*F122</f>
        <v>#REF!</v>
      </c>
      <c r="N121" s="59">
        <f>F123</f>
        <v>3363</v>
      </c>
      <c r="O121" s="76">
        <f>u_Healthy</f>
        <v>0</v>
      </c>
      <c r="P121" s="77" t="e">
        <f>M121*N121</f>
        <v>#REF!</v>
      </c>
      <c r="Q121" s="78" t="e">
        <f>M121*O121</f>
        <v>#REF!</v>
      </c>
    </row>
    <row r="122" spans="1:17" x14ac:dyDescent="0.3">
      <c r="D122" s="54" t="s">
        <v>11</v>
      </c>
      <c r="F122" s="56" t="e">
        <f>1-F119-F125</f>
        <v>#REF!</v>
      </c>
      <c r="L122" s="79"/>
      <c r="M122" s="81"/>
      <c r="O122" s="76"/>
      <c r="P122" s="77"/>
      <c r="Q122" s="78"/>
    </row>
    <row r="123" spans="1:17" x14ac:dyDescent="0.3">
      <c r="D123" s="56" t="e">
        <f>1-D110</f>
        <v>#REF!</v>
      </c>
      <c r="F123" s="57">
        <f>follow_up__clinic__cost</f>
        <v>3363</v>
      </c>
      <c r="L123" s="79"/>
      <c r="M123" s="81"/>
      <c r="O123" s="76"/>
      <c r="P123" s="77"/>
      <c r="Q123" s="78"/>
    </row>
    <row r="124" spans="1:17" x14ac:dyDescent="0.3">
      <c r="F124" s="54" t="s">
        <v>207</v>
      </c>
      <c r="G124" s="54"/>
      <c r="H124" s="54"/>
      <c r="I124" s="54"/>
      <c r="J124" s="54"/>
      <c r="K124" s="54"/>
      <c r="L124" s="80">
        <v>20</v>
      </c>
      <c r="M124" s="82" t="e">
        <f>B119*D123*F125</f>
        <v>#REF!</v>
      </c>
      <c r="N124" s="65">
        <v>0</v>
      </c>
      <c r="O124" s="76">
        <f>u_Death</f>
        <v>19.181538114427529</v>
      </c>
      <c r="P124" s="77" t="e">
        <f>M124*N124</f>
        <v>#REF!</v>
      </c>
      <c r="Q124" s="78" t="e">
        <f>M124*O124</f>
        <v>#REF!</v>
      </c>
    </row>
    <row r="125" spans="1:17" x14ac:dyDescent="0.3">
      <c r="F125" s="56" t="e">
        <f>Term_stillbirth</f>
        <v>#REF!</v>
      </c>
      <c r="L125" s="79"/>
      <c r="O125" s="76"/>
      <c r="P125" s="77"/>
      <c r="Q125" s="78"/>
    </row>
    <row r="126" spans="1:17" x14ac:dyDescent="0.3">
      <c r="L126" s="79"/>
    </row>
    <row r="127" spans="1:17" x14ac:dyDescent="0.3">
      <c r="A127" s="60"/>
      <c r="B127" s="60"/>
      <c r="C127" s="60"/>
      <c r="D127" s="60"/>
      <c r="E127" s="60"/>
      <c r="F127" s="60"/>
      <c r="G127" s="60"/>
      <c r="H127" s="60"/>
      <c r="I127" s="60"/>
      <c r="J127" s="60"/>
      <c r="K127" s="60"/>
      <c r="L127" s="61" t="s">
        <v>206</v>
      </c>
      <c r="M127" s="60" t="e">
        <f>SUM(M67:M126)</f>
        <v>#REF!</v>
      </c>
      <c r="N127" s="60">
        <f t="shared" ref="N127:Q127" si="0">SUM(N67:N126)</f>
        <v>1859402.645878704</v>
      </c>
      <c r="O127" s="60">
        <f t="shared" si="0"/>
        <v>112.33625784723668</v>
      </c>
      <c r="P127" s="60" t="e">
        <f t="shared" si="0"/>
        <v>#REF!</v>
      </c>
      <c r="Q127" s="60" t="e">
        <f t="shared" si="0"/>
        <v>#REF!</v>
      </c>
    </row>
    <row r="128" spans="1:17" x14ac:dyDescent="0.3">
      <c r="A128" s="64"/>
      <c r="B128" s="64"/>
      <c r="C128" s="64"/>
      <c r="D128" s="64"/>
      <c r="E128" s="64"/>
      <c r="L128" s="79"/>
    </row>
    <row r="129" spans="1:17" x14ac:dyDescent="0.3">
      <c r="A129" s="64"/>
      <c r="B129" s="64"/>
      <c r="C129" s="64"/>
      <c r="D129" s="64"/>
      <c r="E129" s="64"/>
      <c r="L129" s="75"/>
    </row>
    <row r="130" spans="1:17" x14ac:dyDescent="0.3">
      <c r="A130" s="64"/>
      <c r="B130" s="64"/>
      <c r="C130" s="64"/>
      <c r="D130" s="64"/>
      <c r="E130" s="64"/>
      <c r="L130" s="79"/>
    </row>
    <row r="131" spans="1:17" x14ac:dyDescent="0.3">
      <c r="A131" s="64"/>
      <c r="B131" s="64"/>
      <c r="C131" s="64"/>
      <c r="D131" s="64"/>
      <c r="E131" s="64"/>
      <c r="L131" s="79"/>
    </row>
    <row r="132" spans="1:17" x14ac:dyDescent="0.3">
      <c r="A132" s="64"/>
      <c r="B132" s="64"/>
      <c r="C132" s="64"/>
      <c r="D132" s="64"/>
      <c r="E132" s="64"/>
    </row>
    <row r="133" spans="1:17" x14ac:dyDescent="0.3">
      <c r="A133" s="64"/>
      <c r="B133" s="64"/>
      <c r="C133" s="64"/>
      <c r="D133" s="64"/>
      <c r="E133" s="64"/>
    </row>
    <row r="134" spans="1:17" x14ac:dyDescent="0.3">
      <c r="A134" s="64"/>
      <c r="B134" s="64"/>
      <c r="C134" s="64"/>
      <c r="D134" s="64"/>
      <c r="E134" s="64"/>
    </row>
    <row r="135" spans="1:17" x14ac:dyDescent="0.3">
      <c r="A135" s="64"/>
      <c r="B135" s="64"/>
      <c r="C135" s="64"/>
      <c r="D135" s="64"/>
      <c r="E135" s="64"/>
    </row>
    <row r="136" spans="1:17" s="64" customFormat="1" x14ac:dyDescent="0.3">
      <c r="F136" s="53"/>
      <c r="G136" s="53"/>
      <c r="H136" s="53"/>
      <c r="I136" s="53"/>
      <c r="J136" s="53"/>
      <c r="K136" s="53"/>
      <c r="L136" s="55"/>
      <c r="M136" s="53"/>
      <c r="N136" s="59"/>
      <c r="O136" s="53"/>
      <c r="P136" s="59"/>
      <c r="Q136" s="53"/>
    </row>
  </sheetData>
  <pageMargins left="0.7" right="0.7" top="0.75" bottom="0.75" header="0.3" footer="0.3"/>
  <pageSetup paperSize="9" orientation="portrait" horizont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7"/>
  <sheetViews>
    <sheetView topLeftCell="A4" zoomScaleNormal="100" workbookViewId="0">
      <selection activeCell="B6" sqref="B6"/>
    </sheetView>
  </sheetViews>
  <sheetFormatPr defaultRowHeight="14.4" x14ac:dyDescent="0.3"/>
  <cols>
    <col min="1" max="1" width="16.5546875" bestFit="1" customWidth="1"/>
    <col min="2" max="2" width="13" bestFit="1" customWidth="1"/>
    <col min="3" max="3" width="15.33203125" bestFit="1" customWidth="1"/>
    <col min="4" max="4" width="17.6640625" customWidth="1"/>
    <col min="5" max="5" width="10.44140625" bestFit="1" customWidth="1"/>
  </cols>
  <sheetData>
    <row r="1" spans="1:9" x14ac:dyDescent="0.3">
      <c r="A1" s="26"/>
      <c r="B1" s="28"/>
      <c r="C1" s="27"/>
      <c r="D1" s="26"/>
      <c r="E1" s="26"/>
      <c r="F1" s="26"/>
    </row>
    <row r="2" spans="1:9" ht="15" thickBot="1" x14ac:dyDescent="0.35">
      <c r="A2" s="26"/>
      <c r="B2" s="28" t="s">
        <v>210</v>
      </c>
      <c r="C2" s="26"/>
      <c r="E2" s="28" t="s">
        <v>65</v>
      </c>
      <c r="F2" s="41"/>
    </row>
    <row r="3" spans="1:9" ht="15" thickBot="1" x14ac:dyDescent="0.35">
      <c r="A3" s="29" t="s">
        <v>4</v>
      </c>
      <c r="B3" s="34">
        <f>'Decision tree'!Z908</f>
        <v>77061.40692316991</v>
      </c>
      <c r="C3" s="50"/>
      <c r="E3" s="51">
        <f>'Decision tree'!AA908</f>
        <v>1.1761411490617018</v>
      </c>
      <c r="F3" s="41"/>
    </row>
    <row r="4" spans="1:9" ht="15" thickBot="1" x14ac:dyDescent="0.35">
      <c r="A4" s="29" t="s">
        <v>5</v>
      </c>
      <c r="B4" s="34">
        <f>'Decision tree'!Z1813</f>
        <v>100999.81617493607</v>
      </c>
      <c r="C4" s="50"/>
      <c r="E4" s="51">
        <f>'Decision tree'!AA1813</f>
        <v>1.309764501791614</v>
      </c>
      <c r="F4" s="41"/>
    </row>
    <row r="5" spans="1:9" ht="15" thickBot="1" x14ac:dyDescent="0.35">
      <c r="A5" s="31"/>
      <c r="B5" s="26"/>
      <c r="C5" s="26"/>
      <c r="D5" s="26"/>
      <c r="E5" s="32"/>
      <c r="F5" s="41"/>
    </row>
    <row r="6" spans="1:9" ht="15" thickBot="1" x14ac:dyDescent="0.35">
      <c r="A6" s="125" t="s">
        <v>61</v>
      </c>
      <c r="B6" s="126">
        <f>B3-B4</f>
        <v>-23938.409251766163</v>
      </c>
      <c r="C6" s="52"/>
      <c r="D6" s="127" t="s">
        <v>718</v>
      </c>
      <c r="E6" s="128">
        <f>E4-E3</f>
        <v>0.13362335272991221</v>
      </c>
      <c r="F6" s="41"/>
    </row>
    <row r="7" spans="1:9" x14ac:dyDescent="0.3">
      <c r="A7" s="26"/>
      <c r="B7" s="26"/>
      <c r="C7" s="26"/>
      <c r="D7" s="26"/>
      <c r="E7" s="26"/>
      <c r="F7" s="26"/>
    </row>
    <row r="8" spans="1:9" ht="15" thickBot="1" x14ac:dyDescent="0.35">
      <c r="A8" s="26"/>
      <c r="B8" s="26"/>
      <c r="C8" s="26"/>
      <c r="D8" s="26"/>
      <c r="E8" s="26"/>
      <c r="F8" s="26"/>
    </row>
    <row r="9" spans="1:9" ht="15" thickBot="1" x14ac:dyDescent="0.35">
      <c r="A9" s="26"/>
      <c r="B9" s="123" t="s">
        <v>272</v>
      </c>
      <c r="C9" s="124">
        <f>(C12*E6)-B6</f>
        <v>29082.908331867784</v>
      </c>
      <c r="D9" s="26"/>
      <c r="E9" s="41"/>
    </row>
    <row r="10" spans="1:9" ht="15" thickBot="1" x14ac:dyDescent="0.35">
      <c r="A10" s="26"/>
      <c r="B10" s="123" t="s">
        <v>62</v>
      </c>
      <c r="C10" s="124">
        <f>B6/E6</f>
        <v>-179148.39556639441</v>
      </c>
      <c r="D10" s="30" t="s">
        <v>217</v>
      </c>
      <c r="E10" s="41"/>
      <c r="H10" s="10"/>
      <c r="I10" s="23"/>
    </row>
    <row r="11" spans="1:9" x14ac:dyDescent="0.3">
      <c r="A11" s="26"/>
      <c r="B11" s="26"/>
      <c r="C11" s="26"/>
      <c r="D11" s="26"/>
      <c r="E11" s="41"/>
      <c r="F11" s="41"/>
      <c r="H11" s="10"/>
      <c r="I11" s="10"/>
    </row>
    <row r="12" spans="1:9" x14ac:dyDescent="0.3">
      <c r="B12" s="90" t="s">
        <v>232</v>
      </c>
      <c r="C12" s="91">
        <v>38500</v>
      </c>
      <c r="D12" s="89" t="s">
        <v>273</v>
      </c>
      <c r="H12" s="10"/>
      <c r="I12" s="10"/>
    </row>
    <row r="13" spans="1:9" x14ac:dyDescent="0.3">
      <c r="H13" s="10"/>
      <c r="I13" s="10"/>
    </row>
    <row r="14" spans="1:9" x14ac:dyDescent="0.3">
      <c r="B14" t="s">
        <v>67</v>
      </c>
      <c r="C14" t="s">
        <v>743</v>
      </c>
      <c r="H14" s="10"/>
      <c r="I14" s="22"/>
    </row>
    <row r="15" spans="1:9" x14ac:dyDescent="0.3">
      <c r="A15" t="s">
        <v>232</v>
      </c>
      <c r="B15">
        <v>38500</v>
      </c>
      <c r="C15">
        <v>1</v>
      </c>
    </row>
    <row r="16" spans="1:9" x14ac:dyDescent="0.3">
      <c r="A16" t="s">
        <v>62</v>
      </c>
      <c r="B16" s="147">
        <f>C10</f>
        <v>-179148.39556639441</v>
      </c>
      <c r="C16">
        <v>1</v>
      </c>
      <c r="I16" s="41"/>
    </row>
    <row r="17" spans="1:9" x14ac:dyDescent="0.3">
      <c r="A17" t="s">
        <v>744</v>
      </c>
      <c r="B17" s="85">
        <f>B6</f>
        <v>-23938.409251766163</v>
      </c>
      <c r="C17" s="121">
        <f>E6</f>
        <v>0.13362335272991221</v>
      </c>
      <c r="I17" s="4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32:A190"/>
  <sheetViews>
    <sheetView zoomScale="50" zoomScaleNormal="50" workbookViewId="0">
      <selection activeCell="V59" sqref="V59"/>
    </sheetView>
  </sheetViews>
  <sheetFormatPr defaultColWidth="8.88671875" defaultRowHeight="14.4" x14ac:dyDescent="0.3"/>
  <cols>
    <col min="1" max="16384" width="8.88671875" style="25"/>
  </cols>
  <sheetData>
    <row r="132" ht="17.399999999999999" customHeight="1" x14ac:dyDescent="0.3"/>
    <row r="186" ht="12.6" customHeight="1" x14ac:dyDescent="0.3"/>
    <row r="187" ht="12.6" customHeight="1" x14ac:dyDescent="0.3"/>
    <row r="188" ht="12.6" customHeight="1" x14ac:dyDescent="0.3"/>
    <row r="189" ht="12.6" customHeight="1" x14ac:dyDescent="0.3"/>
    <row r="190" ht="12.6" customHeight="1"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48" zoomScale="50" zoomScaleNormal="50" workbookViewId="0">
      <selection activeCell="AC186" sqref="AC186"/>
    </sheetView>
  </sheetViews>
  <sheetFormatPr defaultColWidth="8.88671875" defaultRowHeight="14.4" x14ac:dyDescent="0.3"/>
  <cols>
    <col min="1" max="16384" width="8.88671875" style="2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zoomScaleNormal="100" workbookViewId="0">
      <selection activeCell="I12" sqref="I12"/>
    </sheetView>
  </sheetViews>
  <sheetFormatPr defaultRowHeight="14.4" x14ac:dyDescent="0.3"/>
  <cols>
    <col min="1" max="1" width="27.21875" bestFit="1" customWidth="1"/>
    <col min="2" max="2" width="15.5546875" customWidth="1"/>
  </cols>
  <sheetData>
    <row r="1" spans="1:4" x14ac:dyDescent="0.3">
      <c r="A1" s="84" t="s">
        <v>270</v>
      </c>
    </row>
    <row r="2" spans="1:4" x14ac:dyDescent="0.3">
      <c r="A2" s="21" t="s">
        <v>44</v>
      </c>
      <c r="B2" s="21"/>
      <c r="C2" s="21"/>
      <c r="D2" s="21" t="s">
        <v>32</v>
      </c>
    </row>
    <row r="3" spans="1:4" x14ac:dyDescent="0.3">
      <c r="A3" s="10"/>
      <c r="B3" s="10"/>
      <c r="C3" s="10"/>
      <c r="D3" s="41"/>
    </row>
    <row r="4" spans="1:4" x14ac:dyDescent="0.3">
      <c r="A4" s="10" t="s">
        <v>46</v>
      </c>
      <c r="B4" s="99">
        <v>59622350</v>
      </c>
      <c r="C4" s="99"/>
      <c r="D4" s="10" t="s">
        <v>344</v>
      </c>
    </row>
    <row r="5" spans="1:4" x14ac:dyDescent="0.3">
      <c r="A5" s="10" t="s">
        <v>47</v>
      </c>
      <c r="B5" s="99">
        <v>30493475</v>
      </c>
      <c r="C5" s="99"/>
      <c r="D5" s="10" t="s">
        <v>45</v>
      </c>
    </row>
    <row r="6" spans="1:4" x14ac:dyDescent="0.3">
      <c r="A6" s="10" t="s">
        <v>324</v>
      </c>
      <c r="B6" s="99">
        <v>899303</v>
      </c>
      <c r="C6" s="10"/>
      <c r="D6" s="10" t="s">
        <v>340</v>
      </c>
    </row>
    <row r="7" spans="1:4" x14ac:dyDescent="0.3">
      <c r="A7" s="10" t="s">
        <v>342</v>
      </c>
      <c r="B7" s="99">
        <v>33899</v>
      </c>
      <c r="C7" s="10"/>
      <c r="D7" s="10" t="s">
        <v>341</v>
      </c>
    </row>
    <row r="8" spans="1:4" x14ac:dyDescent="0.3">
      <c r="A8" s="10" t="s">
        <v>343</v>
      </c>
      <c r="B8" s="99">
        <f>B6-B7</f>
        <v>865404</v>
      </c>
      <c r="C8" s="10"/>
      <c r="D8" s="10" t="s">
        <v>274</v>
      </c>
    </row>
    <row r="9" spans="1:4" x14ac:dyDescent="0.3">
      <c r="A9" s="10" t="s">
        <v>345</v>
      </c>
      <c r="B9" s="100">
        <v>62.5</v>
      </c>
      <c r="C9" s="10"/>
      <c r="D9" s="10" t="s">
        <v>344</v>
      </c>
    </row>
    <row r="10" spans="1:4" x14ac:dyDescent="0.3">
      <c r="A10" s="10" t="s">
        <v>346</v>
      </c>
      <c r="B10" s="100">
        <v>68.5</v>
      </c>
      <c r="C10" s="10"/>
      <c r="D10" s="10" t="s">
        <v>344</v>
      </c>
    </row>
    <row r="11" spans="1:4" x14ac:dyDescent="0.3">
      <c r="A11" s="10" t="s">
        <v>347</v>
      </c>
      <c r="B11" s="100">
        <f>(B9+B10)/2</f>
        <v>65.5</v>
      </c>
      <c r="C11" s="10"/>
      <c r="D11" s="10" t="s">
        <v>274</v>
      </c>
    </row>
    <row r="12" spans="1:4" x14ac:dyDescent="0.3">
      <c r="A12" s="10" t="s">
        <v>53</v>
      </c>
      <c r="B12" s="100">
        <v>12992678</v>
      </c>
      <c r="C12" s="100"/>
      <c r="D12" s="100" t="s">
        <v>54</v>
      </c>
    </row>
    <row r="13" spans="1:4" x14ac:dyDescent="0.3">
      <c r="A13" s="10" t="s">
        <v>349</v>
      </c>
      <c r="B13" s="144">
        <v>1111572</v>
      </c>
      <c r="C13" s="44"/>
      <c r="D13" s="10" t="s">
        <v>48</v>
      </c>
    </row>
    <row r="14" spans="1:4" x14ac:dyDescent="0.3">
      <c r="A14" s="10" t="s">
        <v>326</v>
      </c>
      <c r="B14" s="143">
        <v>22600399.895306885</v>
      </c>
      <c r="C14" s="44"/>
      <c r="D14" s="10" t="s">
        <v>48</v>
      </c>
    </row>
    <row r="15" spans="1:4" x14ac:dyDescent="0.3">
      <c r="A15" s="10" t="s">
        <v>325</v>
      </c>
      <c r="B15" s="23">
        <v>0.83099999999999996</v>
      </c>
      <c r="C15" s="44" t="s">
        <v>351</v>
      </c>
      <c r="D15" s="10" t="s">
        <v>352</v>
      </c>
    </row>
    <row r="16" spans="1:4" x14ac:dyDescent="0.3">
      <c r="A16" s="10" t="s">
        <v>49</v>
      </c>
      <c r="B16" s="144">
        <f>(B13/B15)*1</f>
        <v>1337631.7689530686</v>
      </c>
      <c r="C16" s="10"/>
      <c r="D16" s="10" t="s">
        <v>274</v>
      </c>
    </row>
  </sheetData>
  <hyperlinks>
    <hyperlink ref="D1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7"/>
  <sheetViews>
    <sheetView zoomScaleNormal="100" workbookViewId="0">
      <pane ySplit="1" topLeftCell="A20" activePane="bottomLeft" state="frozen"/>
      <selection pane="bottomLeft" activeCell="C30" sqref="C30"/>
    </sheetView>
  </sheetViews>
  <sheetFormatPr defaultRowHeight="14.4" x14ac:dyDescent="0.3"/>
  <cols>
    <col min="1" max="1" width="48.21875" customWidth="1"/>
    <col min="2" max="2" width="14.33203125" style="85" bestFit="1" customWidth="1"/>
    <col min="3" max="3" width="14.33203125" bestFit="1" customWidth="1"/>
    <col min="4" max="4" width="17" bestFit="1" customWidth="1"/>
    <col min="5" max="5" width="78.33203125" bestFit="1" customWidth="1"/>
  </cols>
  <sheetData>
    <row r="1" spans="1:5" ht="43.2" x14ac:dyDescent="0.3">
      <c r="A1" s="83" t="s">
        <v>330</v>
      </c>
      <c r="B1" s="92" t="s">
        <v>216</v>
      </c>
      <c r="C1" s="36" t="s">
        <v>70</v>
      </c>
      <c r="D1" s="40" t="s">
        <v>69</v>
      </c>
      <c r="E1" s="36" t="s">
        <v>167</v>
      </c>
    </row>
    <row r="2" spans="1:5" x14ac:dyDescent="0.3">
      <c r="A2" s="35" t="s">
        <v>336</v>
      </c>
      <c r="B2" s="93"/>
      <c r="C2" s="35"/>
      <c r="D2" s="33"/>
      <c r="E2" s="96" t="s">
        <v>737</v>
      </c>
    </row>
    <row r="3" spans="1:5" x14ac:dyDescent="0.3">
      <c r="D3" s="33"/>
    </row>
    <row r="4" spans="1:5" x14ac:dyDescent="0.3">
      <c r="A4" s="37" t="s">
        <v>192</v>
      </c>
      <c r="B4" s="85">
        <v>460</v>
      </c>
      <c r="C4">
        <v>5</v>
      </c>
      <c r="D4" s="42">
        <f>B4*C4</f>
        <v>2300</v>
      </c>
      <c r="E4" s="41" t="s">
        <v>328</v>
      </c>
    </row>
    <row r="5" spans="1:5" s="41" customFormat="1" x14ac:dyDescent="0.3">
      <c r="A5" s="37" t="s">
        <v>741</v>
      </c>
      <c r="B5" s="85">
        <v>460</v>
      </c>
      <c r="C5" s="41">
        <v>24</v>
      </c>
      <c r="D5" s="42">
        <f>B5*C5</f>
        <v>11040</v>
      </c>
    </row>
    <row r="6" spans="1:5" s="41" customFormat="1" x14ac:dyDescent="0.3">
      <c r="A6" s="37"/>
      <c r="B6" s="85"/>
      <c r="D6" s="42"/>
    </row>
    <row r="7" spans="1:5" s="41" customFormat="1" x14ac:dyDescent="0.3">
      <c r="A7" s="35" t="s">
        <v>208</v>
      </c>
      <c r="B7" s="93"/>
      <c r="C7" s="35"/>
      <c r="D7" s="42"/>
    </row>
    <row r="8" spans="1:5" s="41" customFormat="1" x14ac:dyDescent="0.3">
      <c r="B8" s="85"/>
      <c r="D8" s="42"/>
    </row>
    <row r="9" spans="1:5" s="41" customFormat="1" x14ac:dyDescent="0.3">
      <c r="A9" s="41" t="s">
        <v>209</v>
      </c>
      <c r="B9" s="85">
        <f>108+69</f>
        <v>177</v>
      </c>
      <c r="C9" s="41">
        <v>1</v>
      </c>
      <c r="D9" s="42">
        <f>B9*C9</f>
        <v>177</v>
      </c>
      <c r="E9" s="41" t="s">
        <v>233</v>
      </c>
    </row>
    <row r="10" spans="1:5" x14ac:dyDescent="0.3">
      <c r="D10" s="33"/>
    </row>
    <row r="11" spans="1:5" s="41" customFormat="1" x14ac:dyDescent="0.3">
      <c r="A11" s="35" t="s">
        <v>3</v>
      </c>
      <c r="B11" s="93"/>
      <c r="C11" s="35"/>
      <c r="D11" s="33"/>
    </row>
    <row r="12" spans="1:5" s="41" customFormat="1" x14ac:dyDescent="0.3">
      <c r="B12" s="85"/>
      <c r="D12" s="33"/>
    </row>
    <row r="13" spans="1:5" s="41" customFormat="1" x14ac:dyDescent="0.3">
      <c r="A13" s="41" t="s">
        <v>331</v>
      </c>
      <c r="B13" s="85">
        <f>(7*224)+224</f>
        <v>1792</v>
      </c>
      <c r="C13" s="41">
        <v>1</v>
      </c>
      <c r="D13" s="42">
        <f>B13*C13</f>
        <v>1792</v>
      </c>
      <c r="E13" s="41" t="s">
        <v>692</v>
      </c>
    </row>
    <row r="14" spans="1:5" s="41" customFormat="1" x14ac:dyDescent="0.3">
      <c r="B14" s="85"/>
      <c r="D14" s="33"/>
    </row>
    <row r="15" spans="1:5" x14ac:dyDescent="0.3">
      <c r="A15" s="35" t="s">
        <v>10</v>
      </c>
      <c r="B15" s="93"/>
      <c r="C15" s="35"/>
      <c r="D15" s="33"/>
    </row>
    <row r="16" spans="1:5" x14ac:dyDescent="0.3">
      <c r="D16" s="33"/>
    </row>
    <row r="17" spans="1:5" s="41" customFormat="1" x14ac:dyDescent="0.3">
      <c r="A17" s="41" t="s">
        <v>234</v>
      </c>
      <c r="B17" s="94">
        <f>262+182</f>
        <v>444</v>
      </c>
      <c r="C17" s="41">
        <v>1</v>
      </c>
      <c r="D17" s="42">
        <f>B17*C17</f>
        <v>444</v>
      </c>
      <c r="E17" s="41" t="s">
        <v>235</v>
      </c>
    </row>
    <row r="18" spans="1:5" s="41" customFormat="1" x14ac:dyDescent="0.3">
      <c r="A18" s="41" t="s">
        <v>736</v>
      </c>
      <c r="B18" s="94">
        <f>48</f>
        <v>48</v>
      </c>
      <c r="C18" s="41">
        <v>2</v>
      </c>
      <c r="D18" s="42">
        <f>B18*C18</f>
        <v>96</v>
      </c>
    </row>
    <row r="19" spans="1:5" x14ac:dyDescent="0.3">
      <c r="A19" t="s">
        <v>193</v>
      </c>
      <c r="B19" s="94">
        <f>((40.18/500)*20)/(1+$B$87)^(2021-2020)</f>
        <v>1.5513513513513513</v>
      </c>
      <c r="C19">
        <v>6</v>
      </c>
      <c r="D19" s="42">
        <f>B19*C19</f>
        <v>9.3081081081081081</v>
      </c>
      <c r="E19" t="s">
        <v>237</v>
      </c>
    </row>
    <row r="20" spans="1:5" x14ac:dyDescent="0.3">
      <c r="A20" t="s">
        <v>194</v>
      </c>
      <c r="B20" s="94">
        <f>4.6*(1+$B$87)^(2021-2020)</f>
        <v>4.7656000000000001</v>
      </c>
      <c r="C20">
        <v>6</v>
      </c>
      <c r="D20" s="42">
        <f t="shared" ref="D20:D77" si="0">B20*C20</f>
        <v>28.593600000000002</v>
      </c>
      <c r="E20" t="s">
        <v>236</v>
      </c>
    </row>
    <row r="21" spans="1:5" x14ac:dyDescent="0.3">
      <c r="D21" s="33"/>
    </row>
    <row r="22" spans="1:5" x14ac:dyDescent="0.3">
      <c r="A22" s="35" t="s">
        <v>720</v>
      </c>
      <c r="B22" s="93"/>
      <c r="C22" s="35"/>
      <c r="D22" s="33"/>
      <c r="E22" s="41"/>
    </row>
    <row r="23" spans="1:5" x14ac:dyDescent="0.3">
      <c r="A23" s="41"/>
      <c r="C23" s="41"/>
      <c r="D23" s="33"/>
      <c r="E23" s="41"/>
    </row>
    <row r="24" spans="1:5" x14ac:dyDescent="0.3">
      <c r="A24" s="41" t="s">
        <v>721</v>
      </c>
      <c r="B24" s="94">
        <f>(9490+807)*2</f>
        <v>20594</v>
      </c>
      <c r="C24" s="41">
        <f>54/2</f>
        <v>27</v>
      </c>
      <c r="D24" s="42">
        <f t="shared" ref="D24:D29" si="1">B24*C24</f>
        <v>556038</v>
      </c>
      <c r="E24" s="41" t="s">
        <v>238</v>
      </c>
    </row>
    <row r="25" spans="1:5" s="41" customFormat="1" x14ac:dyDescent="0.3">
      <c r="A25" s="41" t="s">
        <v>722</v>
      </c>
      <c r="B25" s="94">
        <f>(9490+807)*2</f>
        <v>20594</v>
      </c>
      <c r="C25" s="41">
        <f>21/2</f>
        <v>10.5</v>
      </c>
      <c r="D25" s="42">
        <f t="shared" si="1"/>
        <v>216237</v>
      </c>
      <c r="E25" s="41" t="s">
        <v>238</v>
      </c>
    </row>
    <row r="26" spans="1:5" s="41" customFormat="1" x14ac:dyDescent="0.3">
      <c r="A26" s="41" t="s">
        <v>723</v>
      </c>
      <c r="B26" s="94">
        <f>(9490+807)*2</f>
        <v>20594</v>
      </c>
      <c r="C26" s="41">
        <f>8/2</f>
        <v>4</v>
      </c>
      <c r="D26" s="42">
        <f t="shared" si="1"/>
        <v>82376</v>
      </c>
      <c r="E26" s="41" t="s">
        <v>238</v>
      </c>
    </row>
    <row r="27" spans="1:5" x14ac:dyDescent="0.3">
      <c r="A27" s="41" t="s">
        <v>724</v>
      </c>
      <c r="B27" s="94">
        <f>(2434+181)*2</f>
        <v>5230</v>
      </c>
      <c r="C27" s="41">
        <f>54/2</f>
        <v>27</v>
      </c>
      <c r="D27" s="42">
        <f t="shared" si="1"/>
        <v>141210</v>
      </c>
      <c r="E27" s="41" t="s">
        <v>239</v>
      </c>
    </row>
    <row r="28" spans="1:5" s="41" customFormat="1" x14ac:dyDescent="0.3">
      <c r="A28" s="41" t="s">
        <v>725</v>
      </c>
      <c r="B28" s="94">
        <f>(2434+181)*2</f>
        <v>5230</v>
      </c>
      <c r="C28" s="41">
        <f>21/2</f>
        <v>10.5</v>
      </c>
      <c r="D28" s="42">
        <f t="shared" si="1"/>
        <v>54915</v>
      </c>
      <c r="E28" s="41" t="s">
        <v>239</v>
      </c>
    </row>
    <row r="29" spans="1:5" s="41" customFormat="1" x14ac:dyDescent="0.3">
      <c r="A29" s="41" t="s">
        <v>726</v>
      </c>
      <c r="B29" s="94">
        <f>(2434+181)*2</f>
        <v>5230</v>
      </c>
      <c r="C29" s="41">
        <f>8/2</f>
        <v>4</v>
      </c>
      <c r="D29" s="42">
        <f t="shared" si="1"/>
        <v>20920</v>
      </c>
      <c r="E29" s="41" t="s">
        <v>239</v>
      </c>
    </row>
    <row r="30" spans="1:5" s="41" customFormat="1" x14ac:dyDescent="0.3">
      <c r="A30" s="41" t="s">
        <v>727</v>
      </c>
      <c r="B30" s="145" t="s">
        <v>728</v>
      </c>
      <c r="C30" s="45">
        <v>0.85</v>
      </c>
      <c r="D30" s="42"/>
    </row>
    <row r="31" spans="1:5" s="41" customFormat="1" x14ac:dyDescent="0.3">
      <c r="A31" s="41" t="s">
        <v>729</v>
      </c>
      <c r="B31" s="145" t="s">
        <v>728</v>
      </c>
      <c r="C31" s="45">
        <f>30%*0.75+70%*0.3</f>
        <v>0.43499999999999994</v>
      </c>
      <c r="D31" s="42"/>
    </row>
    <row r="32" spans="1:5" s="41" customFormat="1" x14ac:dyDescent="0.3">
      <c r="A32" s="41" t="s">
        <v>730</v>
      </c>
      <c r="B32" s="145" t="s">
        <v>728</v>
      </c>
      <c r="C32" s="45">
        <v>0.03</v>
      </c>
      <c r="D32" s="42"/>
    </row>
    <row r="33" spans="1:5" s="41" customFormat="1" x14ac:dyDescent="0.3">
      <c r="A33" s="41" t="s">
        <v>731</v>
      </c>
      <c r="B33" s="145" t="s">
        <v>728</v>
      </c>
      <c r="C33" s="45">
        <v>0.17</v>
      </c>
      <c r="D33" s="42"/>
    </row>
    <row r="34" spans="1:5" s="41" customFormat="1" x14ac:dyDescent="0.3">
      <c r="A34" s="41" t="s">
        <v>732</v>
      </c>
      <c r="B34" s="145" t="s">
        <v>728</v>
      </c>
      <c r="C34" s="45">
        <f>1-C33</f>
        <v>0.83</v>
      </c>
      <c r="D34" s="42"/>
    </row>
    <row r="35" spans="1:5" x14ac:dyDescent="0.3">
      <c r="D35" s="42"/>
    </row>
    <row r="36" spans="1:5" x14ac:dyDescent="0.3">
      <c r="A36" s="35" t="s">
        <v>9</v>
      </c>
      <c r="B36" s="93"/>
      <c r="C36" s="35"/>
      <c r="D36" s="33"/>
    </row>
    <row r="37" spans="1:5" x14ac:dyDescent="0.3">
      <c r="D37" s="33"/>
    </row>
    <row r="38" spans="1:5" s="41" customFormat="1" x14ac:dyDescent="0.3">
      <c r="A38" s="41" t="s">
        <v>738</v>
      </c>
      <c r="B38" s="85">
        <f>48</f>
        <v>48</v>
      </c>
      <c r="C38" s="41">
        <v>1</v>
      </c>
      <c r="D38" s="42">
        <f t="shared" si="0"/>
        <v>48</v>
      </c>
    </row>
    <row r="39" spans="1:5" x14ac:dyDescent="0.3">
      <c r="A39" t="s">
        <v>169</v>
      </c>
      <c r="B39" s="94">
        <f>1388*(1+$B$87)^(2021-2011)</f>
        <v>1976.9105551673285</v>
      </c>
      <c r="C39">
        <v>2</v>
      </c>
      <c r="D39" s="42">
        <f t="shared" si="0"/>
        <v>3953.8211103346571</v>
      </c>
      <c r="E39" t="s">
        <v>740</v>
      </c>
    </row>
    <row r="40" spans="1:5" x14ac:dyDescent="0.3">
      <c r="A40" t="s">
        <v>168</v>
      </c>
      <c r="B40" s="94">
        <f>((300*B81)*(1+$B$87)^(2021-2003))</f>
        <v>8379.7890378709799</v>
      </c>
      <c r="C40">
        <v>1</v>
      </c>
      <c r="D40" s="42">
        <f t="shared" si="0"/>
        <v>8379.7890378709799</v>
      </c>
      <c r="E40" s="41" t="s">
        <v>739</v>
      </c>
    </row>
    <row r="41" spans="1:5" x14ac:dyDescent="0.3">
      <c r="A41" s="37" t="s">
        <v>170</v>
      </c>
      <c r="B41" s="94">
        <f>729+572</f>
        <v>1301</v>
      </c>
      <c r="C41">
        <v>14</v>
      </c>
      <c r="D41" s="42">
        <f t="shared" si="0"/>
        <v>18214</v>
      </c>
      <c r="E41" s="41" t="s">
        <v>250</v>
      </c>
    </row>
    <row r="42" spans="1:5" x14ac:dyDescent="0.3">
      <c r="D42" s="33"/>
    </row>
    <row r="43" spans="1:5" x14ac:dyDescent="0.3">
      <c r="A43" s="35" t="s">
        <v>161</v>
      </c>
      <c r="B43" s="93"/>
      <c r="C43" s="35"/>
      <c r="D43" s="33"/>
    </row>
    <row r="44" spans="1:5" x14ac:dyDescent="0.3">
      <c r="D44" s="33"/>
    </row>
    <row r="45" spans="1:5" s="41" customFormat="1" x14ac:dyDescent="0.3">
      <c r="A45" s="41" t="s">
        <v>240</v>
      </c>
      <c r="B45" s="94">
        <f>425*2</f>
        <v>850</v>
      </c>
      <c r="C45" s="41">
        <v>2</v>
      </c>
      <c r="D45" s="42">
        <f t="shared" si="0"/>
        <v>1700</v>
      </c>
      <c r="E45" s="41" t="s">
        <v>241</v>
      </c>
    </row>
    <row r="46" spans="1:5" x14ac:dyDescent="0.3">
      <c r="A46" t="s">
        <v>195</v>
      </c>
      <c r="B46" s="94">
        <f>43</f>
        <v>43</v>
      </c>
      <c r="C46">
        <v>8</v>
      </c>
      <c r="D46" s="42">
        <f t="shared" si="0"/>
        <v>344</v>
      </c>
      <c r="E46" t="s">
        <v>243</v>
      </c>
    </row>
    <row r="47" spans="1:5" x14ac:dyDescent="0.3">
      <c r="A47" s="39" t="s">
        <v>197</v>
      </c>
      <c r="B47" s="94">
        <f>(14.89*(1+$B$87)^(2021-2020))+48</f>
        <v>63.42604</v>
      </c>
      <c r="C47">
        <v>10</v>
      </c>
      <c r="D47" s="42">
        <f t="shared" si="0"/>
        <v>634.2604</v>
      </c>
      <c r="E47" t="s">
        <v>244</v>
      </c>
    </row>
    <row r="48" spans="1:5" x14ac:dyDescent="0.3">
      <c r="A48" s="39" t="s">
        <v>196</v>
      </c>
      <c r="B48" s="94">
        <v>43</v>
      </c>
      <c r="C48">
        <v>6</v>
      </c>
      <c r="D48" s="42">
        <f t="shared" si="0"/>
        <v>258</v>
      </c>
      <c r="E48" t="s">
        <v>242</v>
      </c>
    </row>
    <row r="49" spans="1:5" x14ac:dyDescent="0.3">
      <c r="D49" s="33"/>
    </row>
    <row r="50" spans="1:5" x14ac:dyDescent="0.3">
      <c r="A50" s="35" t="s">
        <v>160</v>
      </c>
      <c r="B50" s="93"/>
      <c r="C50" s="35"/>
      <c r="D50" s="33"/>
    </row>
    <row r="51" spans="1:5" x14ac:dyDescent="0.3">
      <c r="D51" s="33"/>
    </row>
    <row r="52" spans="1:5" x14ac:dyDescent="0.3">
      <c r="A52" t="s">
        <v>120</v>
      </c>
      <c r="B52" s="94">
        <f>447+273</f>
        <v>720</v>
      </c>
      <c r="C52">
        <v>3</v>
      </c>
      <c r="D52" s="42">
        <f t="shared" si="0"/>
        <v>2160</v>
      </c>
      <c r="E52" t="s">
        <v>245</v>
      </c>
    </row>
    <row r="53" spans="1:5" x14ac:dyDescent="0.3">
      <c r="A53" t="s">
        <v>162</v>
      </c>
      <c r="B53" s="94">
        <f>130+277</f>
        <v>407</v>
      </c>
      <c r="C53">
        <v>1</v>
      </c>
      <c r="D53" s="42">
        <f t="shared" si="0"/>
        <v>407</v>
      </c>
      <c r="E53" t="s">
        <v>246</v>
      </c>
    </row>
    <row r="54" spans="1:5" s="41" customFormat="1" x14ac:dyDescent="0.3">
      <c r="B54" s="85"/>
      <c r="D54" s="42"/>
    </row>
    <row r="55" spans="1:5" s="41" customFormat="1" x14ac:dyDescent="0.3">
      <c r="A55" s="35" t="s">
        <v>221</v>
      </c>
      <c r="B55" s="93"/>
      <c r="C55" s="35"/>
      <c r="D55" s="42"/>
    </row>
    <row r="56" spans="1:5" s="41" customFormat="1" x14ac:dyDescent="0.3">
      <c r="B56" s="85"/>
      <c r="D56" s="42"/>
    </row>
    <row r="57" spans="1:5" s="41" customFormat="1" x14ac:dyDescent="0.3">
      <c r="A57" s="41" t="s">
        <v>254</v>
      </c>
      <c r="B57" s="94">
        <f>1055+(91*2)</f>
        <v>1237</v>
      </c>
      <c r="C57" s="41">
        <v>2</v>
      </c>
      <c r="D57" s="42">
        <f t="shared" si="0"/>
        <v>2474</v>
      </c>
      <c r="E57" s="41" t="s">
        <v>255</v>
      </c>
    </row>
    <row r="58" spans="1:5" s="41" customFormat="1" x14ac:dyDescent="0.3">
      <c r="A58" s="41" t="s">
        <v>227</v>
      </c>
      <c r="B58" s="94">
        <f>729+572</f>
        <v>1301</v>
      </c>
      <c r="C58" s="41">
        <v>28</v>
      </c>
      <c r="D58" s="42">
        <f t="shared" si="0"/>
        <v>36428</v>
      </c>
      <c r="E58" s="41" t="s">
        <v>250</v>
      </c>
    </row>
    <row r="59" spans="1:5" s="41" customFormat="1" x14ac:dyDescent="0.3">
      <c r="A59" s="41" t="s">
        <v>229</v>
      </c>
      <c r="B59" s="94">
        <f>48+(242.89*(1+$B$87)^(2021-2020))</f>
        <v>299.63404000000003</v>
      </c>
      <c r="C59" s="41">
        <v>9</v>
      </c>
      <c r="D59" s="42">
        <f t="shared" si="0"/>
        <v>2696.7063600000001</v>
      </c>
      <c r="E59" s="41" t="s">
        <v>253</v>
      </c>
    </row>
    <row r="60" spans="1:5" s="41" customFormat="1" x14ac:dyDescent="0.3">
      <c r="A60" s="41" t="s">
        <v>228</v>
      </c>
      <c r="B60" s="94">
        <f>48+(((15.08/700)*4)*(1+$B$87)^(2021-2020))</f>
        <v>48.089273599999999</v>
      </c>
      <c r="C60" s="41">
        <v>9</v>
      </c>
      <c r="D60" s="42">
        <f t="shared" si="0"/>
        <v>432.8034624</v>
      </c>
      <c r="E60" s="41" t="s">
        <v>253</v>
      </c>
    </row>
    <row r="61" spans="1:5" s="41" customFormat="1" x14ac:dyDescent="0.3">
      <c r="A61" s="41" t="s">
        <v>230</v>
      </c>
      <c r="B61" s="94">
        <f>48+((44.04+125.51)*(1+$B$87)^(2021-2020))</f>
        <v>223.65380000000002</v>
      </c>
      <c r="C61" s="41">
        <v>1</v>
      </c>
      <c r="D61" s="42">
        <f t="shared" si="0"/>
        <v>223.65380000000002</v>
      </c>
      <c r="E61" s="41" t="s">
        <v>329</v>
      </c>
    </row>
    <row r="62" spans="1:5" s="41" customFormat="1" x14ac:dyDescent="0.3">
      <c r="A62" s="41" t="s">
        <v>231</v>
      </c>
      <c r="B62" s="94">
        <f>48+(6.33*(1+$B$87)^(2021-2020))</f>
        <v>54.557879999999997</v>
      </c>
      <c r="C62" s="41">
        <v>6</v>
      </c>
      <c r="D62" s="42">
        <f t="shared" si="0"/>
        <v>327.34727999999996</v>
      </c>
      <c r="E62" s="41" t="s">
        <v>253</v>
      </c>
    </row>
    <row r="63" spans="1:5" s="41" customFormat="1" x14ac:dyDescent="0.3">
      <c r="B63" s="85"/>
      <c r="D63" s="42"/>
    </row>
    <row r="64" spans="1:5" s="41" customFormat="1" x14ac:dyDescent="0.3">
      <c r="A64" s="35" t="s">
        <v>225</v>
      </c>
      <c r="B64" s="93"/>
      <c r="C64" s="35"/>
      <c r="D64" s="42"/>
    </row>
    <row r="65" spans="1:5" s="41" customFormat="1" x14ac:dyDescent="0.3">
      <c r="B65" s="85"/>
      <c r="D65" s="42"/>
    </row>
    <row r="66" spans="1:5" s="41" customFormat="1" x14ac:dyDescent="0.3">
      <c r="A66" s="41" t="s">
        <v>251</v>
      </c>
      <c r="B66" s="94">
        <f>130+71</f>
        <v>201</v>
      </c>
      <c r="C66" s="41">
        <v>19</v>
      </c>
      <c r="D66" s="42">
        <f t="shared" si="0"/>
        <v>3819</v>
      </c>
      <c r="E66" s="41" t="s">
        <v>252</v>
      </c>
    </row>
    <row r="67" spans="1:5" x14ac:dyDescent="0.3">
      <c r="D67" s="42"/>
    </row>
    <row r="68" spans="1:5" x14ac:dyDescent="0.3">
      <c r="A68" s="35" t="s">
        <v>163</v>
      </c>
      <c r="B68" s="93"/>
      <c r="C68" s="35"/>
      <c r="D68" s="42"/>
    </row>
    <row r="69" spans="1:5" x14ac:dyDescent="0.3">
      <c r="D69" s="42"/>
    </row>
    <row r="70" spans="1:5" x14ac:dyDescent="0.3">
      <c r="A70" s="37" t="s">
        <v>247</v>
      </c>
      <c r="B70" s="94">
        <f>130+277</f>
        <v>407</v>
      </c>
      <c r="C70">
        <v>1</v>
      </c>
      <c r="D70" s="42">
        <f t="shared" si="0"/>
        <v>407</v>
      </c>
      <c r="E70" t="s">
        <v>249</v>
      </c>
    </row>
    <row r="71" spans="1:5" s="41" customFormat="1" x14ac:dyDescent="0.3">
      <c r="A71" s="37" t="s">
        <v>171</v>
      </c>
      <c r="B71" s="94">
        <f>130+120</f>
        <v>250</v>
      </c>
      <c r="C71" s="41">
        <v>2</v>
      </c>
      <c r="D71" s="42">
        <f t="shared" si="0"/>
        <v>500</v>
      </c>
      <c r="E71" s="41" t="s">
        <v>166</v>
      </c>
    </row>
    <row r="72" spans="1:5" x14ac:dyDescent="0.3">
      <c r="A72" s="37" t="s">
        <v>172</v>
      </c>
      <c r="B72" s="94">
        <f>108+69</f>
        <v>177</v>
      </c>
      <c r="C72">
        <v>19</v>
      </c>
      <c r="D72" s="42">
        <f t="shared" si="0"/>
        <v>3363</v>
      </c>
      <c r="E72" t="s">
        <v>248</v>
      </c>
    </row>
    <row r="73" spans="1:5" ht="16.5" customHeight="1" x14ac:dyDescent="0.3">
      <c r="D73" s="42"/>
    </row>
    <row r="74" spans="1:5" hidden="1" x14ac:dyDescent="0.3">
      <c r="A74" s="35" t="s">
        <v>277</v>
      </c>
      <c r="B74" s="93"/>
      <c r="C74" s="35"/>
      <c r="D74" s="42"/>
    </row>
    <row r="75" spans="1:5" hidden="1" x14ac:dyDescent="0.3">
      <c r="D75" s="42"/>
    </row>
    <row r="76" spans="1:5" hidden="1" x14ac:dyDescent="0.3">
      <c r="A76" t="s">
        <v>275</v>
      </c>
      <c r="B76" s="85">
        <f>(272.45*B81)*(1+B85)^(2020-2019)</f>
        <v>492838.31415600004</v>
      </c>
      <c r="C76">
        <v>1</v>
      </c>
      <c r="D76" s="42">
        <f t="shared" si="0"/>
        <v>492838.31415600004</v>
      </c>
      <c r="E76" s="86" t="s">
        <v>335</v>
      </c>
    </row>
    <row r="77" spans="1:5" ht="31.95" hidden="1" customHeight="1" x14ac:dyDescent="0.3">
      <c r="A77" t="s">
        <v>276</v>
      </c>
      <c r="B77" s="85">
        <f>(1215.65*B81)*(1+B85)^(2020-2019)</f>
        <v>2199004.9425720004</v>
      </c>
      <c r="C77">
        <v>1</v>
      </c>
      <c r="D77" s="42">
        <f t="shared" si="0"/>
        <v>2199004.9425720004</v>
      </c>
      <c r="E77" t="s">
        <v>334</v>
      </c>
    </row>
    <row r="78" spans="1:5" ht="39" hidden="1" customHeight="1" x14ac:dyDescent="0.3">
      <c r="D78" s="42"/>
    </row>
    <row r="79" spans="1:5" x14ac:dyDescent="0.3">
      <c r="A79" s="35" t="s">
        <v>332</v>
      </c>
      <c r="B79" s="93"/>
      <c r="C79" s="35"/>
      <c r="D79" s="42"/>
    </row>
    <row r="80" spans="1:5" x14ac:dyDescent="0.3">
      <c r="D80" s="42"/>
    </row>
    <row r="81" spans="1:5" x14ac:dyDescent="0.3">
      <c r="A81" t="s">
        <v>735</v>
      </c>
      <c r="B81" s="94">
        <v>14.778700000000001</v>
      </c>
      <c r="D81" s="42"/>
      <c r="E81" t="s">
        <v>333</v>
      </c>
    </row>
    <row r="82" spans="1:5" s="41" customFormat="1" x14ac:dyDescent="0.3">
      <c r="A82" s="85"/>
      <c r="B82" s="85"/>
      <c r="D82" s="42"/>
    </row>
    <row r="83" spans="1:5" s="41" customFormat="1" x14ac:dyDescent="0.3">
      <c r="A83" s="35" t="s">
        <v>338</v>
      </c>
      <c r="B83" s="35"/>
      <c r="C83" s="35"/>
      <c r="D83" s="42"/>
    </row>
    <row r="84" spans="1:5" x14ac:dyDescent="0.3">
      <c r="D84" s="42"/>
    </row>
    <row r="85" spans="1:5" x14ac:dyDescent="0.3">
      <c r="A85" s="146">
        <v>44075</v>
      </c>
      <c r="B85">
        <v>121.4</v>
      </c>
      <c r="D85" s="42"/>
      <c r="E85" t="s">
        <v>337</v>
      </c>
    </row>
    <row r="86" spans="1:5" s="41" customFormat="1" x14ac:dyDescent="0.3">
      <c r="A86" s="146">
        <v>44440</v>
      </c>
      <c r="B86" s="41">
        <v>125.8</v>
      </c>
      <c r="D86" s="42"/>
      <c r="E86" s="41" t="s">
        <v>337</v>
      </c>
    </row>
    <row r="87" spans="1:5" x14ac:dyDescent="0.3">
      <c r="A87" t="s">
        <v>734</v>
      </c>
      <c r="B87" s="45">
        <v>3.5999999999999997E-2</v>
      </c>
      <c r="D87" s="42"/>
      <c r="E87" s="41" t="s">
        <v>337</v>
      </c>
    </row>
  </sheetData>
  <hyperlinks>
    <hyperlink ref="E76"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1"/>
  <sheetViews>
    <sheetView topLeftCell="A4" workbookViewId="0">
      <selection activeCell="E17" sqref="E17"/>
    </sheetView>
  </sheetViews>
  <sheetFormatPr defaultRowHeight="14.4" x14ac:dyDescent="0.3"/>
  <cols>
    <col min="1" max="1" width="19.6640625" bestFit="1" customWidth="1"/>
    <col min="2" max="2" width="12" bestFit="1" customWidth="1"/>
  </cols>
  <sheetData>
    <row r="1" spans="1:8" x14ac:dyDescent="0.3">
      <c r="A1" s="43" t="s">
        <v>198</v>
      </c>
      <c r="B1" s="43"/>
    </row>
    <row r="2" spans="1:8" s="41" customFormat="1" x14ac:dyDescent="0.3">
      <c r="A2" s="44"/>
      <c r="B2" s="44"/>
      <c r="C2" s="41" t="s">
        <v>32</v>
      </c>
    </row>
    <row r="3" spans="1:8" x14ac:dyDescent="0.3">
      <c r="A3" s="35" t="s">
        <v>199</v>
      </c>
      <c r="B3" s="35"/>
      <c r="C3" s="35"/>
      <c r="F3" s="35" t="s">
        <v>218</v>
      </c>
      <c r="G3" s="35" t="s">
        <v>219</v>
      </c>
      <c r="H3" s="35" t="s">
        <v>52</v>
      </c>
    </row>
    <row r="4" spans="1:8" x14ac:dyDescent="0.3">
      <c r="F4">
        <v>1</v>
      </c>
      <c r="G4">
        <v>1</v>
      </c>
      <c r="H4">
        <f>DR</f>
        <v>0.05</v>
      </c>
    </row>
    <row r="5" spans="1:8" x14ac:dyDescent="0.3">
      <c r="A5" s="10" t="s">
        <v>56</v>
      </c>
      <c r="B5" s="10">
        <f>G70</f>
        <v>20.119123842489589</v>
      </c>
      <c r="C5" s="10" t="s">
        <v>57</v>
      </c>
      <c r="F5">
        <v>2</v>
      </c>
      <c r="G5">
        <f>1/(1+$H$4)^F4</f>
        <v>0.95238095238095233</v>
      </c>
    </row>
    <row r="6" spans="1:8" x14ac:dyDescent="0.3">
      <c r="A6" s="10" t="s">
        <v>68</v>
      </c>
      <c r="B6" s="10">
        <f>G71</f>
        <v>20.16107032618056</v>
      </c>
      <c r="C6" s="10" t="s">
        <v>57</v>
      </c>
      <c r="F6">
        <v>3</v>
      </c>
      <c r="G6" s="41">
        <f t="shared" ref="G6:G69" si="0">1/(1+$H$4)^F5</f>
        <v>0.90702947845804982</v>
      </c>
    </row>
    <row r="7" spans="1:8" x14ac:dyDescent="0.3">
      <c r="F7" s="41">
        <v>4</v>
      </c>
      <c r="G7" s="41">
        <f t="shared" si="0"/>
        <v>0.86383759853147601</v>
      </c>
    </row>
    <row r="8" spans="1:8" x14ac:dyDescent="0.3">
      <c r="A8" s="35" t="s">
        <v>200</v>
      </c>
      <c r="B8" s="35"/>
      <c r="C8" s="35"/>
      <c r="F8" s="41">
        <v>5</v>
      </c>
      <c r="G8" s="41">
        <f t="shared" si="0"/>
        <v>0.82270247479188197</v>
      </c>
    </row>
    <row r="9" spans="1:8" x14ac:dyDescent="0.3">
      <c r="F9" s="41">
        <v>6</v>
      </c>
      <c r="G9" s="41">
        <f t="shared" si="0"/>
        <v>0.78352616646845896</v>
      </c>
    </row>
    <row r="10" spans="1:8" x14ac:dyDescent="0.3">
      <c r="A10" t="s">
        <v>9</v>
      </c>
      <c r="B10" s="46" t="e">
        <f>Parameters!#REF!</f>
        <v>#REF!</v>
      </c>
      <c r="F10" s="41">
        <v>7</v>
      </c>
      <c r="G10" s="41">
        <f t="shared" si="0"/>
        <v>0.74621539663662761</v>
      </c>
    </row>
    <row r="11" spans="1:8" x14ac:dyDescent="0.3">
      <c r="A11" t="s">
        <v>161</v>
      </c>
      <c r="B11" s="46" t="e">
        <f>25%*Parameters!#REF!</f>
        <v>#REF!</v>
      </c>
      <c r="F11" s="41">
        <v>8</v>
      </c>
      <c r="G11" s="41">
        <f t="shared" si="0"/>
        <v>0.71068133013012147</v>
      </c>
    </row>
    <row r="12" spans="1:8" x14ac:dyDescent="0.3">
      <c r="B12" s="44"/>
      <c r="F12" s="41">
        <v>9</v>
      </c>
      <c r="G12" s="41">
        <f t="shared" si="0"/>
        <v>0.67683936202868722</v>
      </c>
    </row>
    <row r="13" spans="1:8" x14ac:dyDescent="0.3">
      <c r="A13" s="35" t="s">
        <v>211</v>
      </c>
      <c r="B13" s="35"/>
      <c r="C13" s="35"/>
      <c r="F13" s="41">
        <v>10</v>
      </c>
      <c r="G13" s="41">
        <f t="shared" si="0"/>
        <v>0.64460891621779726</v>
      </c>
    </row>
    <row r="14" spans="1:8" x14ac:dyDescent="0.3">
      <c r="B14" s="44"/>
      <c r="F14" s="41">
        <v>11</v>
      </c>
      <c r="G14" s="41">
        <f t="shared" si="0"/>
        <v>0.61391325354075932</v>
      </c>
    </row>
    <row r="15" spans="1:8" x14ac:dyDescent="0.3">
      <c r="A15" t="s">
        <v>9</v>
      </c>
      <c r="B15" s="46" t="e">
        <f>Parameters!#REF!</f>
        <v>#REF!</v>
      </c>
      <c r="F15" s="41">
        <v>12</v>
      </c>
      <c r="G15" s="41">
        <f t="shared" si="0"/>
        <v>0.5846792890864374</v>
      </c>
    </row>
    <row r="16" spans="1:8" x14ac:dyDescent="0.3">
      <c r="A16" t="s">
        <v>161</v>
      </c>
      <c r="B16" s="46" t="e">
        <f>Parameters!#REF!</f>
        <v>#REF!</v>
      </c>
      <c r="F16" s="41">
        <v>13</v>
      </c>
      <c r="G16" s="41">
        <f t="shared" si="0"/>
        <v>0.5568374181775595</v>
      </c>
    </row>
    <row r="17" spans="1:7" x14ac:dyDescent="0.3">
      <c r="B17" s="44"/>
      <c r="F17" s="41">
        <v>14</v>
      </c>
      <c r="G17" s="41">
        <f t="shared" si="0"/>
        <v>0.53032135064529462</v>
      </c>
    </row>
    <row r="18" spans="1:7" x14ac:dyDescent="0.3">
      <c r="A18" s="35" t="s">
        <v>212</v>
      </c>
      <c r="B18" s="35"/>
      <c r="C18" s="35"/>
      <c r="F18" s="41">
        <v>15</v>
      </c>
      <c r="G18" s="41">
        <f t="shared" si="0"/>
        <v>0.50506795299551888</v>
      </c>
    </row>
    <row r="19" spans="1:7" x14ac:dyDescent="0.3">
      <c r="B19" s="44"/>
      <c r="F19" s="41">
        <v>16</v>
      </c>
      <c r="G19" s="41">
        <f t="shared" si="0"/>
        <v>0.48101709809097021</v>
      </c>
    </row>
    <row r="20" spans="1:7" s="41" customFormat="1" x14ac:dyDescent="0.3">
      <c r="A20" s="41" t="s">
        <v>9</v>
      </c>
      <c r="B20" s="44"/>
      <c r="F20" s="41">
        <v>17</v>
      </c>
      <c r="G20" s="41">
        <f t="shared" si="0"/>
        <v>0.45811152199140021</v>
      </c>
    </row>
    <row r="21" spans="1:7" x14ac:dyDescent="0.3">
      <c r="A21" t="s">
        <v>222</v>
      </c>
      <c r="B21" s="44">
        <v>0.31</v>
      </c>
      <c r="F21" s="41">
        <v>18</v>
      </c>
      <c r="G21" s="41">
        <f t="shared" si="0"/>
        <v>0.43629668761085727</v>
      </c>
    </row>
    <row r="22" spans="1:7" x14ac:dyDescent="0.3">
      <c r="B22" s="44"/>
      <c r="F22" s="41">
        <v>19</v>
      </c>
      <c r="G22" s="41">
        <f t="shared" si="0"/>
        <v>0.41552065486748313</v>
      </c>
    </row>
    <row r="23" spans="1:7" x14ac:dyDescent="0.3">
      <c r="A23" s="35" t="s">
        <v>213</v>
      </c>
      <c r="B23" s="35"/>
      <c r="C23" s="35"/>
      <c r="F23" s="41">
        <v>20</v>
      </c>
      <c r="G23" s="41">
        <f t="shared" si="0"/>
        <v>0.39573395701665059</v>
      </c>
    </row>
    <row r="24" spans="1:7" x14ac:dyDescent="0.3">
      <c r="B24" s="44"/>
      <c r="F24" s="41">
        <v>21</v>
      </c>
      <c r="G24" s="41">
        <f t="shared" si="0"/>
        <v>0.37688948287300061</v>
      </c>
    </row>
    <row r="25" spans="1:7" x14ac:dyDescent="0.3">
      <c r="A25" t="s">
        <v>9</v>
      </c>
      <c r="B25" s="44"/>
      <c r="F25" s="41">
        <v>22</v>
      </c>
      <c r="G25" s="41">
        <f t="shared" si="0"/>
        <v>0.35894236464095297</v>
      </c>
    </row>
    <row r="26" spans="1:7" x14ac:dyDescent="0.3">
      <c r="A26" t="s">
        <v>161</v>
      </c>
      <c r="B26" s="44"/>
      <c r="F26" s="41">
        <v>23</v>
      </c>
      <c r="G26" s="41">
        <f t="shared" si="0"/>
        <v>0.3418498710866219</v>
      </c>
    </row>
    <row r="27" spans="1:7" x14ac:dyDescent="0.3">
      <c r="F27" s="41">
        <v>24</v>
      </c>
      <c r="G27" s="41">
        <f t="shared" si="0"/>
        <v>0.32557130579678267</v>
      </c>
    </row>
    <row r="28" spans="1:7" x14ac:dyDescent="0.3">
      <c r="F28" s="41">
        <v>25</v>
      </c>
      <c r="G28" s="41">
        <f t="shared" si="0"/>
        <v>0.31006791028265024</v>
      </c>
    </row>
    <row r="29" spans="1:7" x14ac:dyDescent="0.3">
      <c r="F29" s="41">
        <v>26</v>
      </c>
      <c r="G29" s="41">
        <f t="shared" si="0"/>
        <v>0.29530277169776209</v>
      </c>
    </row>
    <row r="30" spans="1:7" x14ac:dyDescent="0.3">
      <c r="F30" s="41">
        <v>27</v>
      </c>
      <c r="G30" s="41">
        <f t="shared" si="0"/>
        <v>0.28124073495024959</v>
      </c>
    </row>
    <row r="31" spans="1:7" x14ac:dyDescent="0.3">
      <c r="F31" s="41">
        <v>28</v>
      </c>
      <c r="G31" s="41">
        <f t="shared" si="0"/>
        <v>0.2678483190002377</v>
      </c>
    </row>
    <row r="32" spans="1:7" x14ac:dyDescent="0.3">
      <c r="F32" s="41">
        <v>29</v>
      </c>
      <c r="G32" s="41">
        <f t="shared" si="0"/>
        <v>0.25509363714308358</v>
      </c>
    </row>
    <row r="33" spans="6:7" x14ac:dyDescent="0.3">
      <c r="F33" s="41">
        <v>30</v>
      </c>
      <c r="G33" s="41">
        <f t="shared" si="0"/>
        <v>0.24294632108865097</v>
      </c>
    </row>
    <row r="34" spans="6:7" x14ac:dyDescent="0.3">
      <c r="F34" s="41">
        <v>31</v>
      </c>
      <c r="G34" s="41">
        <f t="shared" si="0"/>
        <v>0.23137744865585813</v>
      </c>
    </row>
    <row r="35" spans="6:7" x14ac:dyDescent="0.3">
      <c r="F35" s="41">
        <v>32</v>
      </c>
      <c r="G35" s="41">
        <f t="shared" si="0"/>
        <v>0.220359474910341</v>
      </c>
    </row>
    <row r="36" spans="6:7" x14ac:dyDescent="0.3">
      <c r="F36" s="41">
        <v>33</v>
      </c>
      <c r="G36" s="41">
        <f t="shared" si="0"/>
        <v>0.20986616658127716</v>
      </c>
    </row>
    <row r="37" spans="6:7" x14ac:dyDescent="0.3">
      <c r="F37" s="41">
        <v>34</v>
      </c>
      <c r="G37" s="41">
        <f t="shared" si="0"/>
        <v>0.19987253960121634</v>
      </c>
    </row>
    <row r="38" spans="6:7" x14ac:dyDescent="0.3">
      <c r="F38" s="41">
        <v>35</v>
      </c>
      <c r="G38" s="41">
        <f t="shared" si="0"/>
        <v>0.19035479962020604</v>
      </c>
    </row>
    <row r="39" spans="6:7" x14ac:dyDescent="0.3">
      <c r="F39" s="41">
        <v>36</v>
      </c>
      <c r="G39" s="41">
        <f t="shared" si="0"/>
        <v>0.18129028535257716</v>
      </c>
    </row>
    <row r="40" spans="6:7" x14ac:dyDescent="0.3">
      <c r="F40" s="41">
        <v>37</v>
      </c>
      <c r="G40" s="41">
        <f t="shared" si="0"/>
        <v>0.17265741462150208</v>
      </c>
    </row>
    <row r="41" spans="6:7" x14ac:dyDescent="0.3">
      <c r="F41" s="41">
        <v>38</v>
      </c>
      <c r="G41" s="41">
        <f t="shared" si="0"/>
        <v>0.1644356329728591</v>
      </c>
    </row>
    <row r="42" spans="6:7" x14ac:dyDescent="0.3">
      <c r="F42" s="41">
        <v>39</v>
      </c>
      <c r="G42" s="41">
        <f t="shared" si="0"/>
        <v>0.15660536473605632</v>
      </c>
    </row>
    <row r="43" spans="6:7" x14ac:dyDescent="0.3">
      <c r="F43" s="41">
        <v>40</v>
      </c>
      <c r="G43" s="41">
        <f t="shared" si="0"/>
        <v>0.14914796641529171</v>
      </c>
    </row>
    <row r="44" spans="6:7" x14ac:dyDescent="0.3">
      <c r="F44" s="41">
        <v>41</v>
      </c>
      <c r="G44" s="41">
        <f t="shared" si="0"/>
        <v>0.14204568230027784</v>
      </c>
    </row>
    <row r="45" spans="6:7" x14ac:dyDescent="0.3">
      <c r="F45" s="41">
        <v>42</v>
      </c>
      <c r="G45" s="41">
        <f t="shared" si="0"/>
        <v>0.13528160219074079</v>
      </c>
    </row>
    <row r="46" spans="6:7" x14ac:dyDescent="0.3">
      <c r="F46" s="41">
        <v>43</v>
      </c>
      <c r="G46" s="41">
        <f t="shared" si="0"/>
        <v>0.12883962113403885</v>
      </c>
    </row>
    <row r="47" spans="6:7" x14ac:dyDescent="0.3">
      <c r="F47" s="41">
        <v>44</v>
      </c>
      <c r="G47" s="41">
        <f t="shared" si="0"/>
        <v>0.12270440108003698</v>
      </c>
    </row>
    <row r="48" spans="6:7" x14ac:dyDescent="0.3">
      <c r="F48" s="41">
        <v>45</v>
      </c>
      <c r="G48" s="41">
        <f t="shared" si="0"/>
        <v>0.11686133436193999</v>
      </c>
    </row>
    <row r="49" spans="6:7" x14ac:dyDescent="0.3">
      <c r="F49" s="41">
        <v>46</v>
      </c>
      <c r="G49" s="41">
        <f t="shared" si="0"/>
        <v>0.1112965089161333</v>
      </c>
    </row>
    <row r="50" spans="6:7" x14ac:dyDescent="0.3">
      <c r="F50" s="41">
        <v>47</v>
      </c>
      <c r="G50" s="41">
        <f t="shared" si="0"/>
        <v>0.10599667515822221</v>
      </c>
    </row>
    <row r="51" spans="6:7" x14ac:dyDescent="0.3">
      <c r="F51" s="41">
        <v>48</v>
      </c>
      <c r="G51" s="41">
        <f t="shared" si="0"/>
        <v>0.10094921443640208</v>
      </c>
    </row>
    <row r="52" spans="6:7" x14ac:dyDescent="0.3">
      <c r="F52" s="41">
        <v>49</v>
      </c>
      <c r="G52" s="41">
        <f t="shared" si="0"/>
        <v>9.6142108987049613E-2</v>
      </c>
    </row>
    <row r="53" spans="6:7" x14ac:dyDescent="0.3">
      <c r="F53" s="41">
        <v>50</v>
      </c>
      <c r="G53" s="41">
        <f t="shared" si="0"/>
        <v>9.1563913320999626E-2</v>
      </c>
    </row>
    <row r="54" spans="6:7" x14ac:dyDescent="0.3">
      <c r="F54" s="41">
        <v>51</v>
      </c>
      <c r="G54" s="41">
        <f t="shared" si="0"/>
        <v>8.7203726972380588E-2</v>
      </c>
    </row>
    <row r="55" spans="6:7" x14ac:dyDescent="0.3">
      <c r="F55" s="41">
        <v>52</v>
      </c>
      <c r="G55" s="41">
        <f t="shared" si="0"/>
        <v>8.3051168545124371E-2</v>
      </c>
    </row>
    <row r="56" spans="6:7" x14ac:dyDescent="0.3">
      <c r="F56" s="41">
        <v>53</v>
      </c>
      <c r="G56" s="41">
        <f t="shared" si="0"/>
        <v>7.9096350995356543E-2</v>
      </c>
    </row>
    <row r="57" spans="6:7" x14ac:dyDescent="0.3">
      <c r="F57" s="41">
        <v>54</v>
      </c>
      <c r="G57" s="41">
        <f t="shared" si="0"/>
        <v>7.5329858090815757E-2</v>
      </c>
    </row>
    <row r="58" spans="6:7" x14ac:dyDescent="0.3">
      <c r="F58" s="41">
        <v>55</v>
      </c>
      <c r="G58" s="41">
        <f t="shared" si="0"/>
        <v>7.1742721991253117E-2</v>
      </c>
    </row>
    <row r="59" spans="6:7" x14ac:dyDescent="0.3">
      <c r="F59" s="41">
        <v>56</v>
      </c>
      <c r="G59" s="41">
        <f t="shared" si="0"/>
        <v>6.8326401896431521E-2</v>
      </c>
    </row>
    <row r="60" spans="6:7" x14ac:dyDescent="0.3">
      <c r="F60" s="41">
        <v>57</v>
      </c>
      <c r="G60" s="41">
        <f t="shared" si="0"/>
        <v>6.5072763710887174E-2</v>
      </c>
    </row>
    <row r="61" spans="6:7" x14ac:dyDescent="0.3">
      <c r="F61" s="41">
        <v>58</v>
      </c>
      <c r="G61" s="41">
        <f t="shared" si="0"/>
        <v>6.1974060677035397E-2</v>
      </c>
    </row>
    <row r="62" spans="6:7" x14ac:dyDescent="0.3">
      <c r="F62" s="41">
        <v>59</v>
      </c>
      <c r="G62" s="41">
        <f t="shared" si="0"/>
        <v>5.9022914930509894E-2</v>
      </c>
    </row>
    <row r="63" spans="6:7" x14ac:dyDescent="0.3">
      <c r="F63" s="41">
        <v>60</v>
      </c>
      <c r="G63" s="41">
        <f t="shared" si="0"/>
        <v>5.6212299933818946E-2</v>
      </c>
    </row>
    <row r="64" spans="6:7" x14ac:dyDescent="0.3">
      <c r="F64" s="41">
        <v>61</v>
      </c>
      <c r="G64" s="41">
        <f t="shared" si="0"/>
        <v>5.3535523746494243E-2</v>
      </c>
    </row>
    <row r="65" spans="6:7" x14ac:dyDescent="0.3">
      <c r="F65" s="41">
        <v>62</v>
      </c>
      <c r="G65" s="41">
        <f t="shared" si="0"/>
        <v>5.0986213091899268E-2</v>
      </c>
    </row>
    <row r="66" spans="6:7" x14ac:dyDescent="0.3">
      <c r="F66" s="41">
        <v>63</v>
      </c>
      <c r="G66" s="41">
        <f t="shared" si="0"/>
        <v>4.855829818276123E-2</v>
      </c>
    </row>
    <row r="67" spans="6:7" x14ac:dyDescent="0.3">
      <c r="F67" s="41">
        <v>64</v>
      </c>
      <c r="G67" s="41">
        <f t="shared" si="0"/>
        <v>4.6245998269296387E-2</v>
      </c>
    </row>
    <row r="68" spans="6:7" x14ac:dyDescent="0.3">
      <c r="F68" s="41">
        <v>65</v>
      </c>
      <c r="G68" s="41">
        <f t="shared" si="0"/>
        <v>4.4043807875520369E-2</v>
      </c>
    </row>
    <row r="69" spans="6:7" x14ac:dyDescent="0.3">
      <c r="F69" s="41">
        <v>66</v>
      </c>
      <c r="G69" s="41">
        <f t="shared" si="0"/>
        <v>4.1946483690971779E-2</v>
      </c>
    </row>
    <row r="70" spans="6:7" x14ac:dyDescent="0.3">
      <c r="F70" s="41"/>
      <c r="G70">
        <f>SUM(G4:G68)</f>
        <v>20.119123842489589</v>
      </c>
    </row>
    <row r="71" spans="6:7" x14ac:dyDescent="0.3">
      <c r="G71">
        <f>SUM(G4:G69)</f>
        <v>20.16107032618056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1"/>
  <sheetViews>
    <sheetView topLeftCell="A18" workbookViewId="0">
      <selection activeCell="B29" sqref="B29"/>
    </sheetView>
  </sheetViews>
  <sheetFormatPr defaultRowHeight="14.4" x14ac:dyDescent="0.3"/>
  <cols>
    <col min="1" max="1" width="51.21875" bestFit="1" customWidth="1"/>
    <col min="2" max="2" width="24" bestFit="1" customWidth="1"/>
    <col min="3" max="3" width="21.21875" customWidth="1"/>
    <col min="4" max="4" width="17.21875" customWidth="1"/>
    <col min="5" max="5" width="8.88671875" style="41"/>
    <col min="6" max="6" width="10.77734375" bestFit="1" customWidth="1"/>
    <col min="7" max="7" width="8.88671875" style="41"/>
    <col min="9" max="9" width="9.6640625" style="41" bestFit="1" customWidth="1"/>
    <col min="10" max="10" width="11.77734375" bestFit="1" customWidth="1"/>
    <col min="11" max="11" width="8.88671875" style="41"/>
    <col min="12" max="12" width="10.77734375" bestFit="1" customWidth="1"/>
    <col min="13" max="13" width="12.5546875" bestFit="1" customWidth="1"/>
  </cols>
  <sheetData>
    <row r="1" spans="1:13" x14ac:dyDescent="0.3">
      <c r="A1" s="84" t="s">
        <v>271</v>
      </c>
    </row>
    <row r="2" spans="1:13" x14ac:dyDescent="0.3">
      <c r="A2" s="84" t="s">
        <v>256</v>
      </c>
      <c r="B2" s="84" t="s">
        <v>258</v>
      </c>
      <c r="C2" s="84" t="s">
        <v>259</v>
      </c>
      <c r="D2" s="84" t="s">
        <v>323</v>
      </c>
      <c r="E2" s="84" t="s">
        <v>265</v>
      </c>
      <c r="F2" s="84" t="s">
        <v>262</v>
      </c>
      <c r="G2" s="84" t="s">
        <v>266</v>
      </c>
      <c r="H2" s="84" t="s">
        <v>200</v>
      </c>
      <c r="I2" s="84" t="s">
        <v>267</v>
      </c>
      <c r="J2" s="84" t="s">
        <v>263</v>
      </c>
      <c r="K2" s="84" t="s">
        <v>268</v>
      </c>
      <c r="L2" s="84" t="s">
        <v>264</v>
      </c>
      <c r="M2" s="84" t="s">
        <v>269</v>
      </c>
    </row>
    <row r="4" spans="1:13" x14ac:dyDescent="0.3">
      <c r="A4" t="s">
        <v>257</v>
      </c>
      <c r="B4" s="41">
        <v>2859792.32</v>
      </c>
      <c r="C4" s="41">
        <v>36.96</v>
      </c>
      <c r="D4" s="41">
        <v>1425739.32</v>
      </c>
      <c r="E4" s="41">
        <v>18.43</v>
      </c>
      <c r="F4" s="41">
        <v>1434053</v>
      </c>
      <c r="G4" s="41">
        <v>18.53</v>
      </c>
      <c r="H4" s="41">
        <v>39760.870000000003</v>
      </c>
      <c r="I4" s="41">
        <v>0.51</v>
      </c>
      <c r="J4" s="41">
        <v>0</v>
      </c>
      <c r="K4" s="41">
        <v>0</v>
      </c>
      <c r="L4" s="41">
        <v>0</v>
      </c>
      <c r="M4" s="41">
        <v>0</v>
      </c>
    </row>
    <row r="5" spans="1:13" x14ac:dyDescent="0.3">
      <c r="A5" t="s">
        <v>322</v>
      </c>
      <c r="B5">
        <v>21550976.800000001</v>
      </c>
      <c r="C5">
        <v>278.52999999999997</v>
      </c>
      <c r="D5" s="41">
        <v>11354711.939999999</v>
      </c>
      <c r="E5" s="41">
        <v>146.75</v>
      </c>
      <c r="F5" s="41">
        <v>10196264.85</v>
      </c>
      <c r="G5" s="41">
        <v>131.78</v>
      </c>
      <c r="H5" s="41">
        <v>461069.26</v>
      </c>
      <c r="I5" s="41">
        <v>5.96</v>
      </c>
      <c r="J5" s="41">
        <v>262405182.28</v>
      </c>
      <c r="K5" s="41">
        <v>3391.36</v>
      </c>
      <c r="L5" s="41">
        <v>36979267.259999998</v>
      </c>
      <c r="M5" s="41">
        <v>477.92</v>
      </c>
    </row>
    <row r="6" spans="1:13" x14ac:dyDescent="0.3">
      <c r="A6" s="41" t="s">
        <v>260</v>
      </c>
      <c r="B6" s="41">
        <v>566975.71</v>
      </c>
      <c r="C6" s="41">
        <v>7.33</v>
      </c>
      <c r="D6" s="41">
        <v>50368250.700000003</v>
      </c>
      <c r="E6" s="41">
        <v>650.97</v>
      </c>
      <c r="F6" s="41">
        <v>2988362.42</v>
      </c>
      <c r="G6" s="41">
        <v>38.619999999999997</v>
      </c>
      <c r="H6" s="41">
        <v>566975.71</v>
      </c>
      <c r="I6" s="41">
        <v>7.33</v>
      </c>
      <c r="J6" s="41">
        <v>10567814.689999999</v>
      </c>
      <c r="K6" s="41">
        <v>136.58000000000001</v>
      </c>
      <c r="L6" s="41">
        <v>1378698.93</v>
      </c>
      <c r="M6" s="41">
        <v>17.82</v>
      </c>
    </row>
    <row r="8" spans="1:13" x14ac:dyDescent="0.3">
      <c r="A8" s="84" t="s">
        <v>256</v>
      </c>
      <c r="B8" s="84" t="s">
        <v>258</v>
      </c>
      <c r="C8" s="84" t="s">
        <v>261</v>
      </c>
      <c r="D8" s="84" t="s">
        <v>262</v>
      </c>
      <c r="E8" s="84" t="s">
        <v>200</v>
      </c>
    </row>
    <row r="9" spans="1:13" x14ac:dyDescent="0.3">
      <c r="A9" s="41"/>
      <c r="E9"/>
    </row>
    <row r="10" spans="1:13" x14ac:dyDescent="0.3">
      <c r="A10" s="41" t="s">
        <v>257</v>
      </c>
      <c r="B10">
        <f>(Demographics!B4/100000)*C4</f>
        <v>22036.420559999999</v>
      </c>
      <c r="C10">
        <f>(Demographics!B4/100000)*E4</f>
        <v>10988.399104999999</v>
      </c>
      <c r="D10">
        <f>(Demographics!B4/100000)*G4</f>
        <v>11048.021455</v>
      </c>
      <c r="E10">
        <f>(Demographics!B4/100000)*I4</f>
        <v>304.07398499999999</v>
      </c>
    </row>
    <row r="11" spans="1:13" x14ac:dyDescent="0.3">
      <c r="A11" s="41" t="s">
        <v>322</v>
      </c>
      <c r="B11" s="41">
        <f>(Demographics!B4/100000)*C5</f>
        <v>166066.13145499997</v>
      </c>
      <c r="C11" s="41">
        <f>(Demographics!B4/100000)*E5</f>
        <v>87495.798624999996</v>
      </c>
      <c r="D11" s="41">
        <f>(Demographics!B4/100000)*G5</f>
        <v>78570.332829999999</v>
      </c>
      <c r="E11" s="41">
        <f>(Demographics!B4/100000)*I5</f>
        <v>3553.4920599999996</v>
      </c>
    </row>
    <row r="12" spans="1:13" x14ac:dyDescent="0.3">
      <c r="A12" s="41" t="s">
        <v>260</v>
      </c>
      <c r="B12">
        <f>(Demographics!B4/100000)*C6</f>
        <v>4370.3182549999992</v>
      </c>
      <c r="C12" s="41">
        <f>(Demographics!B4/100000)*E6</f>
        <v>388123.61179499998</v>
      </c>
      <c r="D12" s="41">
        <f>(Demographics!B4/100000)*G6</f>
        <v>23026.151569999995</v>
      </c>
      <c r="E12" s="41">
        <f>(Demographics!B4/100000)*I6</f>
        <v>4370.3182549999992</v>
      </c>
    </row>
    <row r="13" spans="1:13" x14ac:dyDescent="0.3">
      <c r="D13" s="41"/>
    </row>
    <row r="15" spans="1:13" x14ac:dyDescent="0.3">
      <c r="A15" s="95" t="s">
        <v>695</v>
      </c>
      <c r="B15" t="s">
        <v>699</v>
      </c>
    </row>
    <row r="17" spans="1:4" x14ac:dyDescent="0.3">
      <c r="A17" s="41" t="s">
        <v>698</v>
      </c>
      <c r="B17" s="41">
        <v>6.0999999999999999E-2</v>
      </c>
      <c r="C17" s="41" t="s">
        <v>704</v>
      </c>
      <c r="D17" s="41"/>
    </row>
    <row r="18" spans="1:4" x14ac:dyDescent="0.3">
      <c r="A18" t="s">
        <v>697</v>
      </c>
      <c r="B18">
        <v>30</v>
      </c>
      <c r="C18" t="s">
        <v>700</v>
      </c>
    </row>
    <row r="19" spans="1:4" s="41" customFormat="1" x14ac:dyDescent="0.3">
      <c r="A19" s="41" t="s">
        <v>211</v>
      </c>
      <c r="B19" s="41">
        <f>B24/(B17*B18)</f>
        <v>0.5191256830601092</v>
      </c>
    </row>
    <row r="20" spans="1:4" x14ac:dyDescent="0.3">
      <c r="A20" t="s">
        <v>696</v>
      </c>
      <c r="B20">
        <v>40.89</v>
      </c>
    </row>
    <row r="21" spans="1:4" s="41" customFormat="1" x14ac:dyDescent="0.3">
      <c r="A21" s="41" t="s">
        <v>200</v>
      </c>
      <c r="B21" s="41">
        <f>B23/B20</f>
        <v>9.4888725849841038E-2</v>
      </c>
    </row>
    <row r="23" spans="1:4" x14ac:dyDescent="0.3">
      <c r="A23" t="s">
        <v>693</v>
      </c>
      <c r="B23">
        <v>3.88</v>
      </c>
    </row>
    <row r="24" spans="1:4" x14ac:dyDescent="0.3">
      <c r="A24" t="s">
        <v>694</v>
      </c>
      <c r="B24">
        <v>0.95</v>
      </c>
    </row>
    <row r="25" spans="1:4" x14ac:dyDescent="0.3">
      <c r="A25" s="107" t="s">
        <v>65</v>
      </c>
      <c r="B25" s="107">
        <v>4.83</v>
      </c>
    </row>
    <row r="29" spans="1:4" x14ac:dyDescent="0.3">
      <c r="C29" t="s">
        <v>702</v>
      </c>
    </row>
    <row r="30" spans="1:4" x14ac:dyDescent="0.3">
      <c r="C30" t="s">
        <v>703</v>
      </c>
    </row>
    <row r="31" spans="1:4" x14ac:dyDescent="0.3">
      <c r="C31" s="11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1"/>
  <sheetViews>
    <sheetView topLeftCell="A61" workbookViewId="0">
      <selection activeCell="H64" sqref="H64"/>
    </sheetView>
  </sheetViews>
  <sheetFormatPr defaultRowHeight="14.4" x14ac:dyDescent="0.3"/>
  <cols>
    <col min="1" max="1" width="8.77734375" customWidth="1"/>
    <col min="2" max="2" width="10.77734375" customWidth="1"/>
    <col min="3" max="3" width="12.6640625" customWidth="1"/>
    <col min="4" max="4" width="13.21875" customWidth="1"/>
  </cols>
  <sheetData>
    <row r="1" spans="1:4" x14ac:dyDescent="0.3">
      <c r="A1" s="41"/>
      <c r="B1" s="41"/>
      <c r="C1" s="41"/>
      <c r="D1" s="41"/>
    </row>
    <row r="2" spans="1:4" x14ac:dyDescent="0.3">
      <c r="A2" s="107" t="s">
        <v>706</v>
      </c>
      <c r="B2" s="107" t="s">
        <v>705</v>
      </c>
      <c r="C2" s="107" t="s">
        <v>701</v>
      </c>
      <c r="D2" s="107"/>
    </row>
    <row r="3" spans="1:4" x14ac:dyDescent="0.3">
      <c r="A3" s="41">
        <v>0</v>
      </c>
      <c r="B3" s="41">
        <v>0</v>
      </c>
      <c r="C3" s="41">
        <f>1/(1+0.05)^A3</f>
        <v>1</v>
      </c>
      <c r="D3" s="41">
        <f>C3*B3</f>
        <v>0</v>
      </c>
    </row>
    <row r="4" spans="1:4" x14ac:dyDescent="0.3">
      <c r="A4" s="41">
        <v>1</v>
      </c>
      <c r="B4" s="41">
        <f>A4-A3</f>
        <v>1</v>
      </c>
      <c r="C4" s="41">
        <f>1/(1+0.05)^A4</f>
        <v>0.95238095238095233</v>
      </c>
      <c r="D4" s="41">
        <f t="shared" ref="D4:D67" si="0">C4*B4</f>
        <v>0.95238095238095233</v>
      </c>
    </row>
    <row r="5" spans="1:4" x14ac:dyDescent="0.3">
      <c r="A5" s="41">
        <v>2</v>
      </c>
      <c r="B5" s="41">
        <f t="shared" ref="B5:B68" si="1">A5-A4</f>
        <v>1</v>
      </c>
      <c r="C5" s="41">
        <f t="shared" ref="C5:C68" si="2">1/(1+0.05)^A5</f>
        <v>0.90702947845804982</v>
      </c>
      <c r="D5" s="41">
        <f t="shared" si="0"/>
        <v>0.90702947845804982</v>
      </c>
    </row>
    <row r="6" spans="1:4" x14ac:dyDescent="0.3">
      <c r="A6" s="41">
        <v>3</v>
      </c>
      <c r="B6" s="41">
        <f t="shared" si="1"/>
        <v>1</v>
      </c>
      <c r="C6" s="41">
        <f t="shared" si="2"/>
        <v>0.86383759853147601</v>
      </c>
      <c r="D6" s="41">
        <f t="shared" si="0"/>
        <v>0.86383759853147601</v>
      </c>
    </row>
    <row r="7" spans="1:4" x14ac:dyDescent="0.3">
      <c r="A7" s="41">
        <v>4</v>
      </c>
      <c r="B7" s="41">
        <f t="shared" si="1"/>
        <v>1</v>
      </c>
      <c r="C7" s="41">
        <f t="shared" si="2"/>
        <v>0.82270247479188197</v>
      </c>
      <c r="D7" s="41">
        <f t="shared" si="0"/>
        <v>0.82270247479188197</v>
      </c>
    </row>
    <row r="8" spans="1:4" x14ac:dyDescent="0.3">
      <c r="A8" s="41">
        <v>5</v>
      </c>
      <c r="B8" s="41">
        <f t="shared" si="1"/>
        <v>1</v>
      </c>
      <c r="C8" s="41">
        <f t="shared" si="2"/>
        <v>0.78352616646845896</v>
      </c>
      <c r="D8" s="41">
        <f t="shared" si="0"/>
        <v>0.78352616646845896</v>
      </c>
    </row>
    <row r="9" spans="1:4" x14ac:dyDescent="0.3">
      <c r="A9" s="41">
        <v>6</v>
      </c>
      <c r="B9" s="41">
        <f t="shared" si="1"/>
        <v>1</v>
      </c>
      <c r="C9" s="41">
        <f t="shared" si="2"/>
        <v>0.74621539663662761</v>
      </c>
      <c r="D9" s="41">
        <f t="shared" si="0"/>
        <v>0.74621539663662761</v>
      </c>
    </row>
    <row r="10" spans="1:4" x14ac:dyDescent="0.3">
      <c r="A10" s="41">
        <v>7</v>
      </c>
      <c r="B10" s="41">
        <f t="shared" si="1"/>
        <v>1</v>
      </c>
      <c r="C10" s="41">
        <f t="shared" si="2"/>
        <v>0.71068133013012147</v>
      </c>
      <c r="D10" s="41">
        <f t="shared" si="0"/>
        <v>0.71068133013012147</v>
      </c>
    </row>
    <row r="11" spans="1:4" x14ac:dyDescent="0.3">
      <c r="A11" s="41">
        <v>8</v>
      </c>
      <c r="B11" s="41">
        <f t="shared" si="1"/>
        <v>1</v>
      </c>
      <c r="C11" s="41">
        <f t="shared" si="2"/>
        <v>0.67683936202868722</v>
      </c>
      <c r="D11" s="41">
        <f t="shared" si="0"/>
        <v>0.67683936202868722</v>
      </c>
    </row>
    <row r="12" spans="1:4" x14ac:dyDescent="0.3">
      <c r="A12" s="41">
        <v>9</v>
      </c>
      <c r="B12" s="41">
        <f t="shared" si="1"/>
        <v>1</v>
      </c>
      <c r="C12" s="41">
        <f t="shared" si="2"/>
        <v>0.64460891621779726</v>
      </c>
      <c r="D12" s="41">
        <f t="shared" si="0"/>
        <v>0.64460891621779726</v>
      </c>
    </row>
    <row r="13" spans="1:4" x14ac:dyDescent="0.3">
      <c r="A13" s="41">
        <v>10</v>
      </c>
      <c r="B13" s="41">
        <f t="shared" si="1"/>
        <v>1</v>
      </c>
      <c r="C13" s="41">
        <f t="shared" si="2"/>
        <v>0.61391325354075932</v>
      </c>
      <c r="D13" s="41">
        <f t="shared" si="0"/>
        <v>0.61391325354075932</v>
      </c>
    </row>
    <row r="14" spans="1:4" x14ac:dyDescent="0.3">
      <c r="A14" s="41">
        <v>11</v>
      </c>
      <c r="B14" s="41">
        <f t="shared" si="1"/>
        <v>1</v>
      </c>
      <c r="C14" s="41">
        <f t="shared" si="2"/>
        <v>0.5846792890864374</v>
      </c>
      <c r="D14" s="41">
        <f t="shared" si="0"/>
        <v>0.5846792890864374</v>
      </c>
    </row>
    <row r="15" spans="1:4" x14ac:dyDescent="0.3">
      <c r="A15" s="41">
        <v>12</v>
      </c>
      <c r="B15" s="41">
        <f t="shared" si="1"/>
        <v>1</v>
      </c>
      <c r="C15" s="41">
        <f t="shared" si="2"/>
        <v>0.5568374181775595</v>
      </c>
      <c r="D15" s="41">
        <f t="shared" si="0"/>
        <v>0.5568374181775595</v>
      </c>
    </row>
    <row r="16" spans="1:4" x14ac:dyDescent="0.3">
      <c r="A16" s="41">
        <v>13</v>
      </c>
      <c r="B16" s="41">
        <f t="shared" si="1"/>
        <v>1</v>
      </c>
      <c r="C16" s="41">
        <f t="shared" si="2"/>
        <v>0.53032135064529462</v>
      </c>
      <c r="D16" s="41">
        <f t="shared" si="0"/>
        <v>0.53032135064529462</v>
      </c>
    </row>
    <row r="17" spans="1:4" x14ac:dyDescent="0.3">
      <c r="A17" s="41">
        <v>14</v>
      </c>
      <c r="B17" s="41">
        <f t="shared" si="1"/>
        <v>1</v>
      </c>
      <c r="C17" s="41">
        <f t="shared" si="2"/>
        <v>0.50506795299551888</v>
      </c>
      <c r="D17" s="41">
        <f t="shared" si="0"/>
        <v>0.50506795299551888</v>
      </c>
    </row>
    <row r="18" spans="1:4" x14ac:dyDescent="0.3">
      <c r="A18" s="41">
        <v>15</v>
      </c>
      <c r="B18" s="41">
        <f t="shared" si="1"/>
        <v>1</v>
      </c>
      <c r="C18" s="41">
        <f t="shared" si="2"/>
        <v>0.48101709809097021</v>
      </c>
      <c r="D18" s="41">
        <f t="shared" si="0"/>
        <v>0.48101709809097021</v>
      </c>
    </row>
    <row r="19" spans="1:4" x14ac:dyDescent="0.3">
      <c r="A19" s="41">
        <v>16</v>
      </c>
      <c r="B19" s="41">
        <f t="shared" si="1"/>
        <v>1</v>
      </c>
      <c r="C19" s="41">
        <f t="shared" si="2"/>
        <v>0.45811152199140021</v>
      </c>
      <c r="D19" s="41">
        <f t="shared" si="0"/>
        <v>0.45811152199140021</v>
      </c>
    </row>
    <row r="20" spans="1:4" x14ac:dyDescent="0.3">
      <c r="A20" s="41">
        <v>17</v>
      </c>
      <c r="B20" s="41">
        <f t="shared" si="1"/>
        <v>1</v>
      </c>
      <c r="C20" s="41">
        <f t="shared" si="2"/>
        <v>0.43629668761085727</v>
      </c>
      <c r="D20" s="41">
        <f t="shared" si="0"/>
        <v>0.43629668761085727</v>
      </c>
    </row>
    <row r="21" spans="1:4" x14ac:dyDescent="0.3">
      <c r="A21" s="41">
        <v>18</v>
      </c>
      <c r="B21" s="41">
        <f t="shared" si="1"/>
        <v>1</v>
      </c>
      <c r="C21" s="41">
        <f t="shared" si="2"/>
        <v>0.41552065486748313</v>
      </c>
      <c r="D21" s="41">
        <f t="shared" si="0"/>
        <v>0.41552065486748313</v>
      </c>
    </row>
    <row r="22" spans="1:4" x14ac:dyDescent="0.3">
      <c r="A22" s="41">
        <v>19</v>
      </c>
      <c r="B22" s="41">
        <f t="shared" si="1"/>
        <v>1</v>
      </c>
      <c r="C22" s="41">
        <f t="shared" si="2"/>
        <v>0.39573395701665059</v>
      </c>
      <c r="D22" s="41">
        <f t="shared" si="0"/>
        <v>0.39573395701665059</v>
      </c>
    </row>
    <row r="23" spans="1:4" x14ac:dyDescent="0.3">
      <c r="A23" s="41">
        <v>20</v>
      </c>
      <c r="B23" s="41">
        <f t="shared" si="1"/>
        <v>1</v>
      </c>
      <c r="C23" s="41">
        <f t="shared" si="2"/>
        <v>0.37688948287300061</v>
      </c>
      <c r="D23" s="41">
        <f t="shared" si="0"/>
        <v>0.37688948287300061</v>
      </c>
    </row>
    <row r="24" spans="1:4" x14ac:dyDescent="0.3">
      <c r="A24" s="41">
        <v>21</v>
      </c>
      <c r="B24" s="41">
        <f t="shared" si="1"/>
        <v>1</v>
      </c>
      <c r="C24" s="41">
        <f t="shared" si="2"/>
        <v>0.35894236464095297</v>
      </c>
      <c r="D24" s="41">
        <f t="shared" si="0"/>
        <v>0.35894236464095297</v>
      </c>
    </row>
    <row r="25" spans="1:4" x14ac:dyDescent="0.3">
      <c r="A25" s="41">
        <v>22</v>
      </c>
      <c r="B25" s="41">
        <f t="shared" si="1"/>
        <v>1</v>
      </c>
      <c r="C25" s="41">
        <f t="shared" si="2"/>
        <v>0.3418498710866219</v>
      </c>
      <c r="D25" s="41">
        <f t="shared" si="0"/>
        <v>0.3418498710866219</v>
      </c>
    </row>
    <row r="26" spans="1:4" x14ac:dyDescent="0.3">
      <c r="A26" s="41">
        <v>23</v>
      </c>
      <c r="B26" s="41">
        <f t="shared" si="1"/>
        <v>1</v>
      </c>
      <c r="C26" s="41">
        <f t="shared" si="2"/>
        <v>0.32557130579678267</v>
      </c>
      <c r="D26" s="41">
        <f t="shared" si="0"/>
        <v>0.32557130579678267</v>
      </c>
    </row>
    <row r="27" spans="1:4" x14ac:dyDescent="0.3">
      <c r="A27" s="41">
        <v>24</v>
      </c>
      <c r="B27" s="41">
        <f t="shared" si="1"/>
        <v>1</v>
      </c>
      <c r="C27" s="41">
        <f t="shared" si="2"/>
        <v>0.31006791028265024</v>
      </c>
      <c r="D27" s="41">
        <f t="shared" si="0"/>
        <v>0.31006791028265024</v>
      </c>
    </row>
    <row r="28" spans="1:4" x14ac:dyDescent="0.3">
      <c r="A28" s="41">
        <v>25</v>
      </c>
      <c r="B28" s="41">
        <f t="shared" si="1"/>
        <v>1</v>
      </c>
      <c r="C28" s="41">
        <f t="shared" si="2"/>
        <v>0.29530277169776209</v>
      </c>
      <c r="D28" s="41">
        <f t="shared" si="0"/>
        <v>0.29530277169776209</v>
      </c>
    </row>
    <row r="29" spans="1:4" x14ac:dyDescent="0.3">
      <c r="A29" s="41">
        <v>26</v>
      </c>
      <c r="B29" s="41">
        <f t="shared" si="1"/>
        <v>1</v>
      </c>
      <c r="C29" s="41">
        <f t="shared" si="2"/>
        <v>0.28124073495024959</v>
      </c>
      <c r="D29" s="41">
        <f t="shared" si="0"/>
        <v>0.28124073495024959</v>
      </c>
    </row>
    <row r="30" spans="1:4" x14ac:dyDescent="0.3">
      <c r="A30" s="41">
        <v>27</v>
      </c>
      <c r="B30" s="41">
        <f t="shared" si="1"/>
        <v>1</v>
      </c>
      <c r="C30" s="41">
        <f t="shared" si="2"/>
        <v>0.2678483190002377</v>
      </c>
      <c r="D30" s="41">
        <f t="shared" si="0"/>
        <v>0.2678483190002377</v>
      </c>
    </row>
    <row r="31" spans="1:4" x14ac:dyDescent="0.3">
      <c r="A31" s="41">
        <v>28</v>
      </c>
      <c r="B31" s="41">
        <f t="shared" si="1"/>
        <v>1</v>
      </c>
      <c r="C31" s="41">
        <f t="shared" si="2"/>
        <v>0.25509363714308358</v>
      </c>
      <c r="D31" s="41">
        <f t="shared" si="0"/>
        <v>0.25509363714308358</v>
      </c>
    </row>
    <row r="32" spans="1:4" x14ac:dyDescent="0.3">
      <c r="A32" s="41">
        <v>29</v>
      </c>
      <c r="B32" s="41">
        <f t="shared" si="1"/>
        <v>1</v>
      </c>
      <c r="C32" s="41">
        <f t="shared" si="2"/>
        <v>0.24294632108865097</v>
      </c>
      <c r="D32" s="41">
        <f t="shared" si="0"/>
        <v>0.24294632108865097</v>
      </c>
    </row>
    <row r="33" spans="1:4" x14ac:dyDescent="0.3">
      <c r="A33" s="41">
        <v>30</v>
      </c>
      <c r="B33" s="41">
        <f t="shared" si="1"/>
        <v>1</v>
      </c>
      <c r="C33" s="41">
        <f t="shared" si="2"/>
        <v>0.23137744865585813</v>
      </c>
      <c r="D33" s="41">
        <f t="shared" si="0"/>
        <v>0.23137744865585813</v>
      </c>
    </row>
    <row r="34" spans="1:4" x14ac:dyDescent="0.3">
      <c r="A34" s="41">
        <v>31</v>
      </c>
      <c r="B34" s="41">
        <f t="shared" si="1"/>
        <v>1</v>
      </c>
      <c r="C34" s="41">
        <f t="shared" si="2"/>
        <v>0.220359474910341</v>
      </c>
      <c r="D34" s="41">
        <f t="shared" si="0"/>
        <v>0.220359474910341</v>
      </c>
    </row>
    <row r="35" spans="1:4" x14ac:dyDescent="0.3">
      <c r="A35" s="41">
        <v>32</v>
      </c>
      <c r="B35" s="41">
        <f t="shared" si="1"/>
        <v>1</v>
      </c>
      <c r="C35" s="41">
        <f t="shared" si="2"/>
        <v>0.20986616658127716</v>
      </c>
      <c r="D35" s="41">
        <f t="shared" si="0"/>
        <v>0.20986616658127716</v>
      </c>
    </row>
    <row r="36" spans="1:4" x14ac:dyDescent="0.3">
      <c r="A36" s="41">
        <v>33</v>
      </c>
      <c r="B36" s="41">
        <f t="shared" si="1"/>
        <v>1</v>
      </c>
      <c r="C36" s="41">
        <f t="shared" si="2"/>
        <v>0.19987253960121634</v>
      </c>
      <c r="D36" s="41">
        <f t="shared" si="0"/>
        <v>0.19987253960121634</v>
      </c>
    </row>
    <row r="37" spans="1:4" x14ac:dyDescent="0.3">
      <c r="A37" s="41">
        <v>34</v>
      </c>
      <c r="B37" s="41">
        <f t="shared" si="1"/>
        <v>1</v>
      </c>
      <c r="C37" s="41">
        <f t="shared" si="2"/>
        <v>0.19035479962020604</v>
      </c>
      <c r="D37" s="41">
        <f t="shared" si="0"/>
        <v>0.19035479962020604</v>
      </c>
    </row>
    <row r="38" spans="1:4" x14ac:dyDescent="0.3">
      <c r="A38" s="41">
        <v>35</v>
      </c>
      <c r="B38" s="41">
        <f t="shared" si="1"/>
        <v>1</v>
      </c>
      <c r="C38" s="41">
        <f t="shared" si="2"/>
        <v>0.18129028535257716</v>
      </c>
      <c r="D38" s="41">
        <f t="shared" si="0"/>
        <v>0.18129028535257716</v>
      </c>
    </row>
    <row r="39" spans="1:4" x14ac:dyDescent="0.3">
      <c r="A39" s="41">
        <v>36</v>
      </c>
      <c r="B39" s="41">
        <f t="shared" si="1"/>
        <v>1</v>
      </c>
      <c r="C39" s="41">
        <f t="shared" si="2"/>
        <v>0.17265741462150208</v>
      </c>
      <c r="D39" s="41">
        <f t="shared" si="0"/>
        <v>0.17265741462150208</v>
      </c>
    </row>
    <row r="40" spans="1:4" x14ac:dyDescent="0.3">
      <c r="A40" s="41">
        <v>37</v>
      </c>
      <c r="B40" s="41">
        <f t="shared" si="1"/>
        <v>1</v>
      </c>
      <c r="C40" s="41">
        <f t="shared" si="2"/>
        <v>0.1644356329728591</v>
      </c>
      <c r="D40" s="41">
        <f t="shared" si="0"/>
        <v>0.1644356329728591</v>
      </c>
    </row>
    <row r="41" spans="1:4" x14ac:dyDescent="0.3">
      <c r="A41" s="41">
        <v>38</v>
      </c>
      <c r="B41" s="41">
        <f t="shared" si="1"/>
        <v>1</v>
      </c>
      <c r="C41" s="41">
        <f t="shared" si="2"/>
        <v>0.15660536473605632</v>
      </c>
      <c r="D41" s="41">
        <f t="shared" si="0"/>
        <v>0.15660536473605632</v>
      </c>
    </row>
    <row r="42" spans="1:4" x14ac:dyDescent="0.3">
      <c r="A42" s="41">
        <v>39</v>
      </c>
      <c r="B42" s="41">
        <f t="shared" si="1"/>
        <v>1</v>
      </c>
      <c r="C42" s="41">
        <f t="shared" si="2"/>
        <v>0.14914796641529171</v>
      </c>
      <c r="D42" s="41">
        <f t="shared" si="0"/>
        <v>0.14914796641529171</v>
      </c>
    </row>
    <row r="43" spans="1:4" x14ac:dyDescent="0.3">
      <c r="A43" s="41">
        <v>40</v>
      </c>
      <c r="B43" s="41">
        <f t="shared" si="1"/>
        <v>1</v>
      </c>
      <c r="C43" s="41">
        <f t="shared" si="2"/>
        <v>0.14204568230027784</v>
      </c>
      <c r="D43" s="41">
        <f t="shared" si="0"/>
        <v>0.14204568230027784</v>
      </c>
    </row>
    <row r="44" spans="1:4" x14ac:dyDescent="0.3">
      <c r="A44" s="41">
        <v>41</v>
      </c>
      <c r="B44" s="41">
        <f t="shared" si="1"/>
        <v>1</v>
      </c>
      <c r="C44" s="41">
        <f t="shared" si="2"/>
        <v>0.13528160219074079</v>
      </c>
      <c r="D44" s="41">
        <f t="shared" si="0"/>
        <v>0.13528160219074079</v>
      </c>
    </row>
    <row r="45" spans="1:4" x14ac:dyDescent="0.3">
      <c r="A45" s="41">
        <v>42</v>
      </c>
      <c r="B45" s="41">
        <f t="shared" si="1"/>
        <v>1</v>
      </c>
      <c r="C45" s="41">
        <f t="shared" si="2"/>
        <v>0.12883962113403885</v>
      </c>
      <c r="D45" s="41">
        <f t="shared" si="0"/>
        <v>0.12883962113403885</v>
      </c>
    </row>
    <row r="46" spans="1:4" x14ac:dyDescent="0.3">
      <c r="A46" s="41">
        <v>43</v>
      </c>
      <c r="B46" s="41">
        <f t="shared" si="1"/>
        <v>1</v>
      </c>
      <c r="C46" s="41">
        <f t="shared" si="2"/>
        <v>0.12270440108003698</v>
      </c>
      <c r="D46" s="41">
        <f t="shared" si="0"/>
        <v>0.12270440108003698</v>
      </c>
    </row>
    <row r="47" spans="1:4" x14ac:dyDescent="0.3">
      <c r="A47" s="41">
        <v>44</v>
      </c>
      <c r="B47" s="41">
        <f t="shared" si="1"/>
        <v>1</v>
      </c>
      <c r="C47" s="41">
        <f t="shared" si="2"/>
        <v>0.11686133436193999</v>
      </c>
      <c r="D47" s="41">
        <f t="shared" si="0"/>
        <v>0.11686133436193999</v>
      </c>
    </row>
    <row r="48" spans="1:4" x14ac:dyDescent="0.3">
      <c r="A48" s="41">
        <v>45</v>
      </c>
      <c r="B48" s="41">
        <f t="shared" si="1"/>
        <v>1</v>
      </c>
      <c r="C48" s="41">
        <f t="shared" si="2"/>
        <v>0.1112965089161333</v>
      </c>
      <c r="D48" s="41">
        <f t="shared" si="0"/>
        <v>0.1112965089161333</v>
      </c>
    </row>
    <row r="49" spans="1:4" x14ac:dyDescent="0.3">
      <c r="A49" s="41">
        <v>46</v>
      </c>
      <c r="B49" s="41">
        <f t="shared" si="1"/>
        <v>1</v>
      </c>
      <c r="C49" s="41">
        <f t="shared" si="2"/>
        <v>0.10599667515822221</v>
      </c>
      <c r="D49" s="41">
        <f t="shared" si="0"/>
        <v>0.10599667515822221</v>
      </c>
    </row>
    <row r="50" spans="1:4" x14ac:dyDescent="0.3">
      <c r="A50" s="41">
        <v>47</v>
      </c>
      <c r="B50" s="41">
        <f t="shared" si="1"/>
        <v>1</v>
      </c>
      <c r="C50" s="41">
        <f t="shared" si="2"/>
        <v>0.10094921443640208</v>
      </c>
      <c r="D50" s="41">
        <f t="shared" si="0"/>
        <v>0.10094921443640208</v>
      </c>
    </row>
    <row r="51" spans="1:4" x14ac:dyDescent="0.3">
      <c r="A51" s="41">
        <v>48</v>
      </c>
      <c r="B51" s="41">
        <f t="shared" si="1"/>
        <v>1</v>
      </c>
      <c r="C51" s="41">
        <f t="shared" si="2"/>
        <v>9.6142108987049613E-2</v>
      </c>
      <c r="D51" s="41">
        <f t="shared" si="0"/>
        <v>9.6142108987049613E-2</v>
      </c>
    </row>
    <row r="52" spans="1:4" x14ac:dyDescent="0.3">
      <c r="A52" s="41">
        <v>49</v>
      </c>
      <c r="B52" s="41">
        <f t="shared" si="1"/>
        <v>1</v>
      </c>
      <c r="C52" s="41">
        <f t="shared" si="2"/>
        <v>9.1563913320999626E-2</v>
      </c>
      <c r="D52" s="41">
        <f t="shared" si="0"/>
        <v>9.1563913320999626E-2</v>
      </c>
    </row>
    <row r="53" spans="1:4" x14ac:dyDescent="0.3">
      <c r="A53" s="41">
        <v>50</v>
      </c>
      <c r="B53" s="41">
        <f t="shared" si="1"/>
        <v>1</v>
      </c>
      <c r="C53" s="41">
        <f t="shared" si="2"/>
        <v>8.7203726972380588E-2</v>
      </c>
      <c r="D53" s="41">
        <f t="shared" si="0"/>
        <v>8.7203726972380588E-2</v>
      </c>
    </row>
    <row r="54" spans="1:4" x14ac:dyDescent="0.3">
      <c r="A54" s="41">
        <v>51</v>
      </c>
      <c r="B54" s="41">
        <f t="shared" si="1"/>
        <v>1</v>
      </c>
      <c r="C54" s="41">
        <f t="shared" si="2"/>
        <v>8.3051168545124371E-2</v>
      </c>
      <c r="D54" s="41">
        <f t="shared" si="0"/>
        <v>8.3051168545124371E-2</v>
      </c>
    </row>
    <row r="55" spans="1:4" x14ac:dyDescent="0.3">
      <c r="A55" s="41">
        <v>52</v>
      </c>
      <c r="B55" s="41">
        <f t="shared" si="1"/>
        <v>1</v>
      </c>
      <c r="C55" s="41">
        <f t="shared" si="2"/>
        <v>7.9096350995356543E-2</v>
      </c>
      <c r="D55" s="41">
        <f t="shared" si="0"/>
        <v>7.9096350995356543E-2</v>
      </c>
    </row>
    <row r="56" spans="1:4" x14ac:dyDescent="0.3">
      <c r="A56" s="41">
        <v>53</v>
      </c>
      <c r="B56" s="41">
        <f t="shared" si="1"/>
        <v>1</v>
      </c>
      <c r="C56" s="41">
        <f t="shared" si="2"/>
        <v>7.5329858090815757E-2</v>
      </c>
      <c r="D56" s="41">
        <f t="shared" si="0"/>
        <v>7.5329858090815757E-2</v>
      </c>
    </row>
    <row r="57" spans="1:4" x14ac:dyDescent="0.3">
      <c r="A57" s="41">
        <v>54</v>
      </c>
      <c r="B57" s="41">
        <f t="shared" si="1"/>
        <v>1</v>
      </c>
      <c r="C57" s="41">
        <f t="shared" si="2"/>
        <v>7.1742721991253117E-2</v>
      </c>
      <c r="D57" s="41">
        <f t="shared" si="0"/>
        <v>7.1742721991253117E-2</v>
      </c>
    </row>
    <row r="58" spans="1:4" x14ac:dyDescent="0.3">
      <c r="A58" s="41">
        <v>55</v>
      </c>
      <c r="B58" s="41">
        <f t="shared" si="1"/>
        <v>1</v>
      </c>
      <c r="C58" s="41">
        <f t="shared" si="2"/>
        <v>6.8326401896431521E-2</v>
      </c>
      <c r="D58" s="41">
        <f t="shared" si="0"/>
        <v>6.8326401896431521E-2</v>
      </c>
    </row>
    <row r="59" spans="1:4" x14ac:dyDescent="0.3">
      <c r="A59" s="41">
        <v>56</v>
      </c>
      <c r="B59" s="41">
        <f t="shared" si="1"/>
        <v>1</v>
      </c>
      <c r="C59" s="41">
        <f t="shared" si="2"/>
        <v>6.5072763710887174E-2</v>
      </c>
      <c r="D59" s="41">
        <f t="shared" si="0"/>
        <v>6.5072763710887174E-2</v>
      </c>
    </row>
    <row r="60" spans="1:4" x14ac:dyDescent="0.3">
      <c r="A60" s="41">
        <v>57</v>
      </c>
      <c r="B60" s="41">
        <f t="shared" si="1"/>
        <v>1</v>
      </c>
      <c r="C60" s="41">
        <f t="shared" si="2"/>
        <v>6.1974060677035397E-2</v>
      </c>
      <c r="D60" s="41">
        <f t="shared" si="0"/>
        <v>6.1974060677035397E-2</v>
      </c>
    </row>
    <row r="61" spans="1:4" x14ac:dyDescent="0.3">
      <c r="A61" s="41">
        <v>58</v>
      </c>
      <c r="B61" s="41">
        <f t="shared" si="1"/>
        <v>1</v>
      </c>
      <c r="C61" s="41">
        <f t="shared" si="2"/>
        <v>5.9022914930509894E-2</v>
      </c>
      <c r="D61" s="41">
        <f t="shared" si="0"/>
        <v>5.9022914930509894E-2</v>
      </c>
    </row>
    <row r="62" spans="1:4" x14ac:dyDescent="0.3">
      <c r="A62" s="41">
        <v>59</v>
      </c>
      <c r="B62" s="41">
        <f t="shared" si="1"/>
        <v>1</v>
      </c>
      <c r="C62" s="41">
        <f t="shared" si="2"/>
        <v>5.6212299933818946E-2</v>
      </c>
      <c r="D62" s="41">
        <f t="shared" si="0"/>
        <v>5.6212299933818946E-2</v>
      </c>
    </row>
    <row r="63" spans="1:4" x14ac:dyDescent="0.3">
      <c r="A63" s="41">
        <v>60</v>
      </c>
      <c r="B63" s="41">
        <f t="shared" si="1"/>
        <v>1</v>
      </c>
      <c r="C63" s="41">
        <f t="shared" si="2"/>
        <v>5.3535523746494243E-2</v>
      </c>
      <c r="D63" s="41">
        <f t="shared" si="0"/>
        <v>5.3535523746494243E-2</v>
      </c>
    </row>
    <row r="64" spans="1:4" x14ac:dyDescent="0.3">
      <c r="A64" s="41">
        <v>61</v>
      </c>
      <c r="B64" s="41">
        <f t="shared" si="1"/>
        <v>1</v>
      </c>
      <c r="C64" s="41">
        <f t="shared" si="2"/>
        <v>5.0986213091899268E-2</v>
      </c>
      <c r="D64" s="41">
        <f t="shared" si="0"/>
        <v>5.0986213091899268E-2</v>
      </c>
    </row>
    <row r="65" spans="1:4" x14ac:dyDescent="0.3">
      <c r="A65" s="41">
        <v>62</v>
      </c>
      <c r="B65" s="41">
        <f t="shared" si="1"/>
        <v>1</v>
      </c>
      <c r="C65" s="41">
        <f t="shared" si="2"/>
        <v>4.855829818276123E-2</v>
      </c>
      <c r="D65" s="41">
        <f t="shared" si="0"/>
        <v>4.855829818276123E-2</v>
      </c>
    </row>
    <row r="66" spans="1:4" x14ac:dyDescent="0.3">
      <c r="A66" s="41">
        <v>63</v>
      </c>
      <c r="B66" s="41">
        <f t="shared" si="1"/>
        <v>1</v>
      </c>
      <c r="C66" s="41">
        <f t="shared" si="2"/>
        <v>4.6245998269296387E-2</v>
      </c>
      <c r="D66" s="41">
        <f t="shared" si="0"/>
        <v>4.6245998269296387E-2</v>
      </c>
    </row>
    <row r="67" spans="1:4" x14ac:dyDescent="0.3">
      <c r="A67" s="41">
        <v>64</v>
      </c>
      <c r="B67" s="41">
        <f t="shared" si="1"/>
        <v>1</v>
      </c>
      <c r="C67" s="41">
        <f t="shared" si="2"/>
        <v>4.4043807875520369E-2</v>
      </c>
      <c r="D67" s="41">
        <f t="shared" si="0"/>
        <v>4.4043807875520369E-2</v>
      </c>
    </row>
    <row r="68" spans="1:4" x14ac:dyDescent="0.3">
      <c r="A68" s="41">
        <v>65</v>
      </c>
      <c r="B68" s="41">
        <f t="shared" si="1"/>
        <v>1</v>
      </c>
      <c r="C68" s="41">
        <f t="shared" si="2"/>
        <v>4.1946483690971779E-2</v>
      </c>
      <c r="D68" s="41">
        <f t="shared" ref="D68:D69" si="3">C68*B68</f>
        <v>4.1946483690971779E-2</v>
      </c>
    </row>
    <row r="69" spans="1:4" x14ac:dyDescent="0.3">
      <c r="A69" s="41">
        <v>65.5</v>
      </c>
      <c r="B69" s="41">
        <f t="shared" ref="B69" si="4">A69-A68</f>
        <v>0.5</v>
      </c>
      <c r="C69" s="41">
        <f t="shared" ref="C69" si="5">1/(1+0.05)^A69</f>
        <v>4.0935576493953726E-2</v>
      </c>
      <c r="D69" s="41">
        <f t="shared" si="3"/>
        <v>2.0467788246976863E-2</v>
      </c>
    </row>
    <row r="71" spans="1:4" x14ac:dyDescent="0.3">
      <c r="D71">
        <f>SUM(D3:D69)</f>
        <v>19.181538114427529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263</vt:i4>
      </vt:variant>
    </vt:vector>
  </HeadingPairs>
  <TitlesOfParts>
    <vt:vector size="284" baseType="lpstr">
      <vt:lpstr>Search terms</vt:lpstr>
      <vt:lpstr>Management protocol</vt:lpstr>
      <vt:lpstr>PSG tree figure</vt:lpstr>
      <vt:lpstr>Comparator tree figure</vt:lpstr>
      <vt:lpstr>Demographics</vt:lpstr>
      <vt:lpstr>Cost</vt:lpstr>
      <vt:lpstr>Utilities</vt:lpstr>
      <vt:lpstr>DALYs</vt:lpstr>
      <vt:lpstr>DALY - SB</vt:lpstr>
      <vt:lpstr>DALY - CLD</vt:lpstr>
      <vt:lpstr>DALY - motor impairement</vt:lpstr>
      <vt:lpstr>Base case probabilities</vt:lpstr>
      <vt:lpstr>Parameters</vt:lpstr>
      <vt:lpstr>(A) Grant and ANC coverage</vt:lpstr>
      <vt:lpstr>(B) Preterm</vt:lpstr>
      <vt:lpstr>(C) LBW</vt:lpstr>
      <vt:lpstr>(D) RDS, NEC, Sepsis</vt:lpstr>
      <vt:lpstr>DT1</vt:lpstr>
      <vt:lpstr>Decision tree</vt:lpstr>
      <vt:lpstr>Analysis</vt:lpstr>
      <vt:lpstr>Output</vt:lpstr>
      <vt:lpstr>Adult_births</vt:lpstr>
      <vt:lpstr>AGA_prem_2d_1</vt:lpstr>
      <vt:lpstr>AGA_prem_2d_2</vt:lpstr>
      <vt:lpstr>AGA_prem_2d_3</vt:lpstr>
      <vt:lpstr>AGA_prem_2d_4</vt:lpstr>
      <vt:lpstr>AGA_prem_2hypoglycaemia_1</vt:lpstr>
      <vt:lpstr>AGA_prem_2hypoglycaemia_2</vt:lpstr>
      <vt:lpstr>AGA_prem_2hypoglycaemia_3</vt:lpstr>
      <vt:lpstr>AGA_prem_2hypoglycaemia_4</vt:lpstr>
      <vt:lpstr>AGA_prem_2normoglycaemia_1</vt:lpstr>
      <vt:lpstr>AGA_prem_2normoglycaemia_2</vt:lpstr>
      <vt:lpstr>AGA_prem_2normoglycaemia_3</vt:lpstr>
      <vt:lpstr>AGA_prem_2normoglycaemia_4</vt:lpstr>
      <vt:lpstr>AGA_prem_2s_1</vt:lpstr>
      <vt:lpstr>AGA_prem_2s_2</vt:lpstr>
      <vt:lpstr>AGA_prem_2s_3</vt:lpstr>
      <vt:lpstr>AGA_prem_2s_4</vt:lpstr>
      <vt:lpstr>AGA_term_2d_1</vt:lpstr>
      <vt:lpstr>AGA_term_2d_2</vt:lpstr>
      <vt:lpstr>AGA_term_2d_3</vt:lpstr>
      <vt:lpstr>AGA_term_2d_4</vt:lpstr>
      <vt:lpstr>AGA_term_2hypoglycaemia_1</vt:lpstr>
      <vt:lpstr>AGA_term_2hypoglycaemia_2</vt:lpstr>
      <vt:lpstr>AGA_term_2hypoglycaemia_3</vt:lpstr>
      <vt:lpstr>AGA_term_2hypoglycaemia_4</vt:lpstr>
      <vt:lpstr>AGA_term_2normoglycaemia_1</vt:lpstr>
      <vt:lpstr>AGA_term_2normoglycaemia_2</vt:lpstr>
      <vt:lpstr>AGA_term_2normoglycaemia_3</vt:lpstr>
      <vt:lpstr>AGA_term_2normoglycaemia_4</vt:lpstr>
      <vt:lpstr>AGA_term_2s_1</vt:lpstr>
      <vt:lpstr>AGA_term_2s_2</vt:lpstr>
      <vt:lpstr>AGA_term_2s_3</vt:lpstr>
      <vt:lpstr>AGA_term_2s_4</vt:lpstr>
      <vt:lpstr>ANC_cost</vt:lpstr>
      <vt:lpstr>ANC_first_visit</vt:lpstr>
      <vt:lpstr>ANC_first_visit_coverage_rate</vt:lpstr>
      <vt:lpstr>ANC2LB_1</vt:lpstr>
      <vt:lpstr>ANC2LB_3</vt:lpstr>
      <vt:lpstr>ANC2prem_1</vt:lpstr>
      <vt:lpstr>ANC2SB_1</vt:lpstr>
      <vt:lpstr>ANC2SB_3</vt:lpstr>
      <vt:lpstr>ANC2term_1</vt:lpstr>
      <vt:lpstr>Arm_1</vt:lpstr>
      <vt:lpstr>Arm_2</vt:lpstr>
      <vt:lpstr>Arm_3</vt:lpstr>
      <vt:lpstr>Arm_4</vt:lpstr>
      <vt:lpstr>Average_life_expectancy_at_birth</vt:lpstr>
      <vt:lpstr>c_1year</vt:lpstr>
      <vt:lpstr>c_2years</vt:lpstr>
      <vt:lpstr>c_ANC</vt:lpstr>
      <vt:lpstr>c_clinic_fu</vt:lpstr>
      <vt:lpstr>c_cog</vt:lpstr>
      <vt:lpstr>c_CSG</vt:lpstr>
      <vt:lpstr>c_grant</vt:lpstr>
      <vt:lpstr>c_hosp_fu</vt:lpstr>
      <vt:lpstr>c_hypo</vt:lpstr>
      <vt:lpstr>c_LBW</vt:lpstr>
      <vt:lpstr>c_lung</vt:lpstr>
      <vt:lpstr>c_NICU_NBW</vt:lpstr>
      <vt:lpstr>c_prem</vt:lpstr>
      <vt:lpstr>c_RDS</vt:lpstr>
      <vt:lpstr>c_SB</vt:lpstr>
      <vt:lpstr>Children_receiving_CSG</vt:lpstr>
      <vt:lpstr>ChronicResp_cost</vt:lpstr>
      <vt:lpstr>Cognitive_impairement_cost</vt:lpstr>
      <vt:lpstr>Comparator_probabilities</vt:lpstr>
      <vt:lpstr>DR</vt:lpstr>
      <vt:lpstr>e_ANC</vt:lpstr>
      <vt:lpstr>e_LBW</vt:lpstr>
      <vt:lpstr>e_mortality</vt:lpstr>
      <vt:lpstr>e_preterm</vt:lpstr>
      <vt:lpstr>e_preterm_PSG</vt:lpstr>
      <vt:lpstr>e_SGA</vt:lpstr>
      <vt:lpstr>Female_life_expectancy_at_birth</vt:lpstr>
      <vt:lpstr>Female_population</vt:lpstr>
      <vt:lpstr>follow_up__clinic__cost</vt:lpstr>
      <vt:lpstr>follow_up__hosp__cost</vt:lpstr>
      <vt:lpstr>G2ANC</vt:lpstr>
      <vt:lpstr>G2noANC</vt:lpstr>
      <vt:lpstr>Grant_cost</vt:lpstr>
      <vt:lpstr>Hypo2CI_1</vt:lpstr>
      <vt:lpstr>Hypo2CI_2</vt:lpstr>
      <vt:lpstr>Hypo2CI_3</vt:lpstr>
      <vt:lpstr>Hypo2CI_4</vt:lpstr>
      <vt:lpstr>Hypo2cog_1</vt:lpstr>
      <vt:lpstr>Hypo2noCI_1</vt:lpstr>
      <vt:lpstr>Hypo2noCI_2</vt:lpstr>
      <vt:lpstr>Hypo2noCI_3</vt:lpstr>
      <vt:lpstr>Hypo2noCI_4</vt:lpstr>
      <vt:lpstr>Hypo2norm_1</vt:lpstr>
      <vt:lpstr>Hypoglycaemia_cost</vt:lpstr>
      <vt:lpstr>LB2prem_1</vt:lpstr>
      <vt:lpstr>LB2prem_2</vt:lpstr>
      <vt:lpstr>LB2prem_3</vt:lpstr>
      <vt:lpstr>LB2prem_4</vt:lpstr>
      <vt:lpstr>LB2term_1</vt:lpstr>
      <vt:lpstr>LB2term_2</vt:lpstr>
      <vt:lpstr>LB2term_3</vt:lpstr>
      <vt:lpstr>LB2term_4</vt:lpstr>
      <vt:lpstr>LBW_cost</vt:lpstr>
      <vt:lpstr>LBW_prem_2AGA_1</vt:lpstr>
      <vt:lpstr>LBW_prem_2AGA_2</vt:lpstr>
      <vt:lpstr>LBW_prem_2AGA_3</vt:lpstr>
      <vt:lpstr>LBW_prem_2AGA_4</vt:lpstr>
      <vt:lpstr>LBW_prem_2SGA_1</vt:lpstr>
      <vt:lpstr>LBW_prem_2SGA_2</vt:lpstr>
      <vt:lpstr>LBW_prem_2SGA_3</vt:lpstr>
      <vt:lpstr>LBW_prem_2SGA_4</vt:lpstr>
      <vt:lpstr>LBW_term_2AGA_1</vt:lpstr>
      <vt:lpstr>LBW_term_2AGA_2</vt:lpstr>
      <vt:lpstr>LBW_term_2AGA_3</vt:lpstr>
      <vt:lpstr>LBW_term_2AGA_4</vt:lpstr>
      <vt:lpstr>LBW_term_2SGA_1</vt:lpstr>
      <vt:lpstr>LBW_term_2SGA_2</vt:lpstr>
      <vt:lpstr>LBW_term_2SGA_3</vt:lpstr>
      <vt:lpstr>LBW_term_2SGA_4</vt:lpstr>
      <vt:lpstr>LBW2d_1</vt:lpstr>
      <vt:lpstr>LBW2d_2</vt:lpstr>
      <vt:lpstr>LBW2norm_1</vt:lpstr>
      <vt:lpstr>LBW2norm_2</vt:lpstr>
      <vt:lpstr>LBW2RDS_1</vt:lpstr>
      <vt:lpstr>LBW2RDS_2</vt:lpstr>
      <vt:lpstr>Male_life_expectancy_at_birth</vt:lpstr>
      <vt:lpstr>NBW_prem_2AGA_1</vt:lpstr>
      <vt:lpstr>NBW_prem_2AGA_2</vt:lpstr>
      <vt:lpstr>NBW_prem_2AGA_3</vt:lpstr>
      <vt:lpstr>NBW_prem_2AGA_4</vt:lpstr>
      <vt:lpstr>NBW_prem_2SGA_1</vt:lpstr>
      <vt:lpstr>NBW_prem_2SGA_2</vt:lpstr>
      <vt:lpstr>NBW_prem_2SGA_3</vt:lpstr>
      <vt:lpstr>NBW_prem_2SGA_4</vt:lpstr>
      <vt:lpstr>NBW_term_2AGA_1</vt:lpstr>
      <vt:lpstr>NBW_term_2AGA_2</vt:lpstr>
      <vt:lpstr>NBW_term_2AGA_3</vt:lpstr>
      <vt:lpstr>NBW_term_2AGA_4</vt:lpstr>
      <vt:lpstr>NBW_term_2SGA_1</vt:lpstr>
      <vt:lpstr>NBW_term_2SGA_2</vt:lpstr>
      <vt:lpstr>NBW_term_2SGA_3</vt:lpstr>
      <vt:lpstr>NBW_term_2SGA_4</vt:lpstr>
      <vt:lpstr>No_ANC_rate</vt:lpstr>
      <vt:lpstr>NoANC2LB_2</vt:lpstr>
      <vt:lpstr>NoANC2LB_4</vt:lpstr>
      <vt:lpstr>NoANC2prem_2</vt:lpstr>
      <vt:lpstr>NoANC2SB_2</vt:lpstr>
      <vt:lpstr>NoANC2SB_4</vt:lpstr>
      <vt:lpstr>NoANC2term_2</vt:lpstr>
      <vt:lpstr>NoG2ANC</vt:lpstr>
      <vt:lpstr>NoG2noANC</vt:lpstr>
      <vt:lpstr>noHypo2CI_1</vt:lpstr>
      <vt:lpstr>noHypo2CI_2</vt:lpstr>
      <vt:lpstr>noHypo2CI_3</vt:lpstr>
      <vt:lpstr>noHypo2CI_4</vt:lpstr>
      <vt:lpstr>noHypo2noCI_1</vt:lpstr>
      <vt:lpstr>noHypo2noCI_2</vt:lpstr>
      <vt:lpstr>noHypo2noCI_3</vt:lpstr>
      <vt:lpstr>noHypo2noCI_4</vt:lpstr>
      <vt:lpstr>noRDS2CLD_1</vt:lpstr>
      <vt:lpstr>noRDS2CLD_2</vt:lpstr>
      <vt:lpstr>noRDS2CLD_3</vt:lpstr>
      <vt:lpstr>noRDS2CLD_4</vt:lpstr>
      <vt:lpstr>noRDS2noCLD_1</vt:lpstr>
      <vt:lpstr>noRDS2noCLD_2</vt:lpstr>
      <vt:lpstr>noRDS2noCLD_3</vt:lpstr>
      <vt:lpstr>noRDS2noCLD_4</vt:lpstr>
      <vt:lpstr>Population</vt:lpstr>
      <vt:lpstr>Prem2LBW_1</vt:lpstr>
      <vt:lpstr>Prem2LBW_2</vt:lpstr>
      <vt:lpstr>Prem2LBW_3</vt:lpstr>
      <vt:lpstr>Prem2LBW_4</vt:lpstr>
      <vt:lpstr>Prem2NBW_1</vt:lpstr>
      <vt:lpstr>Prem2NBW_2</vt:lpstr>
      <vt:lpstr>Prem2NBW_3</vt:lpstr>
      <vt:lpstr>Prem2NBW_4</vt:lpstr>
      <vt:lpstr>Prem2norm_1</vt:lpstr>
      <vt:lpstr>Prem2norm_2</vt:lpstr>
      <vt:lpstr>Preterm_cost</vt:lpstr>
      <vt:lpstr>RDS_cost</vt:lpstr>
      <vt:lpstr>RDS2CLD_1</vt:lpstr>
      <vt:lpstr>RDS2CLD_2</vt:lpstr>
      <vt:lpstr>RDS2CLD_3</vt:lpstr>
      <vt:lpstr>RDS2CLD_4</vt:lpstr>
      <vt:lpstr>RDS2lung_1</vt:lpstr>
      <vt:lpstr>RDS2lung_2</vt:lpstr>
      <vt:lpstr>RDS2noCLD_1</vt:lpstr>
      <vt:lpstr>RDS2noCLD_2</vt:lpstr>
      <vt:lpstr>RDS2noCLD_3</vt:lpstr>
      <vt:lpstr>RDS2noCLD_4</vt:lpstr>
      <vt:lpstr>RDS2norm_1</vt:lpstr>
      <vt:lpstr>RDS2norm_2</vt:lpstr>
      <vt:lpstr>S_prem_2noRDS_1</vt:lpstr>
      <vt:lpstr>S_prem_2noRDS_2</vt:lpstr>
      <vt:lpstr>S_prem_2noRDS_3</vt:lpstr>
      <vt:lpstr>S_prem_2noRDS_4</vt:lpstr>
      <vt:lpstr>S_prem_2RDS_1</vt:lpstr>
      <vt:lpstr>S_prem_2RDS_2</vt:lpstr>
      <vt:lpstr>S_prem_2RDS_3</vt:lpstr>
      <vt:lpstr>S_prem_2RDS_4</vt:lpstr>
      <vt:lpstr>S_term_2noRDS_1</vt:lpstr>
      <vt:lpstr>S_term_2noRDS_2</vt:lpstr>
      <vt:lpstr>S_term_2noRDS_3</vt:lpstr>
      <vt:lpstr>S_term_2noRDS_4</vt:lpstr>
      <vt:lpstr>S_term_2RDS_1</vt:lpstr>
      <vt:lpstr>S_term_2RDS_2</vt:lpstr>
      <vt:lpstr>S_term_2RDS_3</vt:lpstr>
      <vt:lpstr>S_term_2RDS_4</vt:lpstr>
      <vt:lpstr>SGA_prem_2d_1</vt:lpstr>
      <vt:lpstr>SGA_prem_2d_2</vt:lpstr>
      <vt:lpstr>SGA_prem_2d_3</vt:lpstr>
      <vt:lpstr>SGA_prem_2d_4</vt:lpstr>
      <vt:lpstr>SGA_prem_2hypoglycaemia_1</vt:lpstr>
      <vt:lpstr>SGA_prem_2hypoglycaemia_2</vt:lpstr>
      <vt:lpstr>SGA_prem_2hypoglycaemia_3</vt:lpstr>
      <vt:lpstr>SGA_prem_2hypoglycaemia_4</vt:lpstr>
      <vt:lpstr>SGA_prem_2normoglycaemia_1</vt:lpstr>
      <vt:lpstr>SGA_prem_2normoglycaemia_2</vt:lpstr>
      <vt:lpstr>SGA_prem_2normoglycaemia_3</vt:lpstr>
      <vt:lpstr>SGA_prem_2normoglycaemia_4</vt:lpstr>
      <vt:lpstr>SGA_prem_2s_1</vt:lpstr>
      <vt:lpstr>SGA_prem_2s_2</vt:lpstr>
      <vt:lpstr>SGA_prem_2s_3</vt:lpstr>
      <vt:lpstr>SGA_prem_2s_4</vt:lpstr>
      <vt:lpstr>SGA_term_2d_1</vt:lpstr>
      <vt:lpstr>SGA_term_2d_2</vt:lpstr>
      <vt:lpstr>SGA_term_2d_3</vt:lpstr>
      <vt:lpstr>SGA_term_2d_4</vt:lpstr>
      <vt:lpstr>SGA_term_2hypoglycaemia_1</vt:lpstr>
      <vt:lpstr>SGA_term_2hypoglycaemia_2</vt:lpstr>
      <vt:lpstr>SGA_term_2hypoglycaemia_3</vt:lpstr>
      <vt:lpstr>SGA_term_2hypoglycaemia_4</vt:lpstr>
      <vt:lpstr>SGA_term_2normoglycaemia_1</vt:lpstr>
      <vt:lpstr>SGA_term_2normoglycaemia_2</vt:lpstr>
      <vt:lpstr>SGA_term_2normoglycaemia_3</vt:lpstr>
      <vt:lpstr>SGA_term_2normoglycaemia_4</vt:lpstr>
      <vt:lpstr>SGA_term_2s_1</vt:lpstr>
      <vt:lpstr>SGA_term_2s_2</vt:lpstr>
      <vt:lpstr>SGA_term_2s_3</vt:lpstr>
      <vt:lpstr>SGA_term_2s_4</vt:lpstr>
      <vt:lpstr>SGA2hypo_1</vt:lpstr>
      <vt:lpstr>SGA2hypo_2</vt:lpstr>
      <vt:lpstr>SGA2norm_1</vt:lpstr>
      <vt:lpstr>SGA2norm_2</vt:lpstr>
      <vt:lpstr>Teen_births</vt:lpstr>
      <vt:lpstr>Term2LBW_1</vt:lpstr>
      <vt:lpstr>Term2LBW_2</vt:lpstr>
      <vt:lpstr>Term2LBW_3</vt:lpstr>
      <vt:lpstr>Term2LBW_4</vt:lpstr>
      <vt:lpstr>Term2NBW_1</vt:lpstr>
      <vt:lpstr>Term2NBW_2</vt:lpstr>
      <vt:lpstr>Term2NBW_3</vt:lpstr>
      <vt:lpstr>Term2NBW_4</vt:lpstr>
      <vt:lpstr>Term2norm_1</vt:lpstr>
      <vt:lpstr>Term2norm_2</vt:lpstr>
      <vt:lpstr>Term2sb_1</vt:lpstr>
      <vt:lpstr>Term2sb_2</vt:lpstr>
      <vt:lpstr>Term2SGA_1</vt:lpstr>
      <vt:lpstr>Term2SGA_2</vt:lpstr>
      <vt:lpstr>Total_births</vt:lpstr>
      <vt:lpstr>Total_pregnancies</vt:lpstr>
      <vt:lpstr>u_ChronicResp</vt:lpstr>
      <vt:lpstr>u_CongnitiveImpairement</vt:lpstr>
      <vt:lpstr>u_Death</vt:lpstr>
      <vt:lpstr>u_Healthy</vt:lpstr>
      <vt:lpstr>u_parental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Winfrida Mdewa</dc:creator>
  <cp:lastModifiedBy>Ciaran Navin Kohli-Lynch</cp:lastModifiedBy>
  <dcterms:created xsi:type="dcterms:W3CDTF">2021-07-04T06:24:30Z</dcterms:created>
  <dcterms:modified xsi:type="dcterms:W3CDTF">2022-07-22T14:29:47Z</dcterms:modified>
</cp:coreProperties>
</file>