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llege fund management\"/>
    </mc:Choice>
  </mc:AlternateContent>
  <bookViews>
    <workbookView xWindow="0" yWindow="0" windowWidth="20340" windowHeight="6900"/>
  </bookViews>
  <sheets>
    <sheet name="Donor" sheetId="1" r:id="rId1"/>
    <sheet name="Gift" sheetId="2" r:id="rId2"/>
    <sheet name="Gift_Fund_Map" sheetId="3" r:id="rId3"/>
    <sheet name="Department" sheetId="4" r:id="rId4"/>
    <sheet name="Fund" sheetId="5" r:id="rId5"/>
    <sheet name="Term" sheetId="6" r:id="rId6"/>
    <sheet name="Purpose" sheetId="7" r:id="rId7"/>
    <sheet name="Lookup Tables" sheetId="8" r:id="rId8"/>
    <sheet name="Asset Management Company" sheetId="9" r:id="rId9"/>
    <sheet name="Fund_Allocation" sheetId="10" r:id="rId10"/>
    <sheet name="Fund_Returns" sheetId="11" r:id="rId11"/>
    <sheet name="Fund_value_History" sheetId="12" r:id="rId12"/>
    <sheet name="Fund_sector" sheetId="13" r:id="rId13"/>
    <sheet name="Fund_Disbursement" sheetId="14" r:id="rId14"/>
  </sheets>
  <calcPr calcId="152511"/>
</workbook>
</file>

<file path=xl/calcChain.xml><?xml version="1.0" encoding="utf-8"?>
<calcChain xmlns="http://schemas.openxmlformats.org/spreadsheetml/2006/main">
  <c r="E39" i="14" l="1"/>
  <c r="B39" i="14"/>
  <c r="E38" i="14"/>
  <c r="B38" i="14"/>
  <c r="E37" i="14"/>
  <c r="B37" i="14"/>
  <c r="E36" i="14"/>
  <c r="B36" i="14"/>
  <c r="E35" i="14"/>
  <c r="B35" i="14"/>
  <c r="E34" i="14"/>
  <c r="B34" i="14"/>
  <c r="E33" i="14"/>
  <c r="B33" i="14"/>
  <c r="E32" i="14"/>
  <c r="B32" i="14"/>
  <c r="E31" i="14"/>
  <c r="B31" i="14"/>
  <c r="E30" i="14"/>
  <c r="B30" i="14"/>
  <c r="E29" i="14"/>
  <c r="B29" i="14"/>
  <c r="E28" i="14"/>
  <c r="B28" i="14"/>
  <c r="E27" i="14"/>
  <c r="B27" i="14"/>
  <c r="E26" i="14"/>
  <c r="B26" i="14"/>
  <c r="E25" i="14"/>
  <c r="B25" i="14"/>
  <c r="E24" i="14"/>
  <c r="B24" i="14"/>
  <c r="E23" i="14"/>
  <c r="B23" i="14"/>
  <c r="E22" i="14"/>
  <c r="B22" i="14"/>
  <c r="E21" i="14"/>
  <c r="B21" i="14"/>
  <c r="E20" i="14"/>
  <c r="B20" i="14"/>
  <c r="E19" i="14"/>
  <c r="B19" i="14"/>
  <c r="E18" i="14"/>
  <c r="B18" i="14"/>
  <c r="E17" i="14"/>
  <c r="B17" i="14"/>
  <c r="E16" i="14"/>
  <c r="B16" i="14"/>
  <c r="E15" i="14"/>
  <c r="B15" i="14"/>
  <c r="E14" i="14"/>
  <c r="B14" i="14"/>
  <c r="E13" i="14"/>
  <c r="B13" i="14"/>
  <c r="E12" i="14"/>
  <c r="B12" i="14"/>
  <c r="E11" i="14"/>
  <c r="B11" i="14"/>
  <c r="E10" i="14"/>
  <c r="B10" i="14"/>
  <c r="E9" i="14"/>
  <c r="B9" i="14"/>
  <c r="E8" i="14"/>
  <c r="B8" i="14"/>
  <c r="E7" i="14"/>
  <c r="B7" i="14"/>
  <c r="E6" i="14"/>
  <c r="B6" i="14"/>
  <c r="E5" i="14"/>
  <c r="B5" i="14"/>
  <c r="E4" i="14"/>
  <c r="B4" i="14"/>
  <c r="E3" i="14"/>
  <c r="B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E2" i="14"/>
  <c r="B2" i="14"/>
  <c r="B37" i="12"/>
  <c r="D36" i="12"/>
  <c r="C36" i="12"/>
  <c r="B36" i="12"/>
  <c r="B35" i="12"/>
  <c r="D34" i="12"/>
  <c r="C34" i="12"/>
  <c r="B34" i="12"/>
  <c r="B33" i="12"/>
  <c r="D32" i="12"/>
  <c r="C32" i="12"/>
  <c r="B32" i="12"/>
  <c r="B31" i="12"/>
  <c r="D30" i="12"/>
  <c r="C30" i="12"/>
  <c r="B30" i="12"/>
  <c r="B29" i="12"/>
  <c r="D28" i="12"/>
  <c r="C28" i="12"/>
  <c r="C29" i="12" s="1"/>
  <c r="E70" i="11" s="1"/>
  <c r="G70" i="11" s="1"/>
  <c r="B28" i="12"/>
  <c r="B27" i="12"/>
  <c r="D26" i="12"/>
  <c r="C26" i="12"/>
  <c r="B26" i="12"/>
  <c r="B25" i="12"/>
  <c r="B24" i="12"/>
  <c r="D23" i="12"/>
  <c r="C23" i="12"/>
  <c r="B23" i="12"/>
  <c r="B22" i="12"/>
  <c r="B21" i="12"/>
  <c r="D20" i="12"/>
  <c r="C20" i="12"/>
  <c r="B20" i="12"/>
  <c r="B19" i="12"/>
  <c r="B18" i="12"/>
  <c r="D17" i="12"/>
  <c r="C17" i="12"/>
  <c r="B17" i="12"/>
  <c r="B16" i="12"/>
  <c r="B15" i="12"/>
  <c r="D14" i="12"/>
  <c r="C14" i="12"/>
  <c r="B14" i="12"/>
  <c r="B13" i="12"/>
  <c r="B12" i="12"/>
  <c r="D11" i="12"/>
  <c r="C11" i="12"/>
  <c r="B11" i="12"/>
  <c r="B10" i="12"/>
  <c r="B9" i="12"/>
  <c r="D8" i="12"/>
  <c r="C8" i="12"/>
  <c r="B8" i="12"/>
  <c r="B7" i="12"/>
  <c r="B6" i="12"/>
  <c r="D5" i="12"/>
  <c r="C5" i="12"/>
  <c r="B5" i="12"/>
  <c r="B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B3" i="12"/>
  <c r="A3" i="12"/>
  <c r="C2" i="12"/>
  <c r="B2" i="12"/>
  <c r="E98" i="11"/>
  <c r="G98" i="11" s="1"/>
  <c r="E96" i="11"/>
  <c r="G96" i="11" s="1"/>
  <c r="E90" i="11"/>
  <c r="G90" i="11" s="1"/>
  <c r="E88" i="11"/>
  <c r="G88" i="11" s="1"/>
  <c r="E82" i="11"/>
  <c r="G82" i="11" s="1"/>
  <c r="E80" i="11"/>
  <c r="G80" i="11" s="1"/>
  <c r="G77" i="11"/>
  <c r="E77" i="11"/>
  <c r="E76" i="11"/>
  <c r="G76" i="11" s="1"/>
  <c r="E75" i="11"/>
  <c r="G75" i="11" s="1"/>
  <c r="E74" i="11"/>
  <c r="G74" i="11" s="1"/>
  <c r="G73" i="11"/>
  <c r="E73" i="11"/>
  <c r="E72" i="11"/>
  <c r="G72" i="11" s="1"/>
  <c r="G71" i="11"/>
  <c r="E71" i="11"/>
  <c r="G69" i="11"/>
  <c r="E69" i="11"/>
  <c r="E68" i="11"/>
  <c r="G68" i="11" s="1"/>
  <c r="E67" i="11"/>
  <c r="G67" i="11" s="1"/>
  <c r="E66" i="11"/>
  <c r="G66" i="11" s="1"/>
  <c r="G65" i="11"/>
  <c r="E65" i="11"/>
  <c r="E64" i="11"/>
  <c r="G64" i="11" s="1"/>
  <c r="G63" i="11"/>
  <c r="E63" i="11"/>
  <c r="G62" i="11"/>
  <c r="E62" i="11"/>
  <c r="G61" i="11"/>
  <c r="E61" i="11"/>
  <c r="E60" i="11"/>
  <c r="G60" i="11" s="1"/>
  <c r="E59" i="11"/>
  <c r="G59" i="11" s="1"/>
  <c r="E58" i="11"/>
  <c r="G58" i="11" s="1"/>
  <c r="G57" i="11"/>
  <c r="E57" i="11"/>
  <c r="E56" i="11"/>
  <c r="G56" i="11" s="1"/>
  <c r="G55" i="11"/>
  <c r="E55" i="11"/>
  <c r="G54" i="11"/>
  <c r="E54" i="11"/>
  <c r="G46" i="11"/>
  <c r="E46" i="11"/>
  <c r="G45" i="11"/>
  <c r="E45" i="11"/>
  <c r="E44" i="11"/>
  <c r="G44" i="11" s="1"/>
  <c r="G43" i="11"/>
  <c r="E43" i="11"/>
  <c r="E42" i="11"/>
  <c r="G42" i="11" s="1"/>
  <c r="G41" i="11"/>
  <c r="E41" i="11"/>
  <c r="E40" i="11"/>
  <c r="G40" i="11" s="1"/>
  <c r="G39" i="11"/>
  <c r="E39" i="11"/>
  <c r="G38" i="11"/>
  <c r="E38" i="11"/>
  <c r="G37" i="11"/>
  <c r="E37" i="11"/>
  <c r="G30" i="11"/>
  <c r="E30" i="11"/>
  <c r="G29" i="11"/>
  <c r="E29" i="11"/>
  <c r="E27" i="11"/>
  <c r="G27" i="11" s="1"/>
  <c r="E24" i="11"/>
  <c r="G24" i="11" s="1"/>
  <c r="G23" i="11"/>
  <c r="E23" i="11"/>
  <c r="G21" i="11"/>
  <c r="E21" i="11"/>
  <c r="E19" i="11"/>
  <c r="G19" i="11" s="1"/>
  <c r="G17" i="11"/>
  <c r="E17" i="11"/>
  <c r="G13" i="11"/>
  <c r="E13" i="11"/>
  <c r="E12" i="11"/>
  <c r="G12" i="11" s="1"/>
  <c r="G5" i="11"/>
  <c r="E5" i="11"/>
  <c r="E4" i="11"/>
  <c r="G4" i="11" s="1"/>
  <c r="G3" i="11"/>
  <c r="E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E2" i="11"/>
  <c r="G2" i="11" s="1"/>
  <c r="D17" i="4"/>
  <c r="C37" i="14" s="1"/>
  <c r="E16" i="12" s="1"/>
  <c r="D16" i="4"/>
  <c r="C33" i="14" s="1"/>
  <c r="E31" i="12" s="1"/>
  <c r="D14" i="4"/>
  <c r="C30" i="14" s="1"/>
  <c r="D13" i="4"/>
  <c r="C25" i="14" s="1"/>
  <c r="D12" i="4"/>
  <c r="C29" i="14" s="1"/>
  <c r="E37" i="12" s="1"/>
  <c r="D11" i="4"/>
  <c r="C39" i="14" s="1"/>
  <c r="E35" i="12" s="1"/>
  <c r="D10" i="4"/>
  <c r="C23" i="14" s="1"/>
  <c r="E25" i="12" s="1"/>
  <c r="D7" i="4"/>
  <c r="C21" i="14" s="1"/>
  <c r="E22" i="12" s="1"/>
  <c r="D6" i="4"/>
  <c r="C20" i="14" s="1"/>
  <c r="D5" i="4"/>
  <c r="C19" i="14" s="1"/>
  <c r="D4" i="4"/>
  <c r="C17" i="14" s="1"/>
  <c r="D3" i="4"/>
  <c r="C15" i="14" s="1"/>
  <c r="E29" i="12" s="1"/>
  <c r="C31" i="12" l="1"/>
  <c r="E95" i="11"/>
  <c r="G95" i="11" s="1"/>
  <c r="E85" i="11"/>
  <c r="G85" i="11" s="1"/>
  <c r="E93" i="11"/>
  <c r="G93" i="11" s="1"/>
  <c r="C2" i="14"/>
  <c r="C4" i="14"/>
  <c r="C6" i="14"/>
  <c r="E9" i="12" s="1"/>
  <c r="C9" i="12" s="1"/>
  <c r="C8" i="14"/>
  <c r="C10" i="14"/>
  <c r="C12" i="14"/>
  <c r="C14" i="14"/>
  <c r="C16" i="14"/>
  <c r="C18" i="14"/>
  <c r="C22" i="14"/>
  <c r="C24" i="14"/>
  <c r="C26" i="14"/>
  <c r="C28" i="14"/>
  <c r="C32" i="14"/>
  <c r="E10" i="12" s="1"/>
  <c r="C34" i="14"/>
  <c r="C36" i="14"/>
  <c r="C38" i="14"/>
  <c r="E33" i="12" s="1"/>
  <c r="C33" i="12" s="1"/>
  <c r="E83" i="11"/>
  <c r="G83" i="11" s="1"/>
  <c r="C35" i="12" s="1"/>
  <c r="E91" i="11"/>
  <c r="G91" i="11" s="1"/>
  <c r="E99" i="11"/>
  <c r="G99" i="11" s="1"/>
  <c r="E94" i="11"/>
  <c r="G94" i="11" s="1"/>
  <c r="E81" i="11"/>
  <c r="G81" i="11" s="1"/>
  <c r="E89" i="11"/>
  <c r="G89" i="11" s="1"/>
  <c r="C37" i="12" s="1"/>
  <c r="E97" i="11"/>
  <c r="G97" i="11" s="1"/>
  <c r="C3" i="14"/>
  <c r="C5" i="14"/>
  <c r="C7" i="14"/>
  <c r="E12" i="12" s="1"/>
  <c r="C12" i="12" s="1"/>
  <c r="C9" i="14"/>
  <c r="E21" i="12" s="1"/>
  <c r="C21" i="12" s="1"/>
  <c r="C11" i="14"/>
  <c r="E24" i="12" s="1"/>
  <c r="C24" i="12" s="1"/>
  <c r="C13" i="14"/>
  <c r="C27" i="14"/>
  <c r="E13" i="12" s="1"/>
  <c r="C31" i="14"/>
  <c r="C35" i="14"/>
  <c r="E15" i="12" s="1"/>
  <c r="C15" i="12" s="1"/>
  <c r="E84" i="11"/>
  <c r="G84" i="11" s="1"/>
  <c r="E92" i="11"/>
  <c r="G92" i="11" s="1"/>
  <c r="E100" i="11"/>
  <c r="G100" i="11" s="1"/>
  <c r="E27" i="12" l="1"/>
  <c r="C27" i="12" s="1"/>
  <c r="E3" i="12"/>
  <c r="C3" i="12" s="1"/>
  <c r="E6" i="12"/>
  <c r="C6" i="12" s="1"/>
  <c r="E19" i="12"/>
  <c r="E18" i="12"/>
  <c r="C18" i="12" s="1"/>
  <c r="E26" i="11" s="1"/>
  <c r="G26" i="11" s="1"/>
  <c r="E18" i="11"/>
  <c r="G18" i="11" s="1"/>
  <c r="C10" i="12" s="1"/>
  <c r="E22" i="11"/>
  <c r="G22" i="11" s="1"/>
  <c r="C16" i="12"/>
  <c r="E20" i="11"/>
  <c r="G20" i="11" s="1"/>
  <c r="C13" i="12" s="1"/>
  <c r="E105" i="11"/>
  <c r="G105" i="11" s="1"/>
  <c r="E102" i="11"/>
  <c r="G102" i="11" s="1"/>
  <c r="E104" i="11"/>
  <c r="G104" i="11" s="1"/>
  <c r="E101" i="11"/>
  <c r="G101" i="11" s="1"/>
  <c r="E106" i="11"/>
  <c r="G106" i="11" s="1"/>
  <c r="E103" i="11"/>
  <c r="G103" i="11" s="1"/>
  <c r="E86" i="11"/>
  <c r="G86" i="11" s="1"/>
  <c r="E87" i="11"/>
  <c r="G87" i="11" s="1"/>
  <c r="E9" i="11"/>
  <c r="G9" i="11" s="1"/>
  <c r="E6" i="11"/>
  <c r="G6" i="11" s="1"/>
  <c r="E8" i="11"/>
  <c r="G8" i="11" s="1"/>
  <c r="E7" i="11"/>
  <c r="G7" i="11" s="1"/>
  <c r="E52" i="11"/>
  <c r="G52" i="11" s="1"/>
  <c r="E49" i="11"/>
  <c r="G49" i="11" s="1"/>
  <c r="E50" i="11"/>
  <c r="G50" i="11" s="1"/>
  <c r="E51" i="11"/>
  <c r="G51" i="11" s="1"/>
  <c r="E48" i="11"/>
  <c r="G48" i="11" s="1"/>
  <c r="E53" i="11"/>
  <c r="G53" i="11" s="1"/>
  <c r="E47" i="11"/>
  <c r="G47" i="11" s="1"/>
  <c r="E14" i="11"/>
  <c r="G14" i="11" s="1"/>
  <c r="E15" i="11"/>
  <c r="G15" i="11" s="1"/>
  <c r="E33" i="11"/>
  <c r="G33" i="11" s="1"/>
  <c r="E32" i="11"/>
  <c r="G32" i="11" s="1"/>
  <c r="E34" i="11"/>
  <c r="G34" i="11" s="1"/>
  <c r="E31" i="11"/>
  <c r="G31" i="11" s="1"/>
  <c r="E28" i="11"/>
  <c r="G28" i="11" s="1"/>
  <c r="C22" i="12" s="1"/>
  <c r="E78" i="11"/>
  <c r="G78" i="11" s="1"/>
  <c r="E79" i="11"/>
  <c r="G79" i="11" s="1"/>
  <c r="E7" i="12"/>
  <c r="E4" i="12"/>
  <c r="E25" i="11" l="1"/>
  <c r="G25" i="11" s="1"/>
  <c r="C4" i="12"/>
  <c r="C25" i="12"/>
  <c r="E35" i="11" s="1"/>
  <c r="G35" i="11" s="1"/>
  <c r="C19" i="12"/>
  <c r="C7" i="12"/>
  <c r="E16" i="11" s="1"/>
  <c r="G16" i="11" s="1"/>
  <c r="E11" i="11"/>
  <c r="G11" i="11" s="1"/>
  <c r="E10" i="11"/>
  <c r="G10" i="11" s="1"/>
  <c r="E36" i="11"/>
  <c r="G36" i="11" s="1"/>
</calcChain>
</file>

<file path=xl/comments1.xml><?xml version="1.0" encoding="utf-8"?>
<comments xmlns="http://schemas.openxmlformats.org/spreadsheetml/2006/main">
  <authors>
    <author>Karthi Prabhakaran</author>
  </authors>
  <commentList>
    <comment ref="D1" authorId="0" shapeId="0">
      <text>
        <r>
          <rPr>
            <sz val="11"/>
            <color indexed="8"/>
            <rFont val="Helvetica"/>
          </rPr>
          <t xml:space="preserve">Karthi Prabhakaran:
Assuming the Department has Fixed amount as expected every year.
The real scenario would be it changes every near will need a new table with DeptId,expected amount and date.
</t>
        </r>
      </text>
    </comment>
  </commentList>
</comments>
</file>

<file path=xl/comments2.xml><?xml version="1.0" encoding="utf-8"?>
<comments xmlns="http://schemas.openxmlformats.org/spreadsheetml/2006/main">
  <authors>
    <author>Karthi Prabhakaran</author>
  </authors>
  <commentList>
    <comment ref="E1" authorId="0" shapeId="0">
      <text>
        <r>
          <rPr>
            <sz val="11"/>
            <color indexed="8"/>
            <rFont val="Helvetica"/>
          </rPr>
          <t xml:space="preserve">Karthi Prabhakaran:
(do you need this?)
</t>
        </r>
      </text>
    </comment>
    <comment ref="C2" authorId="0" shapeId="0">
      <text>
        <r>
          <rPr>
            <sz val="11"/>
            <color indexed="8"/>
            <rFont val="Helvetica"/>
          </rPr>
          <t xml:space="preserve">Karthi Prabhakaran:
Doing a 50%, 50%  split here. Fund_ID : 30000,30001 
</t>
        </r>
      </text>
    </comment>
    <comment ref="C13" authorId="0" shapeId="0">
      <text>
        <r>
          <rPr>
            <sz val="11"/>
            <color indexed="8"/>
            <rFont val="Helvetica"/>
          </rPr>
          <t xml:space="preserve">Karthi Prabhakaran:
Doing a 5%, 5% and 90% split here. Fund_ID : 30000,30001 and 30009
</t>
        </r>
      </text>
    </comment>
  </commentList>
</comments>
</file>

<file path=xl/sharedStrings.xml><?xml version="1.0" encoding="utf-8"?>
<sst xmlns="http://schemas.openxmlformats.org/spreadsheetml/2006/main" count="306" uniqueCount="178">
  <si>
    <t>Donor_ID</t>
  </si>
  <si>
    <t>Donor_name</t>
  </si>
  <si>
    <t>State</t>
  </si>
  <si>
    <t>Zip</t>
  </si>
  <si>
    <t>Country</t>
  </si>
  <si>
    <t>Age</t>
  </si>
  <si>
    <t>Company</t>
  </si>
  <si>
    <t>David Anderson</t>
  </si>
  <si>
    <t>NJ</t>
  </si>
  <si>
    <t>US</t>
  </si>
  <si>
    <t>William Skip Bailey</t>
  </si>
  <si>
    <t>Benjamin Hart</t>
  </si>
  <si>
    <t>CA</t>
  </si>
  <si>
    <t>Anita D. Christy</t>
  </si>
  <si>
    <t>Carolyn J. Lyle</t>
  </si>
  <si>
    <t>PA</t>
  </si>
  <si>
    <t>Bank Of America</t>
  </si>
  <si>
    <t>Robert Alvin Martin</t>
  </si>
  <si>
    <t>NY</t>
  </si>
  <si>
    <t>Eric Leverone</t>
  </si>
  <si>
    <t>MetLife</t>
  </si>
  <si>
    <r>
      <rPr>
        <sz val="9"/>
        <color indexed="8"/>
        <rFont val="Tahoma"/>
      </rPr>
      <t>Peter G. Peterson</t>
    </r>
  </si>
  <si>
    <t>Dobling</t>
  </si>
  <si>
    <t>Australlia</t>
  </si>
  <si>
    <r>
      <rPr>
        <sz val="9"/>
        <color indexed="8"/>
        <rFont val="Tahoma"/>
      </rPr>
      <t>Helen R. Walton</t>
    </r>
  </si>
  <si>
    <t>London</t>
  </si>
  <si>
    <t>UK</t>
  </si>
  <si>
    <r>
      <rPr>
        <sz val="9"/>
        <color indexed="8"/>
        <rFont val="Tahoma"/>
      </rPr>
      <t>Barron Hilton</t>
    </r>
  </si>
  <si>
    <t>Scotland</t>
  </si>
  <si>
    <t>Leona M. Helmsley</t>
  </si>
  <si>
    <t>New York</t>
  </si>
  <si>
    <t>Gift_ID</t>
  </si>
  <si>
    <t>Dept_ID</t>
  </si>
  <si>
    <t>Purpose_ID</t>
  </si>
  <si>
    <t>Term_ID</t>
  </si>
  <si>
    <t>Donation_Amt</t>
  </si>
  <si>
    <t>Date_Received</t>
  </si>
  <si>
    <t>Allocation Flag</t>
  </si>
  <si>
    <t>On</t>
  </si>
  <si>
    <t>on</t>
  </si>
  <si>
    <t xml:space="preserve">on </t>
  </si>
  <si>
    <t>Gift_Fund_Map_ID</t>
  </si>
  <si>
    <t>Fund_ID</t>
  </si>
  <si>
    <t>Amount</t>
  </si>
  <si>
    <t>Dept_Category</t>
  </si>
  <si>
    <t>Dept_Sub-Category</t>
  </si>
  <si>
    <t>Expected_Amount</t>
  </si>
  <si>
    <t>Commerce</t>
  </si>
  <si>
    <t>Accounting</t>
  </si>
  <si>
    <t>History</t>
  </si>
  <si>
    <r>
      <rPr>
        <sz val="11"/>
        <color indexed="8"/>
        <rFont val="Calibri"/>
      </rPr>
      <t xml:space="preserve">Anthropology Department </t>
    </r>
  </si>
  <si>
    <t>Architecture</t>
  </si>
  <si>
    <r>
      <rPr>
        <sz val="11"/>
        <color indexed="8"/>
        <rFont val="Calibri"/>
      </rPr>
      <t xml:space="preserve">Architecture Department </t>
    </r>
  </si>
  <si>
    <t>Science</t>
  </si>
  <si>
    <r>
      <rPr>
        <sz val="11"/>
        <color indexed="8"/>
        <rFont val="Calibri"/>
      </rPr>
      <t xml:space="preserve">Biological Sciences Department </t>
    </r>
  </si>
  <si>
    <r>
      <rPr>
        <sz val="11"/>
        <color indexed="8"/>
        <rFont val="Calibri"/>
      </rPr>
      <t xml:space="preserve">Biostatistics Department </t>
    </r>
  </si>
  <si>
    <r>
      <rPr>
        <sz val="11"/>
        <color indexed="8"/>
        <rFont val="Calibri"/>
      </rPr>
      <t>Chemistry Department</t>
    </r>
  </si>
  <si>
    <r>
      <rPr>
        <sz val="11"/>
        <color indexed="8"/>
        <rFont val="Calibri"/>
      </rPr>
      <t xml:space="preserve">Computer Science Department </t>
    </r>
  </si>
  <si>
    <t>Economics</t>
  </si>
  <si>
    <r>
      <rPr>
        <sz val="11"/>
        <color indexed="8"/>
        <rFont val="Calibri"/>
      </rPr>
      <t xml:space="preserve">Economics Department </t>
    </r>
  </si>
  <si>
    <t>Art</t>
  </si>
  <si>
    <r>
      <rPr>
        <sz val="11"/>
        <color indexed="8"/>
        <rFont val="Calibri"/>
      </rPr>
      <t xml:space="preserve">Film Program </t>
    </r>
  </si>
  <si>
    <t>Medical</t>
  </si>
  <si>
    <r>
      <rPr>
        <sz val="11"/>
        <color indexed="8"/>
        <rFont val="Calibri"/>
      </rPr>
      <t xml:space="preserve">Pediatrics Department </t>
    </r>
  </si>
  <si>
    <r>
      <rPr>
        <sz val="11"/>
        <color indexed="8"/>
        <rFont val="Calibri"/>
      </rPr>
      <t xml:space="preserve">Urology Department </t>
    </r>
  </si>
  <si>
    <t>Philisophy</t>
  </si>
  <si>
    <r>
      <rPr>
        <sz val="11"/>
        <color indexed="8"/>
        <rFont val="Calibri"/>
      </rPr>
      <t xml:space="preserve">Philosophy Department </t>
    </r>
  </si>
  <si>
    <r>
      <rPr>
        <sz val="11"/>
        <color indexed="8"/>
        <rFont val="Calibri"/>
      </rPr>
      <t>Oncology</t>
    </r>
  </si>
  <si>
    <r>
      <rPr>
        <sz val="11"/>
        <color indexed="8"/>
        <rFont val="Calibri"/>
      </rPr>
      <t xml:space="preserve">Neurology Department </t>
    </r>
  </si>
  <si>
    <r>
      <rPr>
        <sz val="11"/>
        <color indexed="8"/>
        <rFont val="Calibri"/>
      </rPr>
      <t>Hematology</t>
    </r>
  </si>
  <si>
    <r>
      <rPr>
        <sz val="11"/>
        <color indexed="8"/>
        <rFont val="Calibri"/>
      </rPr>
      <t xml:space="preserve">Music Department </t>
    </r>
  </si>
  <si>
    <t>Fund_Name</t>
  </si>
  <si>
    <t>Total_Amount</t>
  </si>
  <si>
    <t>Inception_Date</t>
  </si>
  <si>
    <t>Neil M. Cowan Scholarship Fund</t>
  </si>
  <si>
    <t>Charlie and Georgia Adams Internship Fund</t>
  </si>
  <si>
    <t xml:space="preserve">Jeffrey Ahn, Jr. Fund </t>
  </si>
  <si>
    <t>Louis and Theonie Aslanides Scholarship Fund</t>
  </si>
  <si>
    <t>Anita D. Christy Scholarship Fund</t>
  </si>
  <si>
    <t>Auezov Fellowship Fund</t>
  </si>
  <si>
    <t>Dr. Charles E. Clark and Marilyn J. Clark Scholarship Fund</t>
  </si>
  <si>
    <t>The Class of 1984 Scholarship Fund</t>
  </si>
  <si>
    <t>Chi-Ming Hou Memorial Fellowship Fund</t>
  </si>
  <si>
    <r>
      <rPr>
        <sz val="9"/>
        <color indexed="8"/>
        <rFont val="Tahoma"/>
      </rPr>
      <t>Peter G. Peterson Research Fund</t>
    </r>
  </si>
  <si>
    <r>
      <rPr>
        <sz val="9"/>
        <color indexed="8"/>
        <rFont val="Tahoma"/>
      </rPr>
      <t>Helen R. Walton Medical Fellowship Fund</t>
    </r>
  </si>
  <si>
    <r>
      <rPr>
        <sz val="9"/>
        <color indexed="8"/>
        <rFont val="Tahoma"/>
      </rPr>
      <t>Barron Hilton Fund For Art</t>
    </r>
  </si>
  <si>
    <r>
      <rPr>
        <sz val="9"/>
        <color indexed="8"/>
        <rFont val="Tahoma"/>
      </rPr>
      <t>Leona M. Helmsley Fund</t>
    </r>
  </si>
  <si>
    <r>
      <rPr>
        <sz val="9"/>
        <color indexed="8"/>
        <rFont val="Tahoma"/>
      </rPr>
      <t>Leona M. Helmsley Fund Scholarship Fund</t>
    </r>
  </si>
  <si>
    <t>Term_Name</t>
  </si>
  <si>
    <t>Restricted</t>
  </si>
  <si>
    <t>Unrestricted</t>
  </si>
  <si>
    <t>Purpose</t>
  </si>
  <si>
    <t>Scholarships</t>
  </si>
  <si>
    <t>Fellowships</t>
  </si>
  <si>
    <t>Professorships</t>
  </si>
  <si>
    <t>Research</t>
  </si>
  <si>
    <t>Library Support</t>
  </si>
  <si>
    <t>Lectures</t>
  </si>
  <si>
    <t>Musical and Theatrical performances</t>
  </si>
  <si>
    <t>Classroom Maintainance</t>
  </si>
  <si>
    <t>Scientific and other equipment</t>
  </si>
  <si>
    <t>Scientific Laboratories</t>
  </si>
  <si>
    <t>Development of Technology</t>
  </si>
  <si>
    <t>Construction</t>
  </si>
  <si>
    <t>Ongoing buildings maintainance</t>
  </si>
  <si>
    <t>Physical Facilities</t>
  </si>
  <si>
    <t>General</t>
  </si>
  <si>
    <t>Name</t>
  </si>
  <si>
    <t>Value</t>
  </si>
  <si>
    <t>Dept .Expected Return - One %</t>
  </si>
  <si>
    <t>Dept .Expected Return - Ten %</t>
  </si>
  <si>
    <t>Dept .Expected Return - 8 %</t>
  </si>
  <si>
    <t>AMC_ID</t>
  </si>
  <si>
    <t>AMC_Name</t>
  </si>
  <si>
    <t>State/Region</t>
  </si>
  <si>
    <t>Black Rock</t>
  </si>
  <si>
    <t>USA</t>
  </si>
  <si>
    <t>Asia Frontier Capital Ltd</t>
  </si>
  <si>
    <t>Hong Kong</t>
  </si>
  <si>
    <t>State Street Global advisors</t>
  </si>
  <si>
    <t>Massachusetts</t>
  </si>
  <si>
    <t>J.P. Morgan</t>
  </si>
  <si>
    <t>India</t>
  </si>
  <si>
    <t>BNY Mellon Investment Management</t>
  </si>
  <si>
    <t>Credit Agricole group</t>
  </si>
  <si>
    <t>France</t>
  </si>
  <si>
    <t>F&amp;C Asset Management</t>
  </si>
  <si>
    <t>Bridgewater Associates</t>
  </si>
  <si>
    <t>Connecticut</t>
  </si>
  <si>
    <t>Citigroup</t>
  </si>
  <si>
    <t>Henderson Group</t>
  </si>
  <si>
    <t>UBS</t>
  </si>
  <si>
    <t>Switzerland</t>
  </si>
  <si>
    <t>First Republic Bank</t>
  </si>
  <si>
    <t>California</t>
  </si>
  <si>
    <t>Harbert Management Corporation</t>
  </si>
  <si>
    <t>Alabama</t>
  </si>
  <si>
    <t>Stifel</t>
  </si>
  <si>
    <t>Missouri</t>
  </si>
  <si>
    <t>Capital Dynamics</t>
  </si>
  <si>
    <t>Australia</t>
  </si>
  <si>
    <t>Sydney</t>
  </si>
  <si>
    <t>Vanguard</t>
  </si>
  <si>
    <t>FM_ID</t>
  </si>
  <si>
    <t>Fund_Amount</t>
  </si>
  <si>
    <t>Allocated_date</t>
  </si>
  <si>
    <t>Term_duration</t>
  </si>
  <si>
    <t>Expected_end_date</t>
  </si>
  <si>
    <t>Q</t>
  </si>
  <si>
    <t>H</t>
  </si>
  <si>
    <t>Y</t>
  </si>
  <si>
    <t>M</t>
  </si>
  <si>
    <t>FR_ID</t>
  </si>
  <si>
    <t>Return_date</t>
  </si>
  <si>
    <t>ROI</t>
  </si>
  <si>
    <t>Service_rate_on ROI</t>
  </si>
  <si>
    <t>Actual_ROI</t>
  </si>
  <si>
    <t>FVH_ID</t>
  </si>
  <si>
    <t>Fund_Current_value</t>
  </si>
  <si>
    <t>Fund_value_date</t>
  </si>
  <si>
    <t>Actual_expenditure</t>
  </si>
  <si>
    <t>FS_ID</t>
  </si>
  <si>
    <t>Sector_name</t>
  </si>
  <si>
    <t>Amount_Allocated</t>
  </si>
  <si>
    <t>Biotechnology</t>
  </si>
  <si>
    <t>Real Estate</t>
  </si>
  <si>
    <t>Manufacturing</t>
  </si>
  <si>
    <t>Utilities</t>
  </si>
  <si>
    <t>Telecommunication</t>
  </si>
  <si>
    <t>IT Products</t>
  </si>
  <si>
    <t xml:space="preserve">Chemical </t>
  </si>
  <si>
    <t>Medical Equipment and supplies</t>
  </si>
  <si>
    <t>Healthcare</t>
  </si>
  <si>
    <t>Government</t>
  </si>
  <si>
    <t>Transportation</t>
  </si>
  <si>
    <t>FD_ID</t>
  </si>
  <si>
    <t>Disbursement_Amount</t>
  </si>
  <si>
    <t>Disbursement_date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</si>
</sst>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sz val="11"/>
      <color indexed="8"/>
      <name val="Calibri"/>
    </font>
    <font>
      <b/>
      <sz val="11"/>
      <color indexed="8"/>
      <name val="Calibri"/>
    </font>
    <font>
      <sz val="9"/>
      <color indexed="8"/>
      <name val="Tahoma"/>
    </font>
    <font>
      <sz val="11"/>
      <color indexed="11"/>
      <name val="Arial"/>
    </font>
    <font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4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2"/>
      </right>
      <top style="thin">
        <color indexed="16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5"/>
      </right>
      <top style="thin">
        <color indexed="15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3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0" fillId="2" borderId="1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15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0" borderId="17" xfId="0" applyNumberFormat="1" applyFont="1" applyBorder="1" applyAlignment="1"/>
    <xf numFmtId="49" fontId="0" fillId="4" borderId="18" xfId="0" applyNumberFormat="1" applyFont="1" applyFill="1" applyBorder="1" applyAlignment="1"/>
    <xf numFmtId="0" fontId="0" fillId="0" borderId="19" xfId="0" applyNumberFormat="1" applyFont="1" applyBorder="1" applyAlignment="1"/>
    <xf numFmtId="0" fontId="0" fillId="0" borderId="0" xfId="0" applyNumberFormat="1" applyFont="1" applyAlignment="1"/>
    <xf numFmtId="49" fontId="1" fillId="5" borderId="9" xfId="0" applyNumberFormat="1" applyFont="1" applyFill="1" applyBorder="1" applyAlignment="1"/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0" borderId="0" xfId="0" applyNumberFormat="1" applyFont="1" applyAlignment="1"/>
    <xf numFmtId="14" fontId="0" fillId="2" borderId="12" xfId="0" applyNumberFormat="1" applyFont="1" applyFill="1" applyBorder="1" applyAlignment="1"/>
    <xf numFmtId="14" fontId="0" fillId="2" borderId="5" xfId="0" applyNumberFormat="1" applyFont="1" applyFill="1" applyBorder="1" applyAlignment="1"/>
    <xf numFmtId="164" fontId="0" fillId="2" borderId="5" xfId="0" applyNumberFormat="1" applyFont="1" applyFill="1" applyBorder="1" applyAlignment="1"/>
    <xf numFmtId="0" fontId="0" fillId="2" borderId="24" xfId="0" applyNumberFormat="1" applyFont="1" applyFill="1" applyBorder="1" applyAlignment="1"/>
    <xf numFmtId="14" fontId="0" fillId="2" borderId="25" xfId="0" applyNumberFormat="1" applyFont="1" applyFill="1" applyBorder="1" applyAlignment="1"/>
    <xf numFmtId="49" fontId="0" fillId="2" borderId="26" xfId="0" applyNumberFormat="1" applyFont="1" applyFill="1" applyBorder="1" applyAlignment="1"/>
    <xf numFmtId="0" fontId="0" fillId="0" borderId="0" xfId="0" applyNumberFormat="1" applyFont="1" applyAlignment="1"/>
    <xf numFmtId="3" fontId="0" fillId="2" borderId="12" xfId="0" applyNumberFormat="1" applyFont="1" applyFill="1" applyBorder="1" applyAlignment="1"/>
    <xf numFmtId="3" fontId="0" fillId="2" borderId="5" xfId="0" applyNumberFormat="1" applyFont="1" applyFill="1" applyBorder="1" applyAlignment="1"/>
    <xf numFmtId="3" fontId="0" fillId="2" borderId="9" xfId="0" applyNumberFormat="1" applyFont="1" applyFill="1" applyBorder="1" applyAlignment="1"/>
    <xf numFmtId="0" fontId="0" fillId="2" borderId="27" xfId="0" applyNumberFormat="1" applyFont="1" applyFill="1" applyBorder="1" applyAlignment="1"/>
    <xf numFmtId="0" fontId="0" fillId="0" borderId="0" xfId="0" applyNumberFormat="1" applyFont="1" applyAlignment="1"/>
    <xf numFmtId="49" fontId="1" fillId="3" borderId="15" xfId="0" applyNumberFormat="1" applyFont="1" applyFill="1" applyBorder="1" applyAlignment="1"/>
    <xf numFmtId="49" fontId="1" fillId="3" borderId="28" xfId="0" applyNumberFormat="1" applyFont="1" applyFill="1" applyBorder="1" applyAlignment="1"/>
    <xf numFmtId="0" fontId="0" fillId="0" borderId="29" xfId="0" applyNumberFormat="1" applyFont="1" applyBorder="1" applyAlignment="1"/>
    <xf numFmtId="14" fontId="0" fillId="2" borderId="30" xfId="0" applyNumberFormat="1" applyFont="1" applyFill="1" applyBorder="1" applyAlignment="1"/>
    <xf numFmtId="0" fontId="0" fillId="2" borderId="30" xfId="0" applyNumberFormat="1" applyFont="1" applyFill="1" applyBorder="1" applyAlignment="1"/>
    <xf numFmtId="0" fontId="0" fillId="0" borderId="20" xfId="0" applyNumberFormat="1" applyFont="1" applyBorder="1" applyAlignment="1"/>
    <xf numFmtId="0" fontId="0" fillId="2" borderId="31" xfId="0" applyNumberFormat="1" applyFont="1" applyFill="1" applyBorder="1" applyAlignment="1"/>
    <xf numFmtId="3" fontId="0" fillId="0" borderId="32" xfId="0" applyNumberFormat="1" applyFont="1" applyBorder="1" applyAlignment="1"/>
    <xf numFmtId="0" fontId="0" fillId="2" borderId="20" xfId="0" applyNumberFormat="1" applyFont="1" applyFill="1" applyBorder="1" applyAlignment="1"/>
    <xf numFmtId="3" fontId="0" fillId="0" borderId="33" xfId="0" applyNumberFormat="1" applyFont="1" applyBorder="1" applyAlignment="1"/>
    <xf numFmtId="3" fontId="0" fillId="0" borderId="20" xfId="0" applyNumberFormat="1" applyFont="1" applyBorder="1" applyAlignment="1"/>
    <xf numFmtId="14" fontId="0" fillId="0" borderId="31" xfId="0" applyNumberFormat="1" applyFont="1" applyBorder="1" applyAlignment="1"/>
    <xf numFmtId="0" fontId="0" fillId="0" borderId="31" xfId="0" applyNumberFormat="1" applyFont="1" applyBorder="1" applyAlignment="1"/>
    <xf numFmtId="14" fontId="0" fillId="0" borderId="20" xfId="0" applyNumberFormat="1" applyFont="1" applyBorder="1" applyAlignment="1"/>
    <xf numFmtId="0" fontId="0" fillId="0" borderId="28" xfId="0" applyNumberFormat="1" applyFont="1" applyBorder="1" applyAlignment="1"/>
    <xf numFmtId="14" fontId="0" fillId="0" borderId="33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3" borderId="34" xfId="0" applyNumberFormat="1" applyFont="1" applyFill="1" applyBorder="1" applyAlignment="1"/>
    <xf numFmtId="0" fontId="0" fillId="0" borderId="35" xfId="0" applyNumberFormat="1" applyFont="1" applyBorder="1" applyAlignment="1"/>
    <xf numFmtId="0" fontId="0" fillId="0" borderId="33" xfId="0" applyNumberFormat="1" applyFont="1" applyBorder="1" applyAlignment="1"/>
    <xf numFmtId="0" fontId="0" fillId="0" borderId="36" xfId="0" applyNumberFormat="1" applyFont="1" applyBorder="1" applyAlignment="1"/>
    <xf numFmtId="0" fontId="0" fillId="0" borderId="37" xfId="0" applyNumberFormat="1" applyFont="1" applyBorder="1" applyAlignment="1"/>
    <xf numFmtId="0" fontId="0" fillId="0" borderId="38" xfId="0" applyNumberFormat="1" applyFont="1" applyBorder="1" applyAlignment="1"/>
    <xf numFmtId="0" fontId="0" fillId="0" borderId="39" xfId="0" applyNumberFormat="1" applyFont="1" applyBorder="1" applyAlignment="1"/>
    <xf numFmtId="14" fontId="0" fillId="0" borderId="34" xfId="0" applyNumberFormat="1" applyFont="1" applyBorder="1" applyAlignment="1"/>
    <xf numFmtId="0" fontId="0" fillId="2" borderId="8" xfId="0" applyNumberFormat="1" applyFont="1" applyFill="1" applyBorder="1" applyAlignment="1"/>
    <xf numFmtId="49" fontId="2" fillId="2" borderId="8" xfId="0" applyNumberFormat="1" applyFont="1" applyFill="1" applyBorder="1" applyAlignment="1"/>
    <xf numFmtId="49" fontId="0" fillId="2" borderId="8" xfId="0" applyNumberFormat="1" applyFont="1" applyFill="1" applyBorder="1" applyAlignment="1"/>
    <xf numFmtId="0" fontId="0" fillId="2" borderId="40" xfId="0" applyNumberFormat="1" applyFont="1" applyFill="1" applyBorder="1" applyAlignment="1"/>
    <xf numFmtId="49" fontId="2" fillId="2" borderId="40" xfId="0" applyNumberFormat="1" applyFont="1" applyFill="1" applyBorder="1" applyAlignment="1"/>
    <xf numFmtId="49" fontId="3" fillId="2" borderId="4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A5A5A5"/>
      <rgbColor rgb="FF3F3F3F"/>
      <rgbColor rgb="FFBDC0BF"/>
      <rgbColor rgb="FFA5A5A5"/>
      <rgbColor rgb="FF3F3F3F"/>
      <rgbColor rgb="FFDBDBDB"/>
      <rgbColor rgb="FFBDC0B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162247</xdr:rowOff>
    </xdr:from>
    <xdr:to>
      <xdr:col>7</xdr:col>
      <xdr:colOff>637937</xdr:colOff>
      <xdr:row>60</xdr:row>
      <xdr:rowOff>143234</xdr:rowOff>
    </xdr:to>
    <xdr:sp macro="" textlink="">
      <xdr:nvSpPr>
        <xdr:cNvPr id="3" name="Shape 3"/>
        <xdr:cNvSpPr/>
      </xdr:nvSpPr>
      <xdr:spPr>
        <a:xfrm>
          <a:off x="-11430" y="9438957"/>
          <a:ext cx="9293821" cy="2044701"/>
        </a:xfrm>
        <a:prstGeom prst="rect">
          <a:avLst/>
        </a:prstGeom>
        <a:gradFill flip="none" rotWithShape="1">
          <a:gsLst>
            <a:gs pos="0">
              <a:srgbClr val="FFFCC1"/>
            </a:gs>
            <a:gs pos="100000">
              <a:srgbClr val="FFF499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blurRad="63500" dist="25400" dir="5400000" rotWithShape="0">
            <a:srgbClr val="000000">
              <a:alpha val="25000"/>
            </a:srgbClr>
          </a:outerShdw>
        </a:effectLst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r>
            <a:t>Karthi Prabhakaran, Jan 10, 2016, 11:10 PM
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Assumptions: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endParaRPr sz="12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160421" marR="0" indent="-160421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If a Dept is sourcing from more than one fund, assume that each fund contributes to the Dept’s needs in some proportion. Ex. Fund1 and Fund2 provide 95% and 5% respectively if the Fund1 is large (say 500k) and Fund2 is very small (say 10k)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rts.columbia.edu/film/" TargetMode="External"/><Relationship Id="rId13" Type="http://schemas.openxmlformats.org/officeDocument/2006/relationships/hyperlink" Target="http://cumc.columbia.edu/dept/neurology/" TargetMode="External"/><Relationship Id="rId3" Type="http://schemas.openxmlformats.org/officeDocument/2006/relationships/hyperlink" Target="http://www.columbia.edu/cu/biology/" TargetMode="External"/><Relationship Id="rId7" Type="http://schemas.openxmlformats.org/officeDocument/2006/relationships/hyperlink" Target="http://www.columbia.edu/cu/economics/" TargetMode="External"/><Relationship Id="rId12" Type="http://schemas.openxmlformats.org/officeDocument/2006/relationships/hyperlink" Target="http://www.cumc.columbia.edu/dept/medicine/oncolhema/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.columbia.edu/cu/archprogram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columbia.edu/cu/anthropology/" TargetMode="External"/><Relationship Id="rId6" Type="http://schemas.openxmlformats.org/officeDocument/2006/relationships/hyperlink" Target="http://www.cs.columbia.edu/" TargetMode="External"/><Relationship Id="rId11" Type="http://schemas.openxmlformats.org/officeDocument/2006/relationships/hyperlink" Target="http://www.columbia.edu/cu/philosophy/" TargetMode="External"/><Relationship Id="rId5" Type="http://schemas.openxmlformats.org/officeDocument/2006/relationships/hyperlink" Target="http://www.columbia.edu/cu/chemistry/" TargetMode="External"/><Relationship Id="rId15" Type="http://schemas.openxmlformats.org/officeDocument/2006/relationships/hyperlink" Target="http://music.columbia.edu/" TargetMode="External"/><Relationship Id="rId10" Type="http://schemas.openxmlformats.org/officeDocument/2006/relationships/hyperlink" Target="http://columbiaurology.org/" TargetMode="External"/><Relationship Id="rId4" Type="http://schemas.openxmlformats.org/officeDocument/2006/relationships/hyperlink" Target="http://www.mailman.hs.columbia.edu/academic-departments/biostatistics" TargetMode="External"/><Relationship Id="rId9" Type="http://schemas.openxmlformats.org/officeDocument/2006/relationships/hyperlink" Target="http://www.cumc.columbia.edu/dept/pediatrics/" TargetMode="External"/><Relationship Id="rId14" Type="http://schemas.openxmlformats.org/officeDocument/2006/relationships/hyperlink" Target="http://www.cumc.columbia.edu/dept/medicine/oncolhema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workbookViewId="0">
      <selection activeCell="B16" sqref="B16"/>
    </sheetView>
  </sheetViews>
  <sheetFormatPr defaultColWidth="8.85546875" defaultRowHeight="15" customHeight="1" x14ac:dyDescent="0.25"/>
  <cols>
    <col min="1" max="1" width="8.85546875" style="1" customWidth="1"/>
    <col min="2" max="2" width="16.42578125" style="1" customWidth="1"/>
    <col min="3" max="3" width="19" style="1" customWidth="1"/>
    <col min="4" max="4" width="7.42578125" style="1" customWidth="1"/>
    <col min="5" max="5" width="17" style="1" customWidth="1"/>
    <col min="6" max="6" width="8.85546875" style="1" customWidth="1"/>
    <col min="7" max="7" width="15.7109375" style="1" bestFit="1" customWidth="1"/>
    <col min="8" max="256" width="8.85546875" style="1" customWidth="1"/>
  </cols>
  <sheetData>
    <row r="1" spans="1: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3">
        <v>100</v>
      </c>
      <c r="B2" s="4" t="s">
        <v>7</v>
      </c>
      <c r="C2" s="5" t="s">
        <v>8</v>
      </c>
      <c r="D2" s="3">
        <v>7836</v>
      </c>
      <c r="E2" s="5" t="s">
        <v>9</v>
      </c>
      <c r="F2" s="3">
        <v>73</v>
      </c>
      <c r="G2" s="3"/>
    </row>
    <row r="3" spans="1:7" ht="15" customHeight="1" x14ac:dyDescent="0.25">
      <c r="A3" s="3">
        <v>101</v>
      </c>
      <c r="B3" s="4" t="s">
        <v>10</v>
      </c>
      <c r="C3" s="5" t="s">
        <v>8</v>
      </c>
      <c r="D3" s="3">
        <v>7840</v>
      </c>
      <c r="E3" s="5" t="s">
        <v>9</v>
      </c>
      <c r="F3" s="3">
        <v>65</v>
      </c>
      <c r="G3" s="3"/>
    </row>
    <row r="4" spans="1:7" ht="15" customHeight="1" x14ac:dyDescent="0.25">
      <c r="A4" s="3">
        <v>102</v>
      </c>
      <c r="B4" s="4" t="s">
        <v>11</v>
      </c>
      <c r="C4" s="5" t="s">
        <v>12</v>
      </c>
      <c r="D4" s="3">
        <v>90001</v>
      </c>
      <c r="E4" s="5" t="s">
        <v>9</v>
      </c>
      <c r="F4" s="3">
        <v>56</v>
      </c>
      <c r="G4" s="3"/>
    </row>
    <row r="5" spans="1:7" ht="15" customHeight="1" x14ac:dyDescent="0.25">
      <c r="A5" s="3">
        <v>103</v>
      </c>
      <c r="B5" s="4" t="s">
        <v>13</v>
      </c>
      <c r="C5" s="5" t="s">
        <v>8</v>
      </c>
      <c r="D5" s="3">
        <v>8790</v>
      </c>
      <c r="E5" s="5" t="s">
        <v>9</v>
      </c>
      <c r="F5" s="3">
        <v>78</v>
      </c>
      <c r="G5" s="3"/>
    </row>
    <row r="6" spans="1:7" ht="15" customHeight="1" x14ac:dyDescent="0.25">
      <c r="A6" s="3">
        <v>104</v>
      </c>
      <c r="B6" s="4" t="s">
        <v>14</v>
      </c>
      <c r="C6" s="5" t="s">
        <v>15</v>
      </c>
      <c r="D6" s="3">
        <v>8937</v>
      </c>
      <c r="E6" s="5" t="s">
        <v>9</v>
      </c>
      <c r="F6" s="3">
        <v>59</v>
      </c>
      <c r="G6" s="5" t="s">
        <v>16</v>
      </c>
    </row>
    <row r="7" spans="1:7" ht="15" customHeight="1" x14ac:dyDescent="0.25">
      <c r="A7" s="3">
        <v>105</v>
      </c>
      <c r="B7" s="4" t="s">
        <v>17</v>
      </c>
      <c r="C7" s="5" t="s">
        <v>18</v>
      </c>
      <c r="D7" s="3">
        <v>10010</v>
      </c>
      <c r="E7" s="5" t="s">
        <v>9</v>
      </c>
      <c r="F7" s="3">
        <v>66</v>
      </c>
      <c r="G7" s="3"/>
    </row>
    <row r="8" spans="1:7" ht="15" customHeight="1" x14ac:dyDescent="0.25">
      <c r="A8" s="3">
        <v>106</v>
      </c>
      <c r="B8" s="4" t="s">
        <v>19</v>
      </c>
      <c r="C8" s="5" t="s">
        <v>18</v>
      </c>
      <c r="D8" s="3">
        <v>10021</v>
      </c>
      <c r="E8" s="5" t="s">
        <v>9</v>
      </c>
      <c r="F8" s="3">
        <v>70</v>
      </c>
      <c r="G8" s="3"/>
    </row>
    <row r="9" spans="1:7" ht="15" customHeight="1" x14ac:dyDescent="0.25">
      <c r="A9" s="3">
        <v>107</v>
      </c>
      <c r="B9" s="4" t="s">
        <v>14</v>
      </c>
      <c r="C9" s="5" t="s">
        <v>12</v>
      </c>
      <c r="D9" s="3">
        <v>90004</v>
      </c>
      <c r="E9" s="5" t="s">
        <v>9</v>
      </c>
      <c r="F9" s="3">
        <v>40</v>
      </c>
      <c r="G9" s="5" t="s">
        <v>20</v>
      </c>
    </row>
    <row r="10" spans="1:7" ht="15" customHeight="1" x14ac:dyDescent="0.25">
      <c r="A10" s="3">
        <v>108</v>
      </c>
      <c r="B10" s="4" t="s">
        <v>21</v>
      </c>
      <c r="C10" s="5" t="s">
        <v>22</v>
      </c>
      <c r="D10" s="3">
        <v>1180</v>
      </c>
      <c r="E10" s="5" t="s">
        <v>23</v>
      </c>
      <c r="F10" s="3">
        <v>82</v>
      </c>
      <c r="G10" s="3"/>
    </row>
    <row r="11" spans="1:7" ht="15" customHeight="1" x14ac:dyDescent="0.25">
      <c r="A11" s="3">
        <v>109</v>
      </c>
      <c r="B11" s="4" t="s">
        <v>24</v>
      </c>
      <c r="C11" s="5" t="s">
        <v>25</v>
      </c>
      <c r="D11" s="3"/>
      <c r="E11" s="5" t="s">
        <v>26</v>
      </c>
      <c r="F11" s="3">
        <v>75</v>
      </c>
      <c r="G11" s="3"/>
    </row>
    <row r="12" spans="1:7" ht="15" customHeight="1" x14ac:dyDescent="0.25">
      <c r="A12" s="78">
        <v>110</v>
      </c>
      <c r="B12" s="79" t="s">
        <v>27</v>
      </c>
      <c r="C12" s="80" t="s">
        <v>28</v>
      </c>
      <c r="D12" s="78"/>
      <c r="E12" s="80" t="s">
        <v>26</v>
      </c>
      <c r="F12" s="78">
        <v>65</v>
      </c>
      <c r="G12" s="78"/>
    </row>
    <row r="13" spans="1:7" ht="15" customHeight="1" x14ac:dyDescent="0.25">
      <c r="A13" s="81">
        <v>111</v>
      </c>
      <c r="B13" s="82" t="s">
        <v>29</v>
      </c>
      <c r="C13" s="83" t="s">
        <v>30</v>
      </c>
      <c r="D13" s="81"/>
      <c r="E13" s="83" t="s">
        <v>9</v>
      </c>
      <c r="F13" s="81">
        <v>60</v>
      </c>
      <c r="G13" s="81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>
      <selection activeCell="D1" sqref="D1"/>
    </sheetView>
  </sheetViews>
  <sheetFormatPr defaultColWidth="8.85546875" defaultRowHeight="15" customHeight="1" x14ac:dyDescent="0.25"/>
  <cols>
    <col min="1" max="2" width="8.85546875" style="6" customWidth="1"/>
    <col min="3" max="3" width="14.140625" style="6" customWidth="1"/>
    <col min="4" max="4" width="13.42578125" style="6" customWidth="1"/>
    <col min="5" max="5" width="13.7109375" style="6" customWidth="1"/>
    <col min="6" max="6" width="14.85546875" style="6" customWidth="1"/>
    <col min="7" max="8" width="16" style="6" customWidth="1"/>
    <col min="9" max="256" width="8.85546875" style="6" customWidth="1"/>
  </cols>
  <sheetData>
    <row r="1" spans="1:8" ht="15" customHeight="1" x14ac:dyDescent="0.25">
      <c r="A1" s="2" t="s">
        <v>31</v>
      </c>
      <c r="B1" s="2" t="s">
        <v>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pans="1:8" ht="15" customHeight="1" x14ac:dyDescent="0.25">
      <c r="A2" s="3">
        <v>2000</v>
      </c>
      <c r="B2" s="3">
        <v>100</v>
      </c>
      <c r="C2" s="3">
        <v>500001</v>
      </c>
      <c r="D2" s="3">
        <v>7000002</v>
      </c>
      <c r="E2" s="3">
        <v>90000001</v>
      </c>
      <c r="F2" s="7">
        <v>26000</v>
      </c>
      <c r="G2" s="8">
        <v>41284</v>
      </c>
      <c r="H2" s="5" t="s">
        <v>38</v>
      </c>
    </row>
    <row r="3" spans="1:8" ht="15" customHeight="1" x14ac:dyDescent="0.25">
      <c r="A3" s="3">
        <v>2001</v>
      </c>
      <c r="B3" s="3">
        <v>100</v>
      </c>
      <c r="C3" s="3">
        <v>500002</v>
      </c>
      <c r="D3" s="3">
        <v>7000003</v>
      </c>
      <c r="E3" s="3">
        <v>90000001</v>
      </c>
      <c r="F3" s="7">
        <v>30000</v>
      </c>
      <c r="G3" s="8">
        <v>41364</v>
      </c>
      <c r="H3" s="5" t="s">
        <v>38</v>
      </c>
    </row>
    <row r="4" spans="1:8" ht="15" customHeight="1" x14ac:dyDescent="0.25">
      <c r="A4" s="3">
        <v>2002</v>
      </c>
      <c r="B4" s="3">
        <v>100</v>
      </c>
      <c r="C4" s="3">
        <v>500003</v>
      </c>
      <c r="D4" s="3">
        <v>7000007</v>
      </c>
      <c r="E4" s="3">
        <v>90000001</v>
      </c>
      <c r="F4" s="7">
        <v>25000</v>
      </c>
      <c r="G4" s="8">
        <v>41450</v>
      </c>
      <c r="H4" s="5" t="s">
        <v>38</v>
      </c>
    </row>
    <row r="5" spans="1:8" ht="15" customHeight="1" x14ac:dyDescent="0.25">
      <c r="A5" s="3">
        <v>2003</v>
      </c>
      <c r="B5" s="3">
        <v>101</v>
      </c>
      <c r="C5" s="3">
        <v>500010</v>
      </c>
      <c r="D5" s="3">
        <v>7000000</v>
      </c>
      <c r="E5" s="3">
        <v>90000001</v>
      </c>
      <c r="F5" s="7">
        <v>50000</v>
      </c>
      <c r="G5" s="8">
        <v>41315</v>
      </c>
      <c r="H5" s="5" t="s">
        <v>38</v>
      </c>
    </row>
    <row r="6" spans="1:8" ht="15" customHeight="1" x14ac:dyDescent="0.25">
      <c r="A6" s="3">
        <v>2004</v>
      </c>
      <c r="B6" s="3">
        <v>101</v>
      </c>
      <c r="C6" s="3">
        <v>500015</v>
      </c>
      <c r="D6" s="3">
        <v>7000009</v>
      </c>
      <c r="E6" s="3">
        <v>90000001</v>
      </c>
      <c r="F6" s="7">
        <v>50000</v>
      </c>
      <c r="G6" s="8">
        <v>41440</v>
      </c>
      <c r="H6" s="5" t="s">
        <v>38</v>
      </c>
    </row>
    <row r="7" spans="1:8" ht="15" customHeight="1" x14ac:dyDescent="0.25">
      <c r="A7" s="3">
        <v>2005</v>
      </c>
      <c r="B7" s="3">
        <v>102</v>
      </c>
      <c r="C7" s="3">
        <v>500014</v>
      </c>
      <c r="D7" s="3">
        <v>7000014</v>
      </c>
      <c r="E7" s="3">
        <v>90000002</v>
      </c>
      <c r="F7" s="7">
        <v>75000</v>
      </c>
      <c r="G7" s="8">
        <v>41305</v>
      </c>
      <c r="H7" s="5" t="s">
        <v>38</v>
      </c>
    </row>
    <row r="8" spans="1:8" ht="15" customHeight="1" x14ac:dyDescent="0.25">
      <c r="A8" s="3">
        <v>2006</v>
      </c>
      <c r="B8" s="3">
        <v>103</v>
      </c>
      <c r="C8" s="3">
        <v>500015</v>
      </c>
      <c r="D8" s="3">
        <v>7000006</v>
      </c>
      <c r="E8" s="3">
        <v>90000001</v>
      </c>
      <c r="F8" s="7">
        <v>100000</v>
      </c>
      <c r="G8" s="8">
        <v>41278</v>
      </c>
      <c r="H8" s="5" t="s">
        <v>38</v>
      </c>
    </row>
    <row r="9" spans="1:8" ht="15" customHeight="1" x14ac:dyDescent="0.25">
      <c r="A9" s="3">
        <v>2007</v>
      </c>
      <c r="B9" s="3">
        <v>104</v>
      </c>
      <c r="C9" s="3">
        <v>500004</v>
      </c>
      <c r="D9" s="3">
        <v>7000009</v>
      </c>
      <c r="E9" s="3">
        <v>90000001</v>
      </c>
      <c r="F9" s="7">
        <v>35000</v>
      </c>
      <c r="G9" s="8">
        <v>41281</v>
      </c>
      <c r="H9" s="5" t="s">
        <v>38</v>
      </c>
    </row>
    <row r="10" spans="1:8" ht="15" customHeight="1" x14ac:dyDescent="0.25">
      <c r="A10" s="3">
        <v>2008</v>
      </c>
      <c r="B10" s="3">
        <v>104</v>
      </c>
      <c r="C10" s="3">
        <v>500005</v>
      </c>
      <c r="D10" s="3">
        <v>7000003</v>
      </c>
      <c r="E10" s="3">
        <v>90000001</v>
      </c>
      <c r="F10" s="7">
        <v>35000</v>
      </c>
      <c r="G10" s="8">
        <v>41315</v>
      </c>
      <c r="H10" s="5" t="s">
        <v>38</v>
      </c>
    </row>
    <row r="11" spans="1:8" ht="15" customHeight="1" x14ac:dyDescent="0.25">
      <c r="A11" s="3">
        <v>2009</v>
      </c>
      <c r="B11" s="3">
        <v>105</v>
      </c>
      <c r="C11" s="3">
        <v>500008</v>
      </c>
      <c r="D11" s="3">
        <v>7000011</v>
      </c>
      <c r="E11" s="3">
        <v>90000001</v>
      </c>
      <c r="F11" s="7">
        <v>65000</v>
      </c>
      <c r="G11" s="8">
        <v>41465</v>
      </c>
      <c r="H11" s="5" t="s">
        <v>38</v>
      </c>
    </row>
    <row r="12" spans="1:8" ht="15" customHeight="1" x14ac:dyDescent="0.25">
      <c r="A12" s="3">
        <v>2010</v>
      </c>
      <c r="B12" s="3">
        <v>105</v>
      </c>
      <c r="C12" s="3">
        <v>500008</v>
      </c>
      <c r="D12" s="3">
        <v>7000014</v>
      </c>
      <c r="E12" s="3">
        <v>90000002</v>
      </c>
      <c r="F12" s="7">
        <v>90000</v>
      </c>
      <c r="G12" s="8">
        <v>41557</v>
      </c>
      <c r="H12" s="5" t="s">
        <v>38</v>
      </c>
    </row>
    <row r="13" spans="1:8" ht="15" customHeight="1" x14ac:dyDescent="0.25">
      <c r="A13" s="3">
        <v>2011</v>
      </c>
      <c r="B13" s="3">
        <v>106</v>
      </c>
      <c r="C13" s="3">
        <v>500012</v>
      </c>
      <c r="D13" s="3">
        <v>7000000</v>
      </c>
      <c r="E13" s="3">
        <v>90000001</v>
      </c>
      <c r="F13" s="7">
        <v>45000</v>
      </c>
      <c r="G13" s="8">
        <v>41729</v>
      </c>
      <c r="H13" s="5" t="s">
        <v>38</v>
      </c>
    </row>
    <row r="14" spans="1:8" ht="15" customHeight="1" x14ac:dyDescent="0.25">
      <c r="A14" s="3">
        <v>2012</v>
      </c>
      <c r="B14" s="3">
        <v>106</v>
      </c>
      <c r="C14" s="3">
        <v>500010</v>
      </c>
      <c r="D14" s="3">
        <v>7000014</v>
      </c>
      <c r="E14" s="3">
        <v>90000002</v>
      </c>
      <c r="F14" s="7">
        <v>45000</v>
      </c>
      <c r="G14" s="8">
        <v>41800</v>
      </c>
      <c r="H14" s="5" t="s">
        <v>38</v>
      </c>
    </row>
    <row r="15" spans="1:8" ht="15" customHeight="1" x14ac:dyDescent="0.25">
      <c r="A15" s="3">
        <v>2013</v>
      </c>
      <c r="B15" s="3">
        <v>107</v>
      </c>
      <c r="C15" s="9">
        <v>500011</v>
      </c>
      <c r="D15" s="3">
        <v>7000014</v>
      </c>
      <c r="E15" s="3">
        <v>90000002</v>
      </c>
      <c r="F15" s="7">
        <v>20000</v>
      </c>
      <c r="G15" s="8">
        <v>41646</v>
      </c>
      <c r="H15" s="5" t="s">
        <v>38</v>
      </c>
    </row>
    <row r="16" spans="1:8" ht="15" customHeight="1" x14ac:dyDescent="0.25">
      <c r="A16" s="3">
        <v>2014</v>
      </c>
      <c r="B16" s="10">
        <v>108</v>
      </c>
      <c r="C16" s="11">
        <v>500001</v>
      </c>
      <c r="D16" s="3">
        <v>7000003</v>
      </c>
      <c r="E16" s="3">
        <v>90000001</v>
      </c>
      <c r="F16" s="7">
        <v>500000</v>
      </c>
      <c r="G16" s="8">
        <v>41649</v>
      </c>
      <c r="H16" s="5" t="s">
        <v>39</v>
      </c>
    </row>
    <row r="17" spans="1:8" ht="15" customHeight="1" x14ac:dyDescent="0.25">
      <c r="A17" s="3">
        <v>2015</v>
      </c>
      <c r="B17" s="10">
        <v>108</v>
      </c>
      <c r="C17" s="11">
        <v>500001</v>
      </c>
      <c r="D17" s="3">
        <v>7000003</v>
      </c>
      <c r="E17" s="3">
        <v>90000001</v>
      </c>
      <c r="F17" s="7">
        <v>500000</v>
      </c>
      <c r="G17" s="8">
        <v>41800</v>
      </c>
      <c r="H17" s="5" t="s">
        <v>39</v>
      </c>
    </row>
    <row r="18" spans="1:8" ht="15" customHeight="1" x14ac:dyDescent="0.25">
      <c r="A18" s="3">
        <v>2016</v>
      </c>
      <c r="B18" s="10">
        <v>109</v>
      </c>
      <c r="C18" s="11">
        <v>500014</v>
      </c>
      <c r="D18" s="9">
        <v>7000001</v>
      </c>
      <c r="E18" s="3">
        <v>90000001</v>
      </c>
      <c r="F18" s="7">
        <v>600000</v>
      </c>
      <c r="G18" s="8">
        <v>41983</v>
      </c>
      <c r="H18" s="5" t="s">
        <v>39</v>
      </c>
    </row>
    <row r="19" spans="1:8" ht="15" customHeight="1" x14ac:dyDescent="0.25">
      <c r="A19" s="3">
        <v>2017</v>
      </c>
      <c r="B19" s="10">
        <v>110</v>
      </c>
      <c r="C19" s="12">
        <v>500015</v>
      </c>
      <c r="D19" s="11">
        <v>7000006</v>
      </c>
      <c r="E19" s="3">
        <v>90000001</v>
      </c>
      <c r="F19" s="7">
        <v>300000</v>
      </c>
      <c r="G19" s="8">
        <v>41835</v>
      </c>
      <c r="H19" s="5" t="s">
        <v>40</v>
      </c>
    </row>
    <row r="20" spans="1:8" ht="15" customHeight="1" x14ac:dyDescent="0.25">
      <c r="A20" s="3">
        <v>2018</v>
      </c>
      <c r="B20" s="10">
        <v>111</v>
      </c>
      <c r="C20" s="12">
        <v>500009</v>
      </c>
      <c r="D20" s="13">
        <v>7000003</v>
      </c>
      <c r="E20" s="3">
        <v>90000001</v>
      </c>
      <c r="F20" s="7">
        <v>800000</v>
      </c>
      <c r="G20" s="8">
        <v>41744</v>
      </c>
      <c r="H20" s="5" t="s">
        <v>39</v>
      </c>
    </row>
    <row r="21" spans="1:8" ht="15" customHeight="1" x14ac:dyDescent="0.25">
      <c r="A21" s="3">
        <v>2019</v>
      </c>
      <c r="B21" s="10">
        <v>111</v>
      </c>
      <c r="C21" s="12">
        <v>500010</v>
      </c>
      <c r="D21" s="14">
        <v>7000000</v>
      </c>
      <c r="E21" s="3">
        <v>90000001</v>
      </c>
      <c r="F21" s="7">
        <v>700000</v>
      </c>
      <c r="G21" s="8">
        <v>41744</v>
      </c>
      <c r="H21" s="5" t="s">
        <v>39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8"/>
  <sheetViews>
    <sheetView showGridLines="0" workbookViewId="0">
      <selection activeCell="G1" sqref="G1"/>
    </sheetView>
  </sheetViews>
  <sheetFormatPr defaultColWidth="8.85546875" defaultRowHeight="15" customHeight="1" x14ac:dyDescent="0.25"/>
  <cols>
    <col min="1" max="1" width="17.28515625" style="15" customWidth="1"/>
    <col min="2" max="255" width="8.85546875" style="15" customWidth="1"/>
  </cols>
  <sheetData>
    <row r="1" spans="1:4" ht="15" customHeight="1" x14ac:dyDescent="0.25">
      <c r="A1" s="2" t="s">
        <v>41</v>
      </c>
      <c r="B1" s="2" t="s">
        <v>31</v>
      </c>
      <c r="C1" s="2" t="s">
        <v>42</v>
      </c>
      <c r="D1" s="2" t="s">
        <v>43</v>
      </c>
    </row>
    <row r="2" spans="1:4" ht="15" customHeight="1" x14ac:dyDescent="0.25">
      <c r="A2" s="3">
        <v>6000001</v>
      </c>
      <c r="B2" s="3">
        <v>2000</v>
      </c>
      <c r="C2" s="3">
        <v>30000</v>
      </c>
      <c r="D2" s="7">
        <v>13000</v>
      </c>
    </row>
    <row r="3" spans="1:4" ht="15" customHeight="1" x14ac:dyDescent="0.25">
      <c r="A3" s="3">
        <v>6000002</v>
      </c>
      <c r="B3" s="3">
        <v>2000</v>
      </c>
      <c r="C3" s="3">
        <v>30001</v>
      </c>
      <c r="D3" s="7">
        <v>13000</v>
      </c>
    </row>
    <row r="4" spans="1:4" ht="15" customHeight="1" x14ac:dyDescent="0.25">
      <c r="A4" s="3">
        <v>6000002</v>
      </c>
      <c r="B4" s="3">
        <v>2001</v>
      </c>
      <c r="C4" s="3">
        <v>30000</v>
      </c>
      <c r="D4" s="7">
        <v>10000</v>
      </c>
    </row>
    <row r="5" spans="1:4" ht="15" customHeight="1" x14ac:dyDescent="0.25">
      <c r="A5" s="3">
        <v>6000003</v>
      </c>
      <c r="B5" s="3">
        <v>2001</v>
      </c>
      <c r="C5" s="3">
        <v>30001</v>
      </c>
      <c r="D5" s="7">
        <v>10000</v>
      </c>
    </row>
    <row r="6" spans="1:4" ht="15" customHeight="1" x14ac:dyDescent="0.25">
      <c r="A6" s="3">
        <v>6000004</v>
      </c>
      <c r="B6" s="3">
        <v>2001</v>
      </c>
      <c r="C6" s="3">
        <v>30002</v>
      </c>
      <c r="D6" s="7">
        <v>10000</v>
      </c>
    </row>
    <row r="7" spans="1:4" ht="15" customHeight="1" x14ac:dyDescent="0.25">
      <c r="A7" s="3">
        <v>6000005</v>
      </c>
      <c r="B7" s="3">
        <v>2002</v>
      </c>
      <c r="C7" s="3">
        <v>30003</v>
      </c>
      <c r="D7" s="7">
        <v>25000</v>
      </c>
    </row>
    <row r="8" spans="1:4" ht="15" customHeight="1" x14ac:dyDescent="0.25">
      <c r="A8" s="3">
        <v>6000006</v>
      </c>
      <c r="B8" s="3">
        <v>2003</v>
      </c>
      <c r="C8" s="3">
        <v>30001</v>
      </c>
      <c r="D8" s="7">
        <v>30000</v>
      </c>
    </row>
    <row r="9" spans="1:4" ht="15" customHeight="1" x14ac:dyDescent="0.25">
      <c r="A9" s="3">
        <v>6000007</v>
      </c>
      <c r="B9" s="3">
        <v>2003</v>
      </c>
      <c r="C9" s="3">
        <v>30003</v>
      </c>
      <c r="D9" s="7">
        <v>20000</v>
      </c>
    </row>
    <row r="10" spans="1:4" ht="15" customHeight="1" x14ac:dyDescent="0.25">
      <c r="A10" s="3">
        <v>6000008</v>
      </c>
      <c r="B10" s="3">
        <v>2004</v>
      </c>
      <c r="C10" s="3">
        <v>30000</v>
      </c>
      <c r="D10" s="7">
        <v>50000</v>
      </c>
    </row>
    <row r="11" spans="1:4" ht="15" customHeight="1" x14ac:dyDescent="0.25">
      <c r="A11" s="3">
        <v>6000009</v>
      </c>
      <c r="B11" s="3">
        <v>2005</v>
      </c>
      <c r="C11" s="3">
        <v>30002</v>
      </c>
      <c r="D11" s="7">
        <v>75000</v>
      </c>
    </row>
    <row r="12" spans="1:4" ht="15" customHeight="1" x14ac:dyDescent="0.25">
      <c r="A12" s="3">
        <v>6000010</v>
      </c>
      <c r="B12" s="3">
        <v>2006</v>
      </c>
      <c r="C12" s="3">
        <v>30004</v>
      </c>
      <c r="D12" s="7">
        <v>100000</v>
      </c>
    </row>
    <row r="13" spans="1:4" ht="15" customHeight="1" x14ac:dyDescent="0.25">
      <c r="A13" s="3">
        <v>6000011</v>
      </c>
      <c r="B13" s="3">
        <v>2007</v>
      </c>
      <c r="C13" s="3">
        <v>30005</v>
      </c>
      <c r="D13" s="7">
        <v>10000</v>
      </c>
    </row>
    <row r="14" spans="1:4" ht="15" customHeight="1" x14ac:dyDescent="0.25">
      <c r="A14" s="3">
        <v>6000012</v>
      </c>
      <c r="B14" s="3">
        <v>2007</v>
      </c>
      <c r="C14" s="3">
        <v>30006</v>
      </c>
      <c r="D14" s="7">
        <v>20000</v>
      </c>
    </row>
    <row r="15" spans="1:4" ht="15" customHeight="1" x14ac:dyDescent="0.25">
      <c r="A15" s="3">
        <v>6000013</v>
      </c>
      <c r="B15" s="3">
        <v>2007</v>
      </c>
      <c r="C15" s="3">
        <v>30007</v>
      </c>
      <c r="D15" s="7">
        <v>10000</v>
      </c>
    </row>
    <row r="16" spans="1:4" ht="15" customHeight="1" x14ac:dyDescent="0.25">
      <c r="A16" s="3">
        <v>6000014</v>
      </c>
      <c r="B16" s="3">
        <v>2008</v>
      </c>
      <c r="C16" s="3">
        <v>30006</v>
      </c>
      <c r="D16" s="7">
        <v>30000</v>
      </c>
    </row>
    <row r="17" spans="1:4" ht="15" customHeight="1" x14ac:dyDescent="0.25">
      <c r="A17" s="3">
        <v>6000015</v>
      </c>
      <c r="B17" s="3">
        <v>2008</v>
      </c>
      <c r="C17" s="3">
        <v>30005</v>
      </c>
      <c r="D17" s="7">
        <v>5000</v>
      </c>
    </row>
    <row r="18" spans="1:4" ht="15" customHeight="1" x14ac:dyDescent="0.25">
      <c r="A18" s="3">
        <v>6000016</v>
      </c>
      <c r="B18" s="3">
        <v>2009</v>
      </c>
      <c r="C18" s="3">
        <v>30007</v>
      </c>
      <c r="D18" s="7">
        <v>65000</v>
      </c>
    </row>
    <row r="19" spans="1:4" ht="15" customHeight="1" x14ac:dyDescent="0.25">
      <c r="A19" s="3">
        <v>6000017</v>
      </c>
      <c r="B19" s="3">
        <v>2010</v>
      </c>
      <c r="C19" s="3">
        <v>30005</v>
      </c>
      <c r="D19" s="7">
        <v>90000</v>
      </c>
    </row>
    <row r="20" spans="1:4" ht="15" customHeight="1" x14ac:dyDescent="0.25">
      <c r="A20" s="3">
        <v>6000018</v>
      </c>
      <c r="B20" s="3">
        <v>2011</v>
      </c>
      <c r="C20" s="3">
        <v>30008</v>
      </c>
      <c r="D20" s="7">
        <v>45000</v>
      </c>
    </row>
    <row r="21" spans="1:4" ht="15" customHeight="1" x14ac:dyDescent="0.25">
      <c r="A21" s="3">
        <v>6000019</v>
      </c>
      <c r="B21" s="3">
        <v>2012</v>
      </c>
      <c r="C21" s="3">
        <v>30008</v>
      </c>
      <c r="D21" s="7">
        <v>45000</v>
      </c>
    </row>
    <row r="22" spans="1:4" ht="15" customHeight="1" x14ac:dyDescent="0.25">
      <c r="A22" s="3">
        <v>6000020</v>
      </c>
      <c r="B22" s="3">
        <v>2013</v>
      </c>
      <c r="C22" s="3">
        <v>30008</v>
      </c>
      <c r="D22" s="7">
        <v>20000</v>
      </c>
    </row>
    <row r="23" spans="1:4" ht="15" customHeight="1" x14ac:dyDescent="0.25">
      <c r="A23" s="3">
        <v>6000021</v>
      </c>
      <c r="B23" s="3">
        <v>2014</v>
      </c>
      <c r="C23" s="3">
        <v>30009</v>
      </c>
      <c r="D23" s="7">
        <v>500000</v>
      </c>
    </row>
    <row r="24" spans="1:4" ht="15" customHeight="1" x14ac:dyDescent="0.25">
      <c r="A24" s="3">
        <v>6000022</v>
      </c>
      <c r="B24" s="3">
        <v>2015</v>
      </c>
      <c r="C24" s="3">
        <v>30009</v>
      </c>
      <c r="D24" s="7">
        <v>500000</v>
      </c>
    </row>
    <row r="25" spans="1:4" ht="15" customHeight="1" x14ac:dyDescent="0.25">
      <c r="A25" s="3">
        <v>6000023</v>
      </c>
      <c r="B25" s="3">
        <v>2016</v>
      </c>
      <c r="C25" s="3">
        <v>30010</v>
      </c>
      <c r="D25" s="7">
        <v>600000</v>
      </c>
    </row>
    <row r="26" spans="1:4" ht="15" customHeight="1" x14ac:dyDescent="0.25">
      <c r="A26" s="3">
        <v>6000024</v>
      </c>
      <c r="B26" s="3">
        <v>2017</v>
      </c>
      <c r="C26" s="3">
        <v>30011</v>
      </c>
      <c r="D26" s="7">
        <v>300000</v>
      </c>
    </row>
    <row r="27" spans="1:4" ht="15" customHeight="1" x14ac:dyDescent="0.25">
      <c r="A27" s="3">
        <v>6000025</v>
      </c>
      <c r="B27" s="3">
        <v>2018</v>
      </c>
      <c r="C27" s="3">
        <v>30012</v>
      </c>
      <c r="D27" s="7">
        <v>800000</v>
      </c>
    </row>
    <row r="28" spans="1:4" ht="15" customHeight="1" x14ac:dyDescent="0.25">
      <c r="A28" s="3">
        <v>6000026</v>
      </c>
      <c r="B28" s="3">
        <v>2019</v>
      </c>
      <c r="C28" s="3">
        <v>30013</v>
      </c>
      <c r="D28" s="7">
        <v>700000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7"/>
  <sheetViews>
    <sheetView showGridLines="0" workbookViewId="0">
      <selection activeCell="E10" sqref="E10"/>
    </sheetView>
  </sheetViews>
  <sheetFormatPr defaultColWidth="16.28515625" defaultRowHeight="14.85" customHeight="1" x14ac:dyDescent="0.25"/>
  <cols>
    <col min="1" max="2" width="16.28515625" style="16" customWidth="1"/>
    <col min="3" max="3" width="29.7109375" style="16" customWidth="1"/>
    <col min="4" max="256" width="16.28515625" style="16" customWidth="1"/>
  </cols>
  <sheetData>
    <row r="1" spans="1:4" ht="14.65" customHeight="1" x14ac:dyDescent="0.25">
      <c r="A1" s="17" t="s">
        <v>32</v>
      </c>
      <c r="B1" s="17" t="s">
        <v>44</v>
      </c>
      <c r="C1" s="17" t="s">
        <v>45</v>
      </c>
      <c r="D1" s="17" t="s">
        <v>46</v>
      </c>
    </row>
    <row r="2" spans="1:4" ht="14.65" customHeight="1" x14ac:dyDescent="0.25">
      <c r="A2" s="18">
        <v>500000</v>
      </c>
      <c r="B2" s="19" t="s">
        <v>47</v>
      </c>
      <c r="C2" s="20" t="s">
        <v>48</v>
      </c>
      <c r="D2" s="21">
        <v>0</v>
      </c>
    </row>
    <row r="3" spans="1:4" ht="14.45" customHeight="1" x14ac:dyDescent="0.25">
      <c r="A3" s="22">
        <v>500001</v>
      </c>
      <c r="B3" s="23" t="s">
        <v>49</v>
      </c>
      <c r="C3" s="24" t="s">
        <v>50</v>
      </c>
      <c r="D3" s="12">
        <f>'Lookup Tables'!B2*(Gift!F2+Gift!F16+Gift!F17)</f>
        <v>10260</v>
      </c>
    </row>
    <row r="4" spans="1:4" ht="14.45" customHeight="1" x14ac:dyDescent="0.25">
      <c r="A4" s="22">
        <v>500002</v>
      </c>
      <c r="B4" s="23" t="s">
        <v>51</v>
      </c>
      <c r="C4" s="24" t="s">
        <v>52</v>
      </c>
      <c r="D4" s="12">
        <f>'Lookup Tables'!B3*Gift!F3</f>
        <v>3000</v>
      </c>
    </row>
    <row r="5" spans="1:4" ht="14.45" customHeight="1" x14ac:dyDescent="0.25">
      <c r="A5" s="22">
        <v>500003</v>
      </c>
      <c r="B5" s="23" t="s">
        <v>53</v>
      </c>
      <c r="C5" s="24" t="s">
        <v>54</v>
      </c>
      <c r="D5" s="12">
        <f>'Lookup Tables'!B3*Gift!F4</f>
        <v>2500</v>
      </c>
    </row>
    <row r="6" spans="1:4" ht="14.45" customHeight="1" x14ac:dyDescent="0.25">
      <c r="A6" s="22">
        <v>500004</v>
      </c>
      <c r="B6" s="23" t="s">
        <v>53</v>
      </c>
      <c r="C6" s="24" t="s">
        <v>55</v>
      </c>
      <c r="D6" s="12">
        <f>'Lookup Tables'!B3*Gift!F9</f>
        <v>3500</v>
      </c>
    </row>
    <row r="7" spans="1:4" ht="14.45" customHeight="1" x14ac:dyDescent="0.25">
      <c r="A7" s="22">
        <v>500005</v>
      </c>
      <c r="B7" s="23" t="s">
        <v>53</v>
      </c>
      <c r="C7" s="24" t="s">
        <v>56</v>
      </c>
      <c r="D7" s="12">
        <f>'Lookup Tables'!B3*Gift!F10</f>
        <v>3500</v>
      </c>
    </row>
    <row r="8" spans="1:4" ht="14.45" customHeight="1" x14ac:dyDescent="0.25">
      <c r="A8" s="22">
        <v>500006</v>
      </c>
      <c r="B8" s="23" t="s">
        <v>53</v>
      </c>
      <c r="C8" s="24" t="s">
        <v>57</v>
      </c>
      <c r="D8" s="12">
        <v>0</v>
      </c>
    </row>
    <row r="9" spans="1:4" ht="14.45" customHeight="1" x14ac:dyDescent="0.25">
      <c r="A9" s="22">
        <v>500007</v>
      </c>
      <c r="B9" s="23" t="s">
        <v>58</v>
      </c>
      <c r="C9" s="24" t="s">
        <v>59</v>
      </c>
      <c r="D9" s="12">
        <v>0</v>
      </c>
    </row>
    <row r="10" spans="1:4" ht="14.45" customHeight="1" x14ac:dyDescent="0.25">
      <c r="A10" s="22">
        <v>500008</v>
      </c>
      <c r="B10" s="23" t="s">
        <v>60</v>
      </c>
      <c r="C10" s="24" t="s">
        <v>61</v>
      </c>
      <c r="D10" s="12">
        <f>'Lookup Tables'!B4*(Gift!F11+Gift!F12)</f>
        <v>12400</v>
      </c>
    </row>
    <row r="11" spans="1:4" ht="14.45" customHeight="1" x14ac:dyDescent="0.25">
      <c r="A11" s="22">
        <v>500009</v>
      </c>
      <c r="B11" s="23" t="s">
        <v>62</v>
      </c>
      <c r="C11" s="24" t="s">
        <v>63</v>
      </c>
      <c r="D11" s="12">
        <f>'Lookup Tables'!B2*Gift!F20</f>
        <v>8000</v>
      </c>
    </row>
    <row r="12" spans="1:4" ht="14.45" customHeight="1" x14ac:dyDescent="0.25">
      <c r="A12" s="22">
        <v>500010</v>
      </c>
      <c r="B12" s="23" t="s">
        <v>62</v>
      </c>
      <c r="C12" s="24" t="s">
        <v>64</v>
      </c>
      <c r="D12" s="12">
        <f>'Lookup Tables'!B2*(Gift!F5+Gift!F14+Gift!F21)</f>
        <v>7950</v>
      </c>
    </row>
    <row r="13" spans="1:4" ht="14.45" customHeight="1" x14ac:dyDescent="0.25">
      <c r="A13" s="22">
        <v>500011</v>
      </c>
      <c r="B13" s="23" t="s">
        <v>65</v>
      </c>
      <c r="C13" s="24" t="s">
        <v>66</v>
      </c>
      <c r="D13" s="12">
        <f>'Lookup Tables'!B3*Gift!F15</f>
        <v>2000</v>
      </c>
    </row>
    <row r="14" spans="1:4" ht="14.45" customHeight="1" x14ac:dyDescent="0.25">
      <c r="A14" s="22">
        <v>500012</v>
      </c>
      <c r="B14" s="23" t="s">
        <v>62</v>
      </c>
      <c r="C14" s="24" t="s">
        <v>67</v>
      </c>
      <c r="D14" s="12">
        <f>'Lookup Tables'!B4*Gift!F13</f>
        <v>3600</v>
      </c>
    </row>
    <row r="15" spans="1:4" ht="14.45" customHeight="1" x14ac:dyDescent="0.25">
      <c r="A15" s="22">
        <v>500013</v>
      </c>
      <c r="B15" s="23" t="s">
        <v>62</v>
      </c>
      <c r="C15" s="24" t="s">
        <v>68</v>
      </c>
      <c r="D15" s="12">
        <v>0</v>
      </c>
    </row>
    <row r="16" spans="1:4" ht="14.45" customHeight="1" x14ac:dyDescent="0.25">
      <c r="A16" s="22">
        <v>500014</v>
      </c>
      <c r="B16" s="23" t="s">
        <v>62</v>
      </c>
      <c r="C16" s="24" t="s">
        <v>69</v>
      </c>
      <c r="D16" s="12">
        <f>'Lookup Tables'!B2*(Gift!F7+Gift!F18)</f>
        <v>6750</v>
      </c>
    </row>
    <row r="17" spans="1:4" ht="14.45" customHeight="1" x14ac:dyDescent="0.25">
      <c r="A17" s="22">
        <v>500015</v>
      </c>
      <c r="B17" s="23" t="s">
        <v>60</v>
      </c>
      <c r="C17" s="24" t="s">
        <v>70</v>
      </c>
      <c r="D17" s="12">
        <f>'Lookup Tables'!B2*(Gift!F19+Gift!F8+Gift!F6)</f>
        <v>4500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Margins left="1" right="1" top="1" bottom="1" header="0.25" footer="0.25"/>
  <pageSetup orientation="portrait"/>
  <headerFooter>
    <oddFooter>&amp;C&amp;"Helvetica,Regular"&amp;12&amp;K000000&amp;P</oddFooter>
  </headerFooter>
  <legacy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H9" sqref="H9"/>
    </sheetView>
  </sheetViews>
  <sheetFormatPr defaultColWidth="8.85546875" defaultRowHeight="15" customHeight="1" x14ac:dyDescent="0.25"/>
  <cols>
    <col min="1" max="1" width="8.85546875" style="25" customWidth="1"/>
    <col min="2" max="2" width="50.7109375" style="25" customWidth="1"/>
    <col min="3" max="3" width="14.42578125" style="25" customWidth="1"/>
    <col min="4" max="4" width="14.140625" style="25" customWidth="1"/>
    <col min="5" max="255" width="8.85546875" style="25" customWidth="1"/>
  </cols>
  <sheetData>
    <row r="1" spans="1:4" ht="15" customHeight="1" x14ac:dyDescent="0.25">
      <c r="A1" s="2" t="s">
        <v>42</v>
      </c>
      <c r="B1" s="2" t="s">
        <v>71</v>
      </c>
      <c r="C1" s="2" t="s">
        <v>72</v>
      </c>
      <c r="D1" s="2" t="s">
        <v>73</v>
      </c>
    </row>
    <row r="2" spans="1:4" ht="15" customHeight="1" x14ac:dyDescent="0.25">
      <c r="A2" s="3">
        <v>30000</v>
      </c>
      <c r="B2" s="5" t="s">
        <v>74</v>
      </c>
      <c r="C2" s="7">
        <v>73000</v>
      </c>
      <c r="D2" s="8">
        <v>41440</v>
      </c>
    </row>
    <row r="3" spans="1:4" ht="15" customHeight="1" x14ac:dyDescent="0.25">
      <c r="A3" s="3">
        <v>30001</v>
      </c>
      <c r="B3" s="5" t="s">
        <v>75</v>
      </c>
      <c r="C3" s="7">
        <v>53000</v>
      </c>
      <c r="D3" s="8">
        <v>41364</v>
      </c>
    </row>
    <row r="4" spans="1:4" ht="15" customHeight="1" x14ac:dyDescent="0.25">
      <c r="A4" s="3">
        <v>30002</v>
      </c>
      <c r="B4" s="5" t="s">
        <v>76</v>
      </c>
      <c r="C4" s="7">
        <v>85000</v>
      </c>
      <c r="D4" s="8">
        <v>41364</v>
      </c>
    </row>
    <row r="5" spans="1:4" ht="15" customHeight="1" x14ac:dyDescent="0.25">
      <c r="A5" s="3">
        <v>30003</v>
      </c>
      <c r="B5" s="5" t="s">
        <v>77</v>
      </c>
      <c r="C5" s="7">
        <v>45000</v>
      </c>
      <c r="D5" s="8">
        <v>41450</v>
      </c>
    </row>
    <row r="6" spans="1:4" ht="15" customHeight="1" x14ac:dyDescent="0.25">
      <c r="A6" s="3">
        <v>30004</v>
      </c>
      <c r="B6" s="5" t="s">
        <v>78</v>
      </c>
      <c r="C6" s="7">
        <v>100000</v>
      </c>
      <c r="D6" s="8">
        <v>41278</v>
      </c>
    </row>
    <row r="7" spans="1:4" ht="15" customHeight="1" x14ac:dyDescent="0.25">
      <c r="A7" s="3">
        <v>30005</v>
      </c>
      <c r="B7" s="5" t="s">
        <v>79</v>
      </c>
      <c r="C7" s="7">
        <v>105000</v>
      </c>
      <c r="D7" s="8">
        <v>41579</v>
      </c>
    </row>
    <row r="8" spans="1:4" ht="15" customHeight="1" x14ac:dyDescent="0.25">
      <c r="A8" s="3">
        <v>30006</v>
      </c>
      <c r="B8" s="5" t="s">
        <v>80</v>
      </c>
      <c r="C8" s="7">
        <v>50000</v>
      </c>
      <c r="D8" s="8">
        <v>41284</v>
      </c>
    </row>
    <row r="9" spans="1:4" ht="15" customHeight="1" x14ac:dyDescent="0.25">
      <c r="A9" s="3">
        <v>30007</v>
      </c>
      <c r="B9" s="5" t="s">
        <v>81</v>
      </c>
      <c r="C9" s="7">
        <v>75000</v>
      </c>
      <c r="D9" s="8">
        <v>41557</v>
      </c>
    </row>
    <row r="10" spans="1:4" ht="15" customHeight="1" x14ac:dyDescent="0.25">
      <c r="A10" s="3">
        <v>30008</v>
      </c>
      <c r="B10" s="5" t="s">
        <v>82</v>
      </c>
      <c r="C10" s="7">
        <v>110000</v>
      </c>
      <c r="D10" s="8">
        <v>41852</v>
      </c>
    </row>
    <row r="11" spans="1:4" ht="15" customHeight="1" x14ac:dyDescent="0.25">
      <c r="A11" s="3">
        <v>30009</v>
      </c>
      <c r="B11" s="4" t="s">
        <v>83</v>
      </c>
      <c r="C11" s="7">
        <v>500000</v>
      </c>
      <c r="D11" s="8">
        <v>41680</v>
      </c>
    </row>
    <row r="12" spans="1:4" ht="15" customHeight="1" x14ac:dyDescent="0.25">
      <c r="A12" s="3">
        <v>30010</v>
      </c>
      <c r="B12" s="4" t="s">
        <v>84</v>
      </c>
      <c r="C12" s="7">
        <v>600000</v>
      </c>
      <c r="D12" s="8">
        <v>41988</v>
      </c>
    </row>
    <row r="13" spans="1:4" ht="15" customHeight="1" x14ac:dyDescent="0.25">
      <c r="A13" s="3">
        <v>30011</v>
      </c>
      <c r="B13" s="4" t="s">
        <v>85</v>
      </c>
      <c r="C13" s="7">
        <v>300000</v>
      </c>
      <c r="D13" s="8">
        <v>41840</v>
      </c>
    </row>
    <row r="14" spans="1:4" ht="15" customHeight="1" x14ac:dyDescent="0.25">
      <c r="A14" s="3">
        <v>30012</v>
      </c>
      <c r="B14" s="4" t="s">
        <v>86</v>
      </c>
      <c r="C14" s="7">
        <v>800000</v>
      </c>
      <c r="D14" s="8">
        <v>41749</v>
      </c>
    </row>
    <row r="15" spans="1:4" ht="15" customHeight="1" x14ac:dyDescent="0.25">
      <c r="A15" s="3">
        <v>30013</v>
      </c>
      <c r="B15" s="4" t="s">
        <v>87</v>
      </c>
      <c r="C15" s="7">
        <v>700000</v>
      </c>
      <c r="D15" s="8">
        <v>41774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"/>
  <sheetViews>
    <sheetView showGridLines="0" workbookViewId="0">
      <selection activeCell="F16" sqref="F16"/>
    </sheetView>
  </sheetViews>
  <sheetFormatPr defaultColWidth="16.28515625" defaultRowHeight="14.85" customHeight="1" x14ac:dyDescent="0.25"/>
  <cols>
    <col min="1" max="253" width="16.28515625" style="26" customWidth="1"/>
  </cols>
  <sheetData>
    <row r="1" spans="1:2" ht="14.65" customHeight="1" x14ac:dyDescent="0.25">
      <c r="A1" s="17" t="s">
        <v>34</v>
      </c>
      <c r="B1" s="17" t="s">
        <v>88</v>
      </c>
    </row>
    <row r="2" spans="1:2" ht="14.65" customHeight="1" x14ac:dyDescent="0.25">
      <c r="A2" s="18">
        <v>90000001</v>
      </c>
      <c r="B2" s="19" t="s">
        <v>89</v>
      </c>
    </row>
    <row r="3" spans="1:2" ht="14.45" customHeight="1" x14ac:dyDescent="0.25">
      <c r="A3" s="22">
        <v>90000002</v>
      </c>
      <c r="B3" s="23" t="s">
        <v>90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16"/>
  <sheetViews>
    <sheetView showGridLines="0" workbookViewId="0">
      <selection activeCell="F7" sqref="F7"/>
    </sheetView>
  </sheetViews>
  <sheetFormatPr defaultColWidth="16.28515625" defaultRowHeight="14.85" customHeight="1" x14ac:dyDescent="0.25"/>
  <cols>
    <col min="1" max="1" width="16.28515625" style="27" customWidth="1"/>
    <col min="2" max="2" width="34.85546875" style="27" customWidth="1"/>
    <col min="3" max="253" width="16.28515625" style="27" customWidth="1"/>
  </cols>
  <sheetData>
    <row r="1" spans="1:2" ht="14.65" customHeight="1" x14ac:dyDescent="0.25">
      <c r="A1" s="17" t="s">
        <v>33</v>
      </c>
      <c r="B1" s="17" t="s">
        <v>91</v>
      </c>
    </row>
    <row r="2" spans="1:2" ht="14.65" customHeight="1" x14ac:dyDescent="0.25">
      <c r="A2" s="18">
        <v>7000000</v>
      </c>
      <c r="B2" s="19" t="s">
        <v>92</v>
      </c>
    </row>
    <row r="3" spans="1:2" ht="14.45" customHeight="1" x14ac:dyDescent="0.25">
      <c r="A3" s="22">
        <v>7000001</v>
      </c>
      <c r="B3" s="23" t="s">
        <v>93</v>
      </c>
    </row>
    <row r="4" spans="1:2" ht="14.45" customHeight="1" x14ac:dyDescent="0.25">
      <c r="A4" s="22">
        <v>7000002</v>
      </c>
      <c r="B4" s="23" t="s">
        <v>94</v>
      </c>
    </row>
    <row r="5" spans="1:2" ht="14.45" customHeight="1" x14ac:dyDescent="0.25">
      <c r="A5" s="22">
        <v>7000003</v>
      </c>
      <c r="B5" s="23" t="s">
        <v>95</v>
      </c>
    </row>
    <row r="6" spans="1:2" ht="14.45" customHeight="1" x14ac:dyDescent="0.25">
      <c r="A6" s="22">
        <v>7000004</v>
      </c>
      <c r="B6" s="23" t="s">
        <v>96</v>
      </c>
    </row>
    <row r="7" spans="1:2" ht="14.45" customHeight="1" x14ac:dyDescent="0.25">
      <c r="A7" s="22">
        <v>7000005</v>
      </c>
      <c r="B7" s="23" t="s">
        <v>97</v>
      </c>
    </row>
    <row r="8" spans="1:2" ht="14.45" customHeight="1" x14ac:dyDescent="0.25">
      <c r="A8" s="22">
        <v>7000006</v>
      </c>
      <c r="B8" s="23" t="s">
        <v>98</v>
      </c>
    </row>
    <row r="9" spans="1:2" ht="14.45" customHeight="1" x14ac:dyDescent="0.25">
      <c r="A9" s="22">
        <v>7000007</v>
      </c>
      <c r="B9" s="23" t="s">
        <v>99</v>
      </c>
    </row>
    <row r="10" spans="1:2" ht="14.45" customHeight="1" x14ac:dyDescent="0.25">
      <c r="A10" s="22">
        <v>7000008</v>
      </c>
      <c r="B10" s="23" t="s">
        <v>100</v>
      </c>
    </row>
    <row r="11" spans="1:2" ht="14.45" customHeight="1" x14ac:dyDescent="0.25">
      <c r="A11" s="22">
        <v>7000009</v>
      </c>
      <c r="B11" s="23" t="s">
        <v>101</v>
      </c>
    </row>
    <row r="12" spans="1:2" ht="14.45" customHeight="1" x14ac:dyDescent="0.25">
      <c r="A12" s="22">
        <v>7000010</v>
      </c>
      <c r="B12" s="23" t="s">
        <v>102</v>
      </c>
    </row>
    <row r="13" spans="1:2" ht="14.45" customHeight="1" x14ac:dyDescent="0.25">
      <c r="A13" s="22">
        <v>7000011</v>
      </c>
      <c r="B13" s="23" t="s">
        <v>103</v>
      </c>
    </row>
    <row r="14" spans="1:2" ht="14.45" customHeight="1" x14ac:dyDescent="0.25">
      <c r="A14" s="22">
        <v>7000012</v>
      </c>
      <c r="B14" s="23" t="s">
        <v>104</v>
      </c>
    </row>
    <row r="15" spans="1:2" ht="14.45" customHeight="1" x14ac:dyDescent="0.25">
      <c r="A15" s="22">
        <v>7000013</v>
      </c>
      <c r="B15" s="23" t="s">
        <v>105</v>
      </c>
    </row>
    <row r="16" spans="1:2" ht="14.45" customHeight="1" x14ac:dyDescent="0.25">
      <c r="A16" s="22">
        <v>7000014</v>
      </c>
      <c r="B16" s="23" t="s">
        <v>106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12" sqref="G12"/>
    </sheetView>
  </sheetViews>
  <sheetFormatPr defaultColWidth="16.28515625" defaultRowHeight="14.85" customHeight="1" x14ac:dyDescent="0.25"/>
  <cols>
    <col min="1" max="1" width="35.42578125" style="28" customWidth="1"/>
    <col min="2" max="253" width="16.28515625" style="28" customWidth="1"/>
  </cols>
  <sheetData>
    <row r="1" spans="1:2" ht="14.65" customHeight="1" x14ac:dyDescent="0.25">
      <c r="A1" s="29" t="s">
        <v>107</v>
      </c>
      <c r="B1" s="29" t="s">
        <v>108</v>
      </c>
    </row>
    <row r="2" spans="1:2" ht="14.65" customHeight="1" x14ac:dyDescent="0.25">
      <c r="A2" s="30" t="s">
        <v>109</v>
      </c>
      <c r="B2" s="31">
        <v>0.01</v>
      </c>
    </row>
    <row r="3" spans="1:2" ht="14.45" customHeight="1" x14ac:dyDescent="0.25">
      <c r="A3" s="32" t="s">
        <v>110</v>
      </c>
      <c r="B3" s="33">
        <v>0.1</v>
      </c>
    </row>
    <row r="4" spans="1:2" ht="14.45" customHeight="1" x14ac:dyDescent="0.25">
      <c r="A4" s="32" t="s">
        <v>111</v>
      </c>
      <c r="B4" s="33">
        <v>0.08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"/>
  <sheetViews>
    <sheetView showGridLines="0" workbookViewId="0"/>
  </sheetViews>
  <sheetFormatPr defaultColWidth="16.28515625" defaultRowHeight="14.85" customHeight="1" x14ac:dyDescent="0.25"/>
  <cols>
    <col min="1" max="1" width="16.28515625" style="34" customWidth="1"/>
    <col min="2" max="2" width="39.85546875" style="34" customWidth="1"/>
    <col min="3" max="256" width="16.28515625" style="34" customWidth="1"/>
  </cols>
  <sheetData>
    <row r="1" spans="1:5" ht="14.65" customHeight="1" x14ac:dyDescent="0.25">
      <c r="A1" s="35" t="s">
        <v>112</v>
      </c>
      <c r="B1" s="35" t="s">
        <v>113</v>
      </c>
      <c r="C1" s="35" t="s">
        <v>4</v>
      </c>
      <c r="D1" s="35" t="s">
        <v>114</v>
      </c>
      <c r="E1" s="36"/>
    </row>
    <row r="2" spans="1:5" ht="14.65" customHeight="1" x14ac:dyDescent="0.25">
      <c r="A2" s="21">
        <v>400001</v>
      </c>
      <c r="B2" s="20" t="s">
        <v>115</v>
      </c>
      <c r="C2" s="20" t="s">
        <v>116</v>
      </c>
      <c r="D2" s="20" t="s">
        <v>30</v>
      </c>
      <c r="E2" s="37"/>
    </row>
    <row r="3" spans="1:5" ht="14.45" customHeight="1" x14ac:dyDescent="0.25">
      <c r="A3" s="12">
        <v>400002</v>
      </c>
      <c r="B3" s="24" t="s">
        <v>117</v>
      </c>
      <c r="C3" s="24" t="s">
        <v>118</v>
      </c>
      <c r="D3" s="24"/>
      <c r="E3" s="37"/>
    </row>
    <row r="4" spans="1:5" ht="14.45" customHeight="1" x14ac:dyDescent="0.25">
      <c r="A4" s="12">
        <v>400003</v>
      </c>
      <c r="B4" s="24" t="s">
        <v>119</v>
      </c>
      <c r="C4" s="24" t="s">
        <v>116</v>
      </c>
      <c r="D4" s="24" t="s">
        <v>120</v>
      </c>
      <c r="E4" s="37"/>
    </row>
    <row r="5" spans="1:5" ht="14.45" customHeight="1" x14ac:dyDescent="0.25">
      <c r="A5" s="12">
        <v>400004</v>
      </c>
      <c r="B5" s="24" t="s">
        <v>121</v>
      </c>
      <c r="C5" s="24" t="s">
        <v>122</v>
      </c>
      <c r="D5" s="12"/>
      <c r="E5" s="37"/>
    </row>
    <row r="6" spans="1:5" ht="14.45" customHeight="1" x14ac:dyDescent="0.25">
      <c r="A6" s="12">
        <v>400005</v>
      </c>
      <c r="B6" s="24" t="s">
        <v>123</v>
      </c>
      <c r="C6" s="24" t="s">
        <v>116</v>
      </c>
      <c r="D6" s="24" t="s">
        <v>30</v>
      </c>
      <c r="E6" s="37"/>
    </row>
    <row r="7" spans="1:5" ht="14.45" customHeight="1" x14ac:dyDescent="0.25">
      <c r="A7" s="12">
        <v>400006</v>
      </c>
      <c r="B7" s="24" t="s">
        <v>124</v>
      </c>
      <c r="C7" s="24" t="s">
        <v>125</v>
      </c>
      <c r="D7" s="12"/>
      <c r="E7" s="37"/>
    </row>
    <row r="8" spans="1:5" ht="14.45" customHeight="1" x14ac:dyDescent="0.25">
      <c r="A8" s="12">
        <v>400007</v>
      </c>
      <c r="B8" s="24" t="s">
        <v>126</v>
      </c>
      <c r="C8" s="24" t="s">
        <v>26</v>
      </c>
      <c r="D8" s="24" t="s">
        <v>25</v>
      </c>
      <c r="E8" s="37"/>
    </row>
    <row r="9" spans="1:5" ht="14.45" customHeight="1" x14ac:dyDescent="0.25">
      <c r="A9" s="12">
        <v>400008</v>
      </c>
      <c r="B9" s="24" t="s">
        <v>127</v>
      </c>
      <c r="C9" s="24" t="s">
        <v>116</v>
      </c>
      <c r="D9" s="24" t="s">
        <v>128</v>
      </c>
      <c r="E9" s="37"/>
    </row>
    <row r="10" spans="1:5" ht="14.45" customHeight="1" x14ac:dyDescent="0.25">
      <c r="A10" s="12">
        <v>400009</v>
      </c>
      <c r="B10" s="24" t="s">
        <v>129</v>
      </c>
      <c r="C10" s="24" t="s">
        <v>116</v>
      </c>
      <c r="D10" s="24" t="s">
        <v>30</v>
      </c>
      <c r="E10" s="37"/>
    </row>
    <row r="11" spans="1:5" ht="14.45" customHeight="1" x14ac:dyDescent="0.25">
      <c r="A11" s="12">
        <v>400010</v>
      </c>
      <c r="B11" s="24" t="s">
        <v>130</v>
      </c>
      <c r="C11" s="24" t="s">
        <v>26</v>
      </c>
      <c r="D11" s="24" t="s">
        <v>25</v>
      </c>
      <c r="E11" s="37"/>
    </row>
    <row r="12" spans="1:5" ht="14.45" customHeight="1" x14ac:dyDescent="0.25">
      <c r="A12" s="12">
        <v>400011</v>
      </c>
      <c r="B12" s="24" t="s">
        <v>131</v>
      </c>
      <c r="C12" s="24" t="s">
        <v>132</v>
      </c>
      <c r="D12" s="12"/>
      <c r="E12" s="37"/>
    </row>
    <row r="13" spans="1:5" ht="14.45" customHeight="1" x14ac:dyDescent="0.25">
      <c r="A13" s="12">
        <v>400012</v>
      </c>
      <c r="B13" s="24" t="s">
        <v>133</v>
      </c>
      <c r="C13" s="24" t="s">
        <v>116</v>
      </c>
      <c r="D13" s="24" t="s">
        <v>134</v>
      </c>
      <c r="E13" s="37"/>
    </row>
    <row r="14" spans="1:5" ht="14.45" customHeight="1" x14ac:dyDescent="0.25">
      <c r="A14" s="12">
        <v>400013</v>
      </c>
      <c r="B14" s="24" t="s">
        <v>135</v>
      </c>
      <c r="C14" s="24" t="s">
        <v>116</v>
      </c>
      <c r="D14" s="24" t="s">
        <v>136</v>
      </c>
      <c r="E14" s="37"/>
    </row>
    <row r="15" spans="1:5" ht="14.45" customHeight="1" x14ac:dyDescent="0.25">
      <c r="A15" s="12">
        <v>400014</v>
      </c>
      <c r="B15" s="24" t="s">
        <v>137</v>
      </c>
      <c r="C15" s="24" t="s">
        <v>116</v>
      </c>
      <c r="D15" s="24" t="s">
        <v>138</v>
      </c>
      <c r="E15" s="37"/>
    </row>
    <row r="16" spans="1:5" ht="14.45" customHeight="1" x14ac:dyDescent="0.25">
      <c r="A16" s="12">
        <v>400015</v>
      </c>
      <c r="B16" s="24" t="s">
        <v>139</v>
      </c>
      <c r="C16" s="24" t="s">
        <v>140</v>
      </c>
      <c r="D16" s="24" t="s">
        <v>141</v>
      </c>
      <c r="E16" s="37"/>
    </row>
    <row r="17" spans="1:5" ht="14.45" customHeight="1" x14ac:dyDescent="0.25">
      <c r="A17" s="12">
        <v>400016</v>
      </c>
      <c r="B17" s="24" t="s">
        <v>142</v>
      </c>
      <c r="C17" s="24" t="s">
        <v>116</v>
      </c>
      <c r="D17" s="24" t="s">
        <v>30</v>
      </c>
      <c r="E17" s="38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/>
  </sheetViews>
  <sheetFormatPr defaultColWidth="16.28515625" defaultRowHeight="14.85" customHeight="1" x14ac:dyDescent="0.25"/>
  <cols>
    <col min="1" max="1" width="12.85546875" style="39" customWidth="1"/>
    <col min="2" max="2" width="13.140625" style="39" customWidth="1"/>
    <col min="3" max="3" width="11.28515625" style="39" customWidth="1"/>
    <col min="4" max="4" width="14.85546875" style="39" customWidth="1"/>
    <col min="5" max="5" width="16.28515625" style="39" customWidth="1"/>
    <col min="6" max="6" width="13" style="39" customWidth="1"/>
    <col min="7" max="7" width="17.140625" style="39" customWidth="1"/>
    <col min="8" max="256" width="16.28515625" style="39" customWidth="1"/>
  </cols>
  <sheetData>
    <row r="1" spans="1:7" ht="14.65" customHeight="1" x14ac:dyDescent="0.25">
      <c r="A1" s="35" t="s">
        <v>143</v>
      </c>
      <c r="B1" s="35" t="s">
        <v>42</v>
      </c>
      <c r="C1" s="35" t="s">
        <v>112</v>
      </c>
      <c r="D1" s="35" t="s">
        <v>144</v>
      </c>
      <c r="E1" s="35" t="s">
        <v>145</v>
      </c>
      <c r="F1" s="35" t="s">
        <v>146</v>
      </c>
      <c r="G1" s="35" t="s">
        <v>147</v>
      </c>
    </row>
    <row r="2" spans="1:7" ht="14.65" customHeight="1" x14ac:dyDescent="0.25">
      <c r="A2" s="21">
        <v>44000001</v>
      </c>
      <c r="B2" s="21">
        <v>30000</v>
      </c>
      <c r="C2" s="21">
        <v>400001</v>
      </c>
      <c r="D2" s="21">
        <v>73000</v>
      </c>
      <c r="E2" s="40">
        <v>41456</v>
      </c>
      <c r="F2" s="20" t="s">
        <v>148</v>
      </c>
      <c r="G2" s="40">
        <v>43281</v>
      </c>
    </row>
    <row r="3" spans="1:7" ht="14.45" customHeight="1" x14ac:dyDescent="0.25">
      <c r="A3" s="12">
        <v>44000002</v>
      </c>
      <c r="B3" s="12">
        <v>30001</v>
      </c>
      <c r="C3" s="12">
        <v>400002</v>
      </c>
      <c r="D3" s="12">
        <v>53000</v>
      </c>
      <c r="E3" s="41">
        <v>41366</v>
      </c>
      <c r="F3" s="24" t="s">
        <v>149</v>
      </c>
      <c r="G3" s="41">
        <v>42826</v>
      </c>
    </row>
    <row r="4" spans="1:7" ht="14.45" customHeight="1" x14ac:dyDescent="0.25">
      <c r="A4" s="12">
        <v>44000003</v>
      </c>
      <c r="B4" s="12">
        <v>30002</v>
      </c>
      <c r="C4" s="12">
        <v>400003</v>
      </c>
      <c r="D4" s="12">
        <v>85000</v>
      </c>
      <c r="E4" s="41">
        <v>41369</v>
      </c>
      <c r="F4" s="24" t="s">
        <v>150</v>
      </c>
      <c r="G4" s="41">
        <v>42464</v>
      </c>
    </row>
    <row r="5" spans="1:7" ht="14.45" customHeight="1" x14ac:dyDescent="0.25">
      <c r="A5" s="12">
        <v>44000004</v>
      </c>
      <c r="B5" s="12">
        <v>30003</v>
      </c>
      <c r="C5" s="12">
        <v>400004</v>
      </c>
      <c r="D5" s="12">
        <v>45000</v>
      </c>
      <c r="E5" s="41">
        <v>41456</v>
      </c>
      <c r="F5" s="24" t="s">
        <v>150</v>
      </c>
      <c r="G5" s="41">
        <v>42551</v>
      </c>
    </row>
    <row r="6" spans="1:7" ht="14.45" customHeight="1" x14ac:dyDescent="0.25">
      <c r="A6" s="12">
        <v>44000005</v>
      </c>
      <c r="B6" s="12">
        <v>30004</v>
      </c>
      <c r="C6" s="12">
        <v>400005</v>
      </c>
      <c r="D6" s="12">
        <v>100000</v>
      </c>
      <c r="E6" s="41">
        <v>41289</v>
      </c>
      <c r="F6" s="24" t="s">
        <v>150</v>
      </c>
      <c r="G6" s="42">
        <v>42749</v>
      </c>
    </row>
    <row r="7" spans="1:7" ht="14.45" customHeight="1" x14ac:dyDescent="0.25">
      <c r="A7" s="12">
        <v>44000006</v>
      </c>
      <c r="B7" s="12">
        <v>30005</v>
      </c>
      <c r="C7" s="12">
        <v>400006</v>
      </c>
      <c r="D7" s="12">
        <v>105000</v>
      </c>
      <c r="E7" s="41">
        <v>41583</v>
      </c>
      <c r="F7" s="24" t="s">
        <v>149</v>
      </c>
      <c r="G7" s="41">
        <v>42678</v>
      </c>
    </row>
    <row r="8" spans="1:7" ht="14.45" customHeight="1" x14ac:dyDescent="0.25">
      <c r="A8" s="12">
        <v>44000007</v>
      </c>
      <c r="B8" s="12">
        <v>30006</v>
      </c>
      <c r="C8" s="12">
        <v>400007</v>
      </c>
      <c r="D8" s="12">
        <v>50000</v>
      </c>
      <c r="E8" s="41">
        <v>41286</v>
      </c>
      <c r="F8" s="24" t="s">
        <v>150</v>
      </c>
      <c r="G8" s="41">
        <v>42380</v>
      </c>
    </row>
    <row r="9" spans="1:7" ht="14.45" customHeight="1" x14ac:dyDescent="0.25">
      <c r="A9" s="12">
        <v>44000008</v>
      </c>
      <c r="B9" s="12">
        <v>30007</v>
      </c>
      <c r="C9" s="12">
        <v>400008</v>
      </c>
      <c r="D9" s="12">
        <v>75000</v>
      </c>
      <c r="E9" s="41">
        <v>41562</v>
      </c>
      <c r="F9" s="24" t="s">
        <v>148</v>
      </c>
      <c r="G9" s="41">
        <v>43387</v>
      </c>
    </row>
    <row r="10" spans="1:7" ht="14.45" customHeight="1" x14ac:dyDescent="0.25">
      <c r="A10" s="12">
        <v>44000009</v>
      </c>
      <c r="B10" s="12">
        <v>30008</v>
      </c>
      <c r="C10" s="12">
        <v>400011</v>
      </c>
      <c r="D10" s="43">
        <v>110000</v>
      </c>
      <c r="E10" s="41">
        <v>41856</v>
      </c>
      <c r="F10" s="24" t="s">
        <v>151</v>
      </c>
      <c r="G10" s="41">
        <v>42951</v>
      </c>
    </row>
    <row r="11" spans="1:7" ht="14.45" customHeight="1" x14ac:dyDescent="0.25">
      <c r="A11" s="12">
        <v>44000010</v>
      </c>
      <c r="B11" s="12">
        <v>30009</v>
      </c>
      <c r="C11" s="11">
        <v>400009</v>
      </c>
      <c r="D11" s="7">
        <v>500000</v>
      </c>
      <c r="E11" s="44">
        <v>41685</v>
      </c>
      <c r="F11" s="24" t="s">
        <v>151</v>
      </c>
      <c r="G11" s="41">
        <v>43479</v>
      </c>
    </row>
    <row r="12" spans="1:7" ht="14.45" customHeight="1" x14ac:dyDescent="0.25">
      <c r="A12" s="12">
        <v>44000011</v>
      </c>
      <c r="B12" s="43">
        <v>30010</v>
      </c>
      <c r="C12" s="11">
        <v>400010</v>
      </c>
      <c r="D12" s="7">
        <v>600000</v>
      </c>
      <c r="E12" s="8">
        <v>42003</v>
      </c>
      <c r="F12" s="45" t="s">
        <v>148</v>
      </c>
      <c r="G12" s="41">
        <v>43463</v>
      </c>
    </row>
    <row r="13" spans="1:7" ht="14.45" customHeight="1" x14ac:dyDescent="0.25">
      <c r="A13" s="11">
        <v>44000012</v>
      </c>
      <c r="B13" s="10">
        <v>30011</v>
      </c>
      <c r="C13" s="11">
        <v>400012</v>
      </c>
      <c r="D13" s="7">
        <v>300000</v>
      </c>
      <c r="E13" s="8">
        <v>41845</v>
      </c>
      <c r="F13" s="45" t="s">
        <v>149</v>
      </c>
      <c r="G13" s="41">
        <v>43305</v>
      </c>
    </row>
    <row r="14" spans="1:7" ht="14.45" customHeight="1" x14ac:dyDescent="0.25">
      <c r="A14" s="11">
        <v>44000013</v>
      </c>
      <c r="B14" s="10">
        <v>30012</v>
      </c>
      <c r="C14" s="11">
        <v>400013</v>
      </c>
      <c r="D14" s="7">
        <v>800000</v>
      </c>
      <c r="E14" s="8">
        <v>41754</v>
      </c>
      <c r="F14" s="45" t="s">
        <v>148</v>
      </c>
      <c r="G14" s="41">
        <v>43579</v>
      </c>
    </row>
    <row r="15" spans="1:7" ht="14.45" customHeight="1" x14ac:dyDescent="0.25">
      <c r="A15" s="11">
        <v>44000014</v>
      </c>
      <c r="B15" s="10">
        <v>30013</v>
      </c>
      <c r="C15" s="11">
        <v>400014</v>
      </c>
      <c r="D15" s="7">
        <v>700000</v>
      </c>
      <c r="E15" s="8">
        <v>41789</v>
      </c>
      <c r="F15" s="45" t="s">
        <v>151</v>
      </c>
      <c r="G15" s="41">
        <v>43614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6"/>
  <sheetViews>
    <sheetView showGridLines="0" workbookViewId="0">
      <selection activeCell="F2" sqref="F2"/>
    </sheetView>
  </sheetViews>
  <sheetFormatPr defaultColWidth="16.28515625" defaultRowHeight="14.85" customHeight="1" x14ac:dyDescent="0.25"/>
  <cols>
    <col min="1" max="5" width="16.28515625" style="46" customWidth="1"/>
    <col min="6" max="7" width="18.7109375" style="46" customWidth="1"/>
    <col min="8" max="256" width="16.28515625" style="46" customWidth="1"/>
  </cols>
  <sheetData>
    <row r="1" spans="1:7" ht="14.65" customHeight="1" x14ac:dyDescent="0.25">
      <c r="A1" s="35" t="s">
        <v>152</v>
      </c>
      <c r="B1" s="35" t="s">
        <v>42</v>
      </c>
      <c r="C1" s="35" t="s">
        <v>112</v>
      </c>
      <c r="D1" s="35" t="s">
        <v>153</v>
      </c>
      <c r="E1" s="35" t="s">
        <v>154</v>
      </c>
      <c r="F1" s="35" t="s">
        <v>155</v>
      </c>
      <c r="G1" s="35" t="s">
        <v>156</v>
      </c>
    </row>
    <row r="2" spans="1:7" ht="14.65" customHeight="1" x14ac:dyDescent="0.25">
      <c r="A2" s="21">
        <v>4000000001</v>
      </c>
      <c r="B2" s="21">
        <v>30000</v>
      </c>
      <c r="C2" s="21">
        <v>400001</v>
      </c>
      <c r="D2" s="40">
        <v>41547</v>
      </c>
      <c r="E2" s="47">
        <f>4.9%*Fund_value_History!C2</f>
        <v>3577</v>
      </c>
      <c r="F2" s="21">
        <v>110</v>
      </c>
      <c r="G2" s="21">
        <f t="shared" ref="G2:G33" si="0">E2-F2</f>
        <v>3467</v>
      </c>
    </row>
    <row r="3" spans="1:7" ht="14.45" customHeight="1" x14ac:dyDescent="0.25">
      <c r="A3" s="12">
        <f t="shared" ref="A3:A34" si="1">A2+1</f>
        <v>4000000002</v>
      </c>
      <c r="B3" s="12">
        <v>30000</v>
      </c>
      <c r="C3" s="12">
        <v>400001</v>
      </c>
      <c r="D3" s="41">
        <v>41638</v>
      </c>
      <c r="E3" s="48">
        <f>5%*Fund_value_History!C2</f>
        <v>3650</v>
      </c>
      <c r="F3" s="12">
        <v>107</v>
      </c>
      <c r="G3" s="12">
        <f t="shared" si="0"/>
        <v>3543</v>
      </c>
    </row>
    <row r="4" spans="1:7" ht="14.45" customHeight="1" x14ac:dyDescent="0.25">
      <c r="A4" s="12">
        <f t="shared" si="1"/>
        <v>4000000003</v>
      </c>
      <c r="B4" s="12">
        <v>30000</v>
      </c>
      <c r="C4" s="12">
        <v>400001</v>
      </c>
      <c r="D4" s="41">
        <v>41728</v>
      </c>
      <c r="E4" s="48">
        <f>4.3%*Fund_value_History!C2</f>
        <v>3138.9999999999995</v>
      </c>
      <c r="F4" s="12">
        <v>94</v>
      </c>
      <c r="G4" s="12">
        <f t="shared" si="0"/>
        <v>3044.9999999999995</v>
      </c>
    </row>
    <row r="5" spans="1:7" ht="14.45" customHeight="1" x14ac:dyDescent="0.25">
      <c r="A5" s="12">
        <f t="shared" si="1"/>
        <v>4000000004</v>
      </c>
      <c r="B5" s="12">
        <v>30000</v>
      </c>
      <c r="C5" s="12">
        <v>400001</v>
      </c>
      <c r="D5" s="41">
        <v>41820</v>
      </c>
      <c r="E5" s="49">
        <f>4.5%*Fund_value_History!C2</f>
        <v>3285</v>
      </c>
      <c r="F5" s="12">
        <v>85</v>
      </c>
      <c r="G5" s="12">
        <f t="shared" si="0"/>
        <v>3200</v>
      </c>
    </row>
    <row r="6" spans="1:7" ht="14.45" customHeight="1" x14ac:dyDescent="0.25">
      <c r="A6" s="12">
        <f t="shared" si="1"/>
        <v>4000000005</v>
      </c>
      <c r="B6" s="12">
        <v>30000</v>
      </c>
      <c r="C6" s="12">
        <v>400001</v>
      </c>
      <c r="D6" s="41">
        <v>41912</v>
      </c>
      <c r="E6" s="47">
        <f>4.8%*Fund_value_History!C3</f>
        <v>3824.88</v>
      </c>
      <c r="F6" s="12">
        <v>31</v>
      </c>
      <c r="G6" s="12">
        <f t="shared" si="0"/>
        <v>3793.88</v>
      </c>
    </row>
    <row r="7" spans="1:7" ht="14.45" customHeight="1" x14ac:dyDescent="0.25">
      <c r="A7" s="12">
        <f t="shared" si="1"/>
        <v>4000000006</v>
      </c>
      <c r="B7" s="12">
        <v>30000</v>
      </c>
      <c r="C7" s="12">
        <v>400001</v>
      </c>
      <c r="D7" s="41">
        <v>42003</v>
      </c>
      <c r="E7" s="48">
        <f>5%*Fund_value_History!C3</f>
        <v>3984.25</v>
      </c>
      <c r="F7" s="12">
        <v>30</v>
      </c>
      <c r="G7" s="12">
        <f t="shared" si="0"/>
        <v>3954.25</v>
      </c>
    </row>
    <row r="8" spans="1:7" ht="14.45" customHeight="1" x14ac:dyDescent="0.25">
      <c r="A8" s="12">
        <f t="shared" si="1"/>
        <v>4000000007</v>
      </c>
      <c r="B8" s="12">
        <v>30000</v>
      </c>
      <c r="C8" s="12">
        <v>400001</v>
      </c>
      <c r="D8" s="41">
        <v>42093</v>
      </c>
      <c r="E8" s="48">
        <f>4.9%*Fund_value_History!C3</f>
        <v>3904.5650000000001</v>
      </c>
      <c r="F8" s="12">
        <v>27</v>
      </c>
      <c r="G8" s="12">
        <f t="shared" si="0"/>
        <v>3877.5650000000001</v>
      </c>
    </row>
    <row r="9" spans="1:7" ht="14.45" customHeight="1" x14ac:dyDescent="0.25">
      <c r="A9" s="12">
        <f t="shared" si="1"/>
        <v>4000000008</v>
      </c>
      <c r="B9" s="12">
        <v>30000</v>
      </c>
      <c r="C9" s="12">
        <v>400001</v>
      </c>
      <c r="D9" s="41">
        <v>42185</v>
      </c>
      <c r="E9" s="48">
        <f>4.95%*Fund_value_History!C3</f>
        <v>3944.4075000000003</v>
      </c>
      <c r="F9" s="12">
        <v>35</v>
      </c>
      <c r="G9" s="12">
        <f t="shared" si="0"/>
        <v>3909.4075000000003</v>
      </c>
    </row>
    <row r="10" spans="1:7" ht="14.45" customHeight="1" x14ac:dyDescent="0.25">
      <c r="A10" s="12">
        <f t="shared" si="1"/>
        <v>4000000009</v>
      </c>
      <c r="B10" s="12">
        <v>30000</v>
      </c>
      <c r="C10" s="12">
        <v>400001</v>
      </c>
      <c r="D10" s="41">
        <v>42277</v>
      </c>
      <c r="E10" s="48">
        <f>4.3%*Fund_value_History!C4</f>
        <v>4010.4854074999998</v>
      </c>
      <c r="F10" s="12">
        <v>83</v>
      </c>
      <c r="G10" s="12">
        <f t="shared" si="0"/>
        <v>3927.4854074999998</v>
      </c>
    </row>
    <row r="11" spans="1:7" ht="14.45" customHeight="1" x14ac:dyDescent="0.25">
      <c r="A11" s="12">
        <f t="shared" si="1"/>
        <v>4000000010</v>
      </c>
      <c r="B11" s="12">
        <v>30000</v>
      </c>
      <c r="C11" s="12">
        <v>400001</v>
      </c>
      <c r="D11" s="41">
        <v>42368</v>
      </c>
      <c r="E11" s="48">
        <f>4.8%*Fund_value_History!C4</f>
        <v>4476.8209200000001</v>
      </c>
      <c r="F11" s="12">
        <v>117</v>
      </c>
      <c r="G11" s="12">
        <f t="shared" si="0"/>
        <v>4359.8209200000001</v>
      </c>
    </row>
    <row r="12" spans="1:7" ht="14.45" customHeight="1" x14ac:dyDescent="0.25">
      <c r="A12" s="12">
        <f t="shared" si="1"/>
        <v>4000000011</v>
      </c>
      <c r="B12" s="12">
        <v>30001</v>
      </c>
      <c r="C12" s="12">
        <v>400002</v>
      </c>
      <c r="D12" s="41">
        <v>41548</v>
      </c>
      <c r="E12" s="48">
        <f>6.8%*Fund_value_History!C5</f>
        <v>3604.0000000000005</v>
      </c>
      <c r="F12" s="12">
        <v>165</v>
      </c>
      <c r="G12" s="12">
        <f t="shared" si="0"/>
        <v>3439.0000000000005</v>
      </c>
    </row>
    <row r="13" spans="1:7" ht="14.45" customHeight="1" x14ac:dyDescent="0.25">
      <c r="A13" s="12">
        <f t="shared" si="1"/>
        <v>4000000012</v>
      </c>
      <c r="B13" s="12">
        <v>30001</v>
      </c>
      <c r="C13" s="12">
        <v>400002</v>
      </c>
      <c r="D13" s="41">
        <v>41730</v>
      </c>
      <c r="E13" s="48">
        <f>7.5%*Fund_value_History!C5</f>
        <v>3975</v>
      </c>
      <c r="F13" s="12">
        <v>135</v>
      </c>
      <c r="G13" s="12">
        <f t="shared" si="0"/>
        <v>3840</v>
      </c>
    </row>
    <row r="14" spans="1:7" ht="14.45" customHeight="1" x14ac:dyDescent="0.25">
      <c r="A14" s="12">
        <f t="shared" si="1"/>
        <v>4000000013</v>
      </c>
      <c r="B14" s="12">
        <v>30001</v>
      </c>
      <c r="C14" s="12">
        <v>400002</v>
      </c>
      <c r="D14" s="41">
        <v>41913</v>
      </c>
      <c r="E14" s="48">
        <f>7.5%*Fund_value_History!C6</f>
        <v>4061.9249999999997</v>
      </c>
      <c r="F14" s="12">
        <v>115</v>
      </c>
      <c r="G14" s="12">
        <f t="shared" si="0"/>
        <v>3946.9249999999997</v>
      </c>
    </row>
    <row r="15" spans="1:7" ht="14.45" customHeight="1" x14ac:dyDescent="0.25">
      <c r="A15" s="12">
        <f t="shared" si="1"/>
        <v>4000000014</v>
      </c>
      <c r="B15" s="12">
        <v>30001</v>
      </c>
      <c r="C15" s="12">
        <v>400002</v>
      </c>
      <c r="D15" s="41">
        <v>42095</v>
      </c>
      <c r="E15" s="48">
        <f>8%*Fund_value_History!C6</f>
        <v>4332.72</v>
      </c>
      <c r="F15" s="12">
        <v>155</v>
      </c>
      <c r="G15" s="12">
        <f t="shared" si="0"/>
        <v>4177.72</v>
      </c>
    </row>
    <row r="16" spans="1:7" ht="14.45" customHeight="1" x14ac:dyDescent="0.25">
      <c r="A16" s="12">
        <f t="shared" si="1"/>
        <v>4000000015</v>
      </c>
      <c r="B16" s="12">
        <v>30001</v>
      </c>
      <c r="C16" s="12">
        <v>400002</v>
      </c>
      <c r="D16" s="41">
        <v>42278</v>
      </c>
      <c r="E16" s="48">
        <f>7%*Fund_value_History!C7</f>
        <v>4235.8501500000011</v>
      </c>
      <c r="F16" s="12">
        <v>179</v>
      </c>
      <c r="G16" s="12">
        <f t="shared" si="0"/>
        <v>4056.8501500000011</v>
      </c>
    </row>
    <row r="17" spans="1:7" ht="14.45" customHeight="1" x14ac:dyDescent="0.25">
      <c r="A17" s="12">
        <f t="shared" si="1"/>
        <v>4000000016</v>
      </c>
      <c r="B17" s="12">
        <v>30002</v>
      </c>
      <c r="C17" s="12">
        <v>400003</v>
      </c>
      <c r="D17" s="41">
        <v>41733</v>
      </c>
      <c r="E17" s="48">
        <f>5.4%*Fund_value_History!C8</f>
        <v>4590.0000000000009</v>
      </c>
      <c r="F17" s="12">
        <v>70</v>
      </c>
      <c r="G17" s="12">
        <f t="shared" si="0"/>
        <v>4520.0000000000009</v>
      </c>
    </row>
    <row r="18" spans="1:7" ht="14.45" customHeight="1" x14ac:dyDescent="0.25">
      <c r="A18" s="12">
        <f t="shared" si="1"/>
        <v>4000000017</v>
      </c>
      <c r="B18" s="12">
        <v>30002</v>
      </c>
      <c r="C18" s="12">
        <v>400003</v>
      </c>
      <c r="D18" s="41">
        <v>42098</v>
      </c>
      <c r="E18" s="48">
        <f>8%*Fund_value_History!C9</f>
        <v>7080</v>
      </c>
      <c r="F18" s="12">
        <v>85</v>
      </c>
      <c r="G18" s="12">
        <f t="shared" si="0"/>
        <v>6995</v>
      </c>
    </row>
    <row r="19" spans="1:7" ht="14.45" customHeight="1" x14ac:dyDescent="0.25">
      <c r="A19" s="12">
        <f t="shared" si="1"/>
        <v>4000000018</v>
      </c>
      <c r="B19" s="12">
        <v>30003</v>
      </c>
      <c r="C19" s="12">
        <v>400004</v>
      </c>
      <c r="D19" s="41">
        <v>41820</v>
      </c>
      <c r="E19" s="48">
        <f>13.5%*Fund_value_History!C11</f>
        <v>6075</v>
      </c>
      <c r="F19" s="12">
        <v>132</v>
      </c>
      <c r="G19" s="12">
        <f t="shared" si="0"/>
        <v>5943</v>
      </c>
    </row>
    <row r="20" spans="1:7" ht="14.45" customHeight="1" x14ac:dyDescent="0.25">
      <c r="A20" s="12">
        <f t="shared" si="1"/>
        <v>4000000019</v>
      </c>
      <c r="B20" s="12">
        <v>30003</v>
      </c>
      <c r="C20" s="12">
        <v>400004</v>
      </c>
      <c r="D20" s="41">
        <v>42185</v>
      </c>
      <c r="E20" s="48">
        <f>14%*Fund_value_History!C12</f>
        <v>6782.02</v>
      </c>
      <c r="F20" s="12">
        <v>464</v>
      </c>
      <c r="G20" s="12">
        <f t="shared" si="0"/>
        <v>6318.02</v>
      </c>
    </row>
    <row r="21" spans="1:7" ht="14.45" customHeight="1" x14ac:dyDescent="0.25">
      <c r="A21" s="12">
        <f t="shared" si="1"/>
        <v>4000000020</v>
      </c>
      <c r="B21" s="12">
        <v>30004</v>
      </c>
      <c r="C21" s="12">
        <v>400005</v>
      </c>
      <c r="D21" s="42">
        <v>41653</v>
      </c>
      <c r="E21" s="48">
        <f>13.1%*Fund_value_History!C14</f>
        <v>13100</v>
      </c>
      <c r="F21" s="12">
        <v>212</v>
      </c>
      <c r="G21" s="12">
        <f t="shared" si="0"/>
        <v>12888</v>
      </c>
    </row>
    <row r="22" spans="1:7" ht="14.45" customHeight="1" x14ac:dyDescent="0.25">
      <c r="A22" s="12">
        <f t="shared" si="1"/>
        <v>4000000021</v>
      </c>
      <c r="B22" s="12">
        <v>30004</v>
      </c>
      <c r="C22" s="12">
        <v>400005</v>
      </c>
      <c r="D22" s="42">
        <v>42018</v>
      </c>
      <c r="E22" s="48">
        <f>13.9%*Fund_value_History!C15</f>
        <v>15128.482000000002</v>
      </c>
      <c r="F22" s="12">
        <v>426</v>
      </c>
      <c r="G22" s="12">
        <f t="shared" si="0"/>
        <v>14702.482000000002</v>
      </c>
    </row>
    <row r="23" spans="1:7" ht="14.45" customHeight="1" x14ac:dyDescent="0.25">
      <c r="A23" s="12">
        <f t="shared" si="1"/>
        <v>4000000022</v>
      </c>
      <c r="B23" s="12">
        <v>30005</v>
      </c>
      <c r="C23" s="12">
        <v>400006</v>
      </c>
      <c r="D23" s="41">
        <v>41763</v>
      </c>
      <c r="E23" s="48">
        <f>7%*Fund_value_History!C17</f>
        <v>7350.0000000000009</v>
      </c>
      <c r="F23" s="12">
        <v>101</v>
      </c>
      <c r="G23" s="12">
        <f t="shared" si="0"/>
        <v>7249.0000000000009</v>
      </c>
    </row>
    <row r="24" spans="1:7" ht="14.45" customHeight="1" x14ac:dyDescent="0.25">
      <c r="A24" s="12">
        <f t="shared" si="1"/>
        <v>4000000023</v>
      </c>
      <c r="B24" s="12">
        <v>30005</v>
      </c>
      <c r="C24" s="12">
        <v>400006</v>
      </c>
      <c r="D24" s="41">
        <v>41947</v>
      </c>
      <c r="E24" s="48">
        <f>7.1%*Fund_value_History!C17</f>
        <v>7454.9999999999991</v>
      </c>
      <c r="F24" s="12">
        <v>159</v>
      </c>
      <c r="G24" s="12">
        <f t="shared" si="0"/>
        <v>7295.9999999999991</v>
      </c>
    </row>
    <row r="25" spans="1:7" ht="14.45" customHeight="1" x14ac:dyDescent="0.25">
      <c r="A25" s="12">
        <f t="shared" si="1"/>
        <v>4000000024</v>
      </c>
      <c r="B25" s="12">
        <v>30005</v>
      </c>
      <c r="C25" s="12">
        <v>400006</v>
      </c>
      <c r="D25" s="41">
        <v>42128</v>
      </c>
      <c r="E25" s="48">
        <f>7.6%*Fund_value_History!C18</f>
        <v>8112.62</v>
      </c>
      <c r="F25" s="12">
        <v>188</v>
      </c>
      <c r="G25" s="12">
        <f t="shared" si="0"/>
        <v>7924.62</v>
      </c>
    </row>
    <row r="26" spans="1:7" ht="14.45" customHeight="1" x14ac:dyDescent="0.25">
      <c r="A26" s="12">
        <f t="shared" si="1"/>
        <v>4000000025</v>
      </c>
      <c r="B26" s="12">
        <v>30005</v>
      </c>
      <c r="C26" s="12">
        <v>400006</v>
      </c>
      <c r="D26" s="41">
        <v>42312</v>
      </c>
      <c r="E26" s="48">
        <f>7.8%*Fund_value_History!C18</f>
        <v>8326.11</v>
      </c>
      <c r="F26" s="12">
        <v>203</v>
      </c>
      <c r="G26" s="12">
        <f t="shared" si="0"/>
        <v>8123.1100000000006</v>
      </c>
    </row>
    <row r="27" spans="1:7" ht="14.45" customHeight="1" x14ac:dyDescent="0.25">
      <c r="A27" s="12">
        <f t="shared" si="1"/>
        <v>4000000026</v>
      </c>
      <c r="B27" s="12">
        <v>30006</v>
      </c>
      <c r="C27" s="12">
        <v>400007</v>
      </c>
      <c r="D27" s="41">
        <v>41650</v>
      </c>
      <c r="E27" s="48">
        <f>9.1%*Fund_value_History!C20</f>
        <v>4550</v>
      </c>
      <c r="F27" s="12">
        <v>115</v>
      </c>
      <c r="G27" s="12">
        <f t="shared" si="0"/>
        <v>4435</v>
      </c>
    </row>
    <row r="28" spans="1:7" ht="14.45" customHeight="1" x14ac:dyDescent="0.25">
      <c r="A28" s="12">
        <f t="shared" si="1"/>
        <v>4000000027</v>
      </c>
      <c r="B28" s="12">
        <v>30006</v>
      </c>
      <c r="C28" s="12">
        <v>400007</v>
      </c>
      <c r="D28" s="41">
        <v>42015</v>
      </c>
      <c r="E28" s="48">
        <f>9.3%*Fund_value_History!C21</f>
        <v>4769.505000000001</v>
      </c>
      <c r="F28" s="12">
        <v>112</v>
      </c>
      <c r="G28" s="12">
        <f t="shared" si="0"/>
        <v>4657.505000000001</v>
      </c>
    </row>
    <row r="29" spans="1:7" ht="14.45" customHeight="1" x14ac:dyDescent="0.25">
      <c r="A29" s="12">
        <f t="shared" si="1"/>
        <v>4000000028</v>
      </c>
      <c r="B29" s="12">
        <v>30007</v>
      </c>
      <c r="C29" s="12">
        <v>400008</v>
      </c>
      <c r="D29" s="41">
        <v>41653</v>
      </c>
      <c r="E29" s="48">
        <f>1.6%*Fund_value_History!C23</f>
        <v>1200</v>
      </c>
      <c r="F29" s="12">
        <v>43</v>
      </c>
      <c r="G29" s="12">
        <f t="shared" si="0"/>
        <v>1157</v>
      </c>
    </row>
    <row r="30" spans="1:7" ht="14.45" customHeight="1" x14ac:dyDescent="0.25">
      <c r="A30" s="12">
        <f t="shared" si="1"/>
        <v>4000000029</v>
      </c>
      <c r="B30" s="12">
        <v>30007</v>
      </c>
      <c r="C30" s="12">
        <v>400008</v>
      </c>
      <c r="D30" s="41">
        <v>41743</v>
      </c>
      <c r="E30" s="48">
        <f>3.8%*Fund_value_History!C23</f>
        <v>2850</v>
      </c>
      <c r="F30" s="12">
        <v>132</v>
      </c>
      <c r="G30" s="12">
        <f t="shared" si="0"/>
        <v>2718</v>
      </c>
    </row>
    <row r="31" spans="1:7" ht="14.45" customHeight="1" x14ac:dyDescent="0.25">
      <c r="A31" s="12">
        <f t="shared" si="1"/>
        <v>4000000030</v>
      </c>
      <c r="B31" s="12">
        <v>30007</v>
      </c>
      <c r="C31" s="12">
        <v>400008</v>
      </c>
      <c r="D31" s="41">
        <v>41834</v>
      </c>
      <c r="E31" s="48">
        <f>4.5%*Fund_value_History!C24</f>
        <v>3409.875</v>
      </c>
      <c r="F31" s="12">
        <v>142</v>
      </c>
      <c r="G31" s="12">
        <f t="shared" si="0"/>
        <v>3267.875</v>
      </c>
    </row>
    <row r="32" spans="1:7" ht="14.45" customHeight="1" x14ac:dyDescent="0.25">
      <c r="A32" s="12">
        <f t="shared" si="1"/>
        <v>4000000031</v>
      </c>
      <c r="B32" s="12">
        <v>30007</v>
      </c>
      <c r="C32" s="12">
        <v>400008</v>
      </c>
      <c r="D32" s="41">
        <v>41926</v>
      </c>
      <c r="E32" s="48">
        <f>6.2%*Fund_value_History!C24</f>
        <v>4698.05</v>
      </c>
      <c r="F32" s="12">
        <v>159</v>
      </c>
      <c r="G32" s="12">
        <f t="shared" si="0"/>
        <v>4539.05</v>
      </c>
    </row>
    <row r="33" spans="1:7" ht="14.45" customHeight="1" x14ac:dyDescent="0.25">
      <c r="A33" s="12">
        <f t="shared" si="1"/>
        <v>4000000032</v>
      </c>
      <c r="B33" s="12">
        <v>30007</v>
      </c>
      <c r="C33" s="12">
        <v>400008</v>
      </c>
      <c r="D33" s="41">
        <v>42018</v>
      </c>
      <c r="E33" s="48">
        <f>6.9%*Fund_value_History!C24</f>
        <v>5228.4750000000004</v>
      </c>
      <c r="F33" s="12">
        <v>178</v>
      </c>
      <c r="G33" s="12">
        <f t="shared" si="0"/>
        <v>5050.4750000000004</v>
      </c>
    </row>
    <row r="34" spans="1:7" ht="14.45" customHeight="1" x14ac:dyDescent="0.25">
      <c r="A34" s="12">
        <f t="shared" si="1"/>
        <v>4000000033</v>
      </c>
      <c r="B34" s="12">
        <v>30007</v>
      </c>
      <c r="C34" s="12">
        <v>400008</v>
      </c>
      <c r="D34" s="41">
        <v>42108</v>
      </c>
      <c r="E34" s="48">
        <f>7.2%*Fund_value_History!C24</f>
        <v>5455.8000000000011</v>
      </c>
      <c r="F34" s="12">
        <v>186</v>
      </c>
      <c r="G34" s="12">
        <f t="shared" ref="G34:G65" si="2">E34-F34</f>
        <v>5269.8000000000011</v>
      </c>
    </row>
    <row r="35" spans="1:7" ht="14.45" customHeight="1" x14ac:dyDescent="0.25">
      <c r="A35" s="12">
        <f t="shared" ref="A35:A66" si="3">A34+1</f>
        <v>4000000034</v>
      </c>
      <c r="B35" s="12">
        <v>30007</v>
      </c>
      <c r="C35" s="12">
        <v>400008</v>
      </c>
      <c r="D35" s="41">
        <v>42199</v>
      </c>
      <c r="E35" s="48">
        <f>7.1%*Fund_value_History!C25</f>
        <v>6446.9562000000005</v>
      </c>
      <c r="F35" s="12">
        <v>198</v>
      </c>
      <c r="G35" s="12">
        <f t="shared" si="2"/>
        <v>6248.9562000000005</v>
      </c>
    </row>
    <row r="36" spans="1:7" ht="14.45" customHeight="1" x14ac:dyDescent="0.25">
      <c r="A36" s="12">
        <f t="shared" si="3"/>
        <v>4000000035</v>
      </c>
      <c r="B36" s="12">
        <v>30007</v>
      </c>
      <c r="C36" s="12">
        <v>400008</v>
      </c>
      <c r="D36" s="41">
        <v>42291</v>
      </c>
      <c r="E36" s="48">
        <f>6.9%*Fund_value_History!C25</f>
        <v>6265.3518000000013</v>
      </c>
      <c r="F36" s="12">
        <v>211</v>
      </c>
      <c r="G36" s="12">
        <f t="shared" si="2"/>
        <v>6054.3518000000013</v>
      </c>
    </row>
    <row r="37" spans="1:7" ht="14.45" customHeight="1" x14ac:dyDescent="0.25">
      <c r="A37" s="12">
        <f t="shared" si="3"/>
        <v>4000000036</v>
      </c>
      <c r="B37" s="12">
        <v>30008</v>
      </c>
      <c r="C37" s="12">
        <v>400011</v>
      </c>
      <c r="D37" s="41">
        <v>41886</v>
      </c>
      <c r="E37" s="48">
        <f>2%*Fund_value_History!C26</f>
        <v>2200</v>
      </c>
      <c r="F37" s="12">
        <v>25</v>
      </c>
      <c r="G37" s="12">
        <f t="shared" si="2"/>
        <v>2175</v>
      </c>
    </row>
    <row r="38" spans="1:7" ht="14.45" customHeight="1" x14ac:dyDescent="0.25">
      <c r="A38" s="12">
        <f t="shared" si="3"/>
        <v>4000000037</v>
      </c>
      <c r="B38" s="12">
        <v>30008</v>
      </c>
      <c r="C38" s="12">
        <v>400011</v>
      </c>
      <c r="D38" s="41">
        <v>41916</v>
      </c>
      <c r="E38" s="48">
        <f>1.1%*Fund_value_History!C26</f>
        <v>1210.0000000000002</v>
      </c>
      <c r="F38" s="12">
        <v>25</v>
      </c>
      <c r="G38" s="12">
        <f t="shared" si="2"/>
        <v>1185.0000000000002</v>
      </c>
    </row>
    <row r="39" spans="1:7" ht="14.45" customHeight="1" x14ac:dyDescent="0.25">
      <c r="A39" s="12">
        <f t="shared" si="3"/>
        <v>4000000038</v>
      </c>
      <c r="B39" s="12">
        <v>30008</v>
      </c>
      <c r="C39" s="12">
        <v>400011</v>
      </c>
      <c r="D39" s="41">
        <v>41947</v>
      </c>
      <c r="E39" s="48">
        <f>0.75%*Fund_value_History!C26</f>
        <v>825</v>
      </c>
      <c r="F39" s="12">
        <v>25</v>
      </c>
      <c r="G39" s="12">
        <f t="shared" si="2"/>
        <v>800</v>
      </c>
    </row>
    <row r="40" spans="1:7" ht="14.45" customHeight="1" x14ac:dyDescent="0.25">
      <c r="A40" s="12">
        <f t="shared" si="3"/>
        <v>4000000039</v>
      </c>
      <c r="B40" s="12">
        <v>30008</v>
      </c>
      <c r="C40" s="12">
        <v>400011</v>
      </c>
      <c r="D40" s="41">
        <v>41977</v>
      </c>
      <c r="E40" s="48">
        <f>0.5%*Fund_value_History!C26</f>
        <v>550</v>
      </c>
      <c r="F40" s="12">
        <v>25</v>
      </c>
      <c r="G40" s="12">
        <f t="shared" si="2"/>
        <v>525</v>
      </c>
    </row>
    <row r="41" spans="1:7" ht="14.45" customHeight="1" x14ac:dyDescent="0.25">
      <c r="A41" s="12">
        <f t="shared" si="3"/>
        <v>4000000040</v>
      </c>
      <c r="B41" s="12">
        <v>30008</v>
      </c>
      <c r="C41" s="12">
        <v>400011</v>
      </c>
      <c r="D41" s="41">
        <v>42008</v>
      </c>
      <c r="E41" s="48">
        <f>-0.3%*Fund_value_History!C26</f>
        <v>-330</v>
      </c>
      <c r="F41" s="12">
        <v>25</v>
      </c>
      <c r="G41" s="12">
        <f t="shared" si="2"/>
        <v>-355</v>
      </c>
    </row>
    <row r="42" spans="1:7" ht="14.45" customHeight="1" x14ac:dyDescent="0.25">
      <c r="A42" s="12">
        <f t="shared" si="3"/>
        <v>4000000041</v>
      </c>
      <c r="B42" s="12">
        <v>30008</v>
      </c>
      <c r="C42" s="12">
        <v>400011</v>
      </c>
      <c r="D42" s="41">
        <v>42039</v>
      </c>
      <c r="E42" s="48">
        <f>-1.1%*Fund_value_History!C26</f>
        <v>-1210.0000000000002</v>
      </c>
      <c r="F42" s="12">
        <v>25</v>
      </c>
      <c r="G42" s="12">
        <f t="shared" si="2"/>
        <v>-1235.0000000000002</v>
      </c>
    </row>
    <row r="43" spans="1:7" ht="14.45" customHeight="1" x14ac:dyDescent="0.25">
      <c r="A43" s="12">
        <f t="shared" si="3"/>
        <v>4000000042</v>
      </c>
      <c r="B43" s="12">
        <v>30008</v>
      </c>
      <c r="C43" s="12">
        <v>400011</v>
      </c>
      <c r="D43" s="41">
        <v>42067</v>
      </c>
      <c r="E43" s="48">
        <f>-0.5%*Fund_value_History!C26</f>
        <v>-550</v>
      </c>
      <c r="F43" s="12">
        <v>25</v>
      </c>
      <c r="G43" s="12">
        <f t="shared" si="2"/>
        <v>-575</v>
      </c>
    </row>
    <row r="44" spans="1:7" ht="14.45" customHeight="1" x14ac:dyDescent="0.25">
      <c r="A44" s="12">
        <f t="shared" si="3"/>
        <v>4000000043</v>
      </c>
      <c r="B44" s="12">
        <v>30008</v>
      </c>
      <c r="C44" s="12">
        <v>400011</v>
      </c>
      <c r="D44" s="41">
        <v>42098</v>
      </c>
      <c r="E44" s="48">
        <f>0.5%*Fund_value_History!C26</f>
        <v>550</v>
      </c>
      <c r="F44" s="12">
        <v>25</v>
      </c>
      <c r="G44" s="12">
        <f t="shared" si="2"/>
        <v>525</v>
      </c>
    </row>
    <row r="45" spans="1:7" ht="14.45" customHeight="1" x14ac:dyDescent="0.25">
      <c r="A45" s="12">
        <f t="shared" si="3"/>
        <v>4000000044</v>
      </c>
      <c r="B45" s="12">
        <v>30008</v>
      </c>
      <c r="C45" s="12">
        <v>400011</v>
      </c>
      <c r="D45" s="41">
        <v>42128</v>
      </c>
      <c r="E45" s="48">
        <f>0.6%*Fund_value_History!C26</f>
        <v>660</v>
      </c>
      <c r="F45" s="12">
        <v>25</v>
      </c>
      <c r="G45" s="12">
        <f t="shared" si="2"/>
        <v>635</v>
      </c>
    </row>
    <row r="46" spans="1:7" ht="14.45" customHeight="1" x14ac:dyDescent="0.25">
      <c r="A46" s="12">
        <f t="shared" si="3"/>
        <v>4000000045</v>
      </c>
      <c r="B46" s="12">
        <v>30008</v>
      </c>
      <c r="C46" s="12">
        <v>400011</v>
      </c>
      <c r="D46" s="41">
        <v>42159</v>
      </c>
      <c r="E46" s="48">
        <f>1.1%*Fund_value_History!C26</f>
        <v>1210.0000000000002</v>
      </c>
      <c r="F46" s="12">
        <v>25</v>
      </c>
      <c r="G46" s="12">
        <f t="shared" si="2"/>
        <v>1185.0000000000002</v>
      </c>
    </row>
    <row r="47" spans="1:7" ht="14.45" customHeight="1" x14ac:dyDescent="0.25">
      <c r="A47" s="12">
        <f t="shared" si="3"/>
        <v>4000000046</v>
      </c>
      <c r="B47" s="12">
        <v>30008</v>
      </c>
      <c r="C47" s="12">
        <v>400011</v>
      </c>
      <c r="D47" s="41">
        <v>42189</v>
      </c>
      <c r="E47" s="48">
        <f>1.3%*Fund_value_History!C27</f>
        <v>1373.2940000000001</v>
      </c>
      <c r="F47" s="12">
        <v>25</v>
      </c>
      <c r="G47" s="12">
        <f t="shared" si="2"/>
        <v>1348.2940000000001</v>
      </c>
    </row>
    <row r="48" spans="1:7" ht="14.45" customHeight="1" x14ac:dyDescent="0.25">
      <c r="A48" s="12">
        <f t="shared" si="3"/>
        <v>4000000047</v>
      </c>
      <c r="B48" s="12">
        <v>30008</v>
      </c>
      <c r="C48" s="12">
        <v>400011</v>
      </c>
      <c r="D48" s="41">
        <v>42220</v>
      </c>
      <c r="E48" s="48">
        <f>1.5%*Fund_value_History!C27</f>
        <v>1584.57</v>
      </c>
      <c r="F48" s="12">
        <v>25</v>
      </c>
      <c r="G48" s="12">
        <f t="shared" si="2"/>
        <v>1559.57</v>
      </c>
    </row>
    <row r="49" spans="1:7" ht="14.45" customHeight="1" x14ac:dyDescent="0.25">
      <c r="A49" s="12">
        <f t="shared" si="3"/>
        <v>4000000048</v>
      </c>
      <c r="B49" s="12">
        <v>30008</v>
      </c>
      <c r="C49" s="12">
        <v>400011</v>
      </c>
      <c r="D49" s="41">
        <v>42251</v>
      </c>
      <c r="E49" s="48">
        <f>1.7%*Fund_value_History!C27</f>
        <v>1795.8460000000002</v>
      </c>
      <c r="F49" s="12">
        <v>25</v>
      </c>
      <c r="G49" s="12">
        <f t="shared" si="2"/>
        <v>1770.8460000000002</v>
      </c>
    </row>
    <row r="50" spans="1:7" ht="14.45" customHeight="1" x14ac:dyDescent="0.25">
      <c r="A50" s="12">
        <f t="shared" si="3"/>
        <v>4000000049</v>
      </c>
      <c r="B50" s="12">
        <v>30008</v>
      </c>
      <c r="C50" s="12">
        <v>400011</v>
      </c>
      <c r="D50" s="41">
        <v>42281</v>
      </c>
      <c r="E50" s="48">
        <f>2%*Fund_value_History!C27</f>
        <v>2112.7600000000002</v>
      </c>
      <c r="F50" s="12">
        <v>25</v>
      </c>
      <c r="G50" s="12">
        <f t="shared" si="2"/>
        <v>2087.7600000000002</v>
      </c>
    </row>
    <row r="51" spans="1:7" ht="14.45" customHeight="1" x14ac:dyDescent="0.25">
      <c r="A51" s="12">
        <f t="shared" si="3"/>
        <v>4000000050</v>
      </c>
      <c r="B51" s="12">
        <v>30008</v>
      </c>
      <c r="C51" s="12">
        <v>400011</v>
      </c>
      <c r="D51" s="41">
        <v>42312</v>
      </c>
      <c r="E51" s="48">
        <f>2.4%*Fund_value_History!C27</f>
        <v>2535.3119999999999</v>
      </c>
      <c r="F51" s="12">
        <v>25</v>
      </c>
      <c r="G51" s="12">
        <f t="shared" si="2"/>
        <v>2510.3119999999999</v>
      </c>
    </row>
    <row r="52" spans="1:7" ht="14.45" customHeight="1" x14ac:dyDescent="0.25">
      <c r="A52" s="12">
        <f t="shared" si="3"/>
        <v>4000000051</v>
      </c>
      <c r="B52" s="12">
        <v>30008</v>
      </c>
      <c r="C52" s="12">
        <v>400011</v>
      </c>
      <c r="D52" s="41">
        <v>42342</v>
      </c>
      <c r="E52" s="48">
        <f>2.8%*Fund_value_History!C27</f>
        <v>2957.8639999999996</v>
      </c>
      <c r="F52" s="12">
        <v>25</v>
      </c>
      <c r="G52" s="12">
        <f t="shared" si="2"/>
        <v>2932.8639999999996</v>
      </c>
    </row>
    <row r="53" spans="1:7" ht="14.45" customHeight="1" x14ac:dyDescent="0.25">
      <c r="A53" s="12">
        <f t="shared" si="3"/>
        <v>4000000052</v>
      </c>
      <c r="B53" s="12">
        <v>30008</v>
      </c>
      <c r="C53" s="12">
        <v>400011</v>
      </c>
      <c r="D53" s="41">
        <v>42373</v>
      </c>
      <c r="E53" s="48">
        <f>5.2%*Fund_value_History!C27</f>
        <v>5493.1760000000004</v>
      </c>
      <c r="F53" s="12">
        <v>25</v>
      </c>
      <c r="G53" s="12">
        <f t="shared" si="2"/>
        <v>5468.1760000000004</v>
      </c>
    </row>
    <row r="54" spans="1:7" ht="14.45" customHeight="1" x14ac:dyDescent="0.25">
      <c r="A54" s="12">
        <f t="shared" si="3"/>
        <v>4000000053</v>
      </c>
      <c r="B54" s="12">
        <v>30009</v>
      </c>
      <c r="C54" s="12">
        <v>400009</v>
      </c>
      <c r="D54" s="41">
        <v>41712</v>
      </c>
      <c r="E54" s="48">
        <f>0.42%*Fund_value_History!C28</f>
        <v>2100</v>
      </c>
      <c r="F54" s="12">
        <v>25</v>
      </c>
      <c r="G54" s="12">
        <f t="shared" si="2"/>
        <v>2075</v>
      </c>
    </row>
    <row r="55" spans="1:7" ht="14.45" customHeight="1" x14ac:dyDescent="0.25">
      <c r="A55" s="12">
        <f t="shared" si="3"/>
        <v>4000000054</v>
      </c>
      <c r="B55" s="12">
        <v>30009</v>
      </c>
      <c r="C55" s="12">
        <v>400009</v>
      </c>
      <c r="D55" s="41">
        <v>41743</v>
      </c>
      <c r="E55" s="48">
        <f>0.48%*Fund_value_History!C28</f>
        <v>2400</v>
      </c>
      <c r="F55" s="12">
        <v>25</v>
      </c>
      <c r="G55" s="12">
        <f t="shared" si="2"/>
        <v>2375</v>
      </c>
    </row>
    <row r="56" spans="1:7" ht="14.45" customHeight="1" x14ac:dyDescent="0.25">
      <c r="A56" s="12">
        <f t="shared" si="3"/>
        <v>4000000055</v>
      </c>
      <c r="B56" s="12">
        <v>30009</v>
      </c>
      <c r="C56" s="12">
        <v>400009</v>
      </c>
      <c r="D56" s="41">
        <v>41773</v>
      </c>
      <c r="E56" s="48">
        <f>0.54%*Fund_value_History!C28</f>
        <v>2700</v>
      </c>
      <c r="F56" s="12">
        <v>25</v>
      </c>
      <c r="G56" s="12">
        <f t="shared" si="2"/>
        <v>2675</v>
      </c>
    </row>
    <row r="57" spans="1:7" ht="14.45" customHeight="1" x14ac:dyDescent="0.25">
      <c r="A57" s="12">
        <f t="shared" si="3"/>
        <v>4000000056</v>
      </c>
      <c r="B57" s="12">
        <v>30009</v>
      </c>
      <c r="C57" s="12">
        <v>400009</v>
      </c>
      <c r="D57" s="41">
        <v>41804</v>
      </c>
      <c r="E57" s="48">
        <f>0.56%*Fund_value_History!C28</f>
        <v>2800.0000000000005</v>
      </c>
      <c r="F57" s="12">
        <v>25</v>
      </c>
      <c r="G57" s="12">
        <f t="shared" si="2"/>
        <v>2775.0000000000005</v>
      </c>
    </row>
    <row r="58" spans="1:7" ht="14.45" customHeight="1" x14ac:dyDescent="0.25">
      <c r="A58" s="12">
        <f t="shared" si="3"/>
        <v>4000000057</v>
      </c>
      <c r="B58" s="12">
        <v>30009</v>
      </c>
      <c r="C58" s="12">
        <v>400009</v>
      </c>
      <c r="D58" s="41">
        <v>41834</v>
      </c>
      <c r="E58" s="48">
        <f>0.62%*Fund_value_History!C28</f>
        <v>3100</v>
      </c>
      <c r="F58" s="12">
        <v>25</v>
      </c>
      <c r="G58" s="12">
        <f t="shared" si="2"/>
        <v>3075</v>
      </c>
    </row>
    <row r="59" spans="1:7" ht="14.45" customHeight="1" x14ac:dyDescent="0.25">
      <c r="A59" s="12">
        <f t="shared" si="3"/>
        <v>4000000058</v>
      </c>
      <c r="B59" s="12">
        <v>30009</v>
      </c>
      <c r="C59" s="12">
        <v>400009</v>
      </c>
      <c r="D59" s="41">
        <v>41865</v>
      </c>
      <c r="E59" s="48">
        <f>0.65%*Fund_value_History!C28</f>
        <v>3250.0000000000005</v>
      </c>
      <c r="F59" s="12">
        <v>25</v>
      </c>
      <c r="G59" s="12">
        <f t="shared" si="2"/>
        <v>3225.0000000000005</v>
      </c>
    </row>
    <row r="60" spans="1:7" ht="14.45" customHeight="1" x14ac:dyDescent="0.25">
      <c r="A60" s="12">
        <f t="shared" si="3"/>
        <v>4000000059</v>
      </c>
      <c r="B60" s="12">
        <v>30009</v>
      </c>
      <c r="C60" s="12">
        <v>400009</v>
      </c>
      <c r="D60" s="41">
        <v>41896</v>
      </c>
      <c r="E60" s="48">
        <f>0.72%*Fund_value_History!C28</f>
        <v>3600</v>
      </c>
      <c r="F60" s="12">
        <v>25</v>
      </c>
      <c r="G60" s="12">
        <f t="shared" si="2"/>
        <v>3575</v>
      </c>
    </row>
    <row r="61" spans="1:7" ht="14.45" customHeight="1" x14ac:dyDescent="0.25">
      <c r="A61" s="12">
        <f t="shared" si="3"/>
        <v>4000000060</v>
      </c>
      <c r="B61" s="12">
        <v>30009</v>
      </c>
      <c r="C61" s="12">
        <v>400009</v>
      </c>
      <c r="D61" s="41">
        <v>41926</v>
      </c>
      <c r="E61" s="48">
        <f>0.38%*Fund_value_History!C28</f>
        <v>1900</v>
      </c>
      <c r="F61" s="12">
        <v>25</v>
      </c>
      <c r="G61" s="12">
        <f t="shared" si="2"/>
        <v>1875</v>
      </c>
    </row>
    <row r="62" spans="1:7" ht="14.45" customHeight="1" x14ac:dyDescent="0.25">
      <c r="A62" s="12">
        <f t="shared" si="3"/>
        <v>4000000061</v>
      </c>
      <c r="B62" s="12">
        <v>30009</v>
      </c>
      <c r="C62" s="12">
        <v>400009</v>
      </c>
      <c r="D62" s="41">
        <v>41957</v>
      </c>
      <c r="E62" s="48">
        <f>0.48%*Fund_value_History!C28</f>
        <v>2400</v>
      </c>
      <c r="F62" s="12">
        <v>25</v>
      </c>
      <c r="G62" s="12">
        <f t="shared" si="2"/>
        <v>2375</v>
      </c>
    </row>
    <row r="63" spans="1:7" ht="14.45" customHeight="1" x14ac:dyDescent="0.25">
      <c r="A63" s="12">
        <f t="shared" si="3"/>
        <v>4000000062</v>
      </c>
      <c r="B63" s="12">
        <v>30009</v>
      </c>
      <c r="C63" s="12">
        <v>400009</v>
      </c>
      <c r="D63" s="41">
        <v>41987</v>
      </c>
      <c r="E63" s="48">
        <f>0.62%*Fund_value_History!C28</f>
        <v>3100</v>
      </c>
      <c r="F63" s="12">
        <v>25</v>
      </c>
      <c r="G63" s="12">
        <f t="shared" si="2"/>
        <v>3075</v>
      </c>
    </row>
    <row r="64" spans="1:7" ht="14.45" customHeight="1" x14ac:dyDescent="0.25">
      <c r="A64" s="12">
        <f t="shared" si="3"/>
        <v>4000000063</v>
      </c>
      <c r="B64" s="12">
        <v>30009</v>
      </c>
      <c r="C64" s="12">
        <v>400009</v>
      </c>
      <c r="D64" s="41">
        <v>42018</v>
      </c>
      <c r="E64" s="48">
        <f>0.71%*Fund_value_History!C28</f>
        <v>3549.9999999999995</v>
      </c>
      <c r="F64" s="12">
        <v>25</v>
      </c>
      <c r="G64" s="12">
        <f t="shared" si="2"/>
        <v>3524.9999999999995</v>
      </c>
    </row>
    <row r="65" spans="1:7" ht="14.45" customHeight="1" x14ac:dyDescent="0.25">
      <c r="A65" s="12">
        <f t="shared" si="3"/>
        <v>4000000064</v>
      </c>
      <c r="B65" s="12">
        <v>30009</v>
      </c>
      <c r="C65" s="12">
        <v>400009</v>
      </c>
      <c r="D65" s="41">
        <v>42049</v>
      </c>
      <c r="E65" s="48">
        <f>0.47%*Fund_value_History!C28</f>
        <v>2349.9999999999995</v>
      </c>
      <c r="F65" s="12">
        <v>25</v>
      </c>
      <c r="G65" s="12">
        <f t="shared" si="2"/>
        <v>2324.9999999999995</v>
      </c>
    </row>
    <row r="66" spans="1:7" ht="14.45" customHeight="1" x14ac:dyDescent="0.25">
      <c r="A66" s="12">
        <f t="shared" si="3"/>
        <v>4000000065</v>
      </c>
      <c r="B66" s="12">
        <v>30009</v>
      </c>
      <c r="C66" s="12">
        <v>400009</v>
      </c>
      <c r="D66" s="41">
        <v>42077</v>
      </c>
      <c r="E66" s="48">
        <f>0.62%*Fund_value_History!C28</f>
        <v>3100</v>
      </c>
      <c r="F66" s="12">
        <v>25</v>
      </c>
      <c r="G66" s="12">
        <f t="shared" ref="G66:G97" si="4">E66-F66</f>
        <v>3075</v>
      </c>
    </row>
    <row r="67" spans="1:7" ht="14.45" customHeight="1" x14ac:dyDescent="0.25">
      <c r="A67" s="12">
        <f t="shared" ref="A67:A98" si="5">A66+1</f>
        <v>4000000066</v>
      </c>
      <c r="B67" s="12">
        <v>30009</v>
      </c>
      <c r="C67" s="12">
        <v>400009</v>
      </c>
      <c r="D67" s="41">
        <v>42108</v>
      </c>
      <c r="E67" s="48">
        <f>0.82%*Fund_value_History!C28</f>
        <v>4099.9999999999991</v>
      </c>
      <c r="F67" s="12">
        <v>25</v>
      </c>
      <c r="G67" s="12">
        <f t="shared" si="4"/>
        <v>4074.9999999999991</v>
      </c>
    </row>
    <row r="68" spans="1:7" ht="14.45" customHeight="1" x14ac:dyDescent="0.25">
      <c r="A68" s="12">
        <f t="shared" si="5"/>
        <v>4000000067</v>
      </c>
      <c r="B68" s="12">
        <v>30009</v>
      </c>
      <c r="C68" s="12">
        <v>400009</v>
      </c>
      <c r="D68" s="41">
        <v>42138</v>
      </c>
      <c r="E68" s="48">
        <f>0.78%*Fund_value_History!C28</f>
        <v>3900.0000000000005</v>
      </c>
      <c r="F68" s="12">
        <v>25</v>
      </c>
      <c r="G68" s="12">
        <f t="shared" si="4"/>
        <v>3875.0000000000005</v>
      </c>
    </row>
    <row r="69" spans="1:7" ht="14.45" customHeight="1" x14ac:dyDescent="0.25">
      <c r="A69" s="12">
        <f t="shared" si="5"/>
        <v>4000000068</v>
      </c>
      <c r="B69" s="12">
        <v>30009</v>
      </c>
      <c r="C69" s="12">
        <v>400009</v>
      </c>
      <c r="D69" s="41">
        <v>42169</v>
      </c>
      <c r="E69" s="48">
        <f>0.76%*Fund_value_History!C28</f>
        <v>3800</v>
      </c>
      <c r="F69" s="12">
        <v>25</v>
      </c>
      <c r="G69" s="12">
        <f t="shared" si="4"/>
        <v>3775</v>
      </c>
    </row>
    <row r="70" spans="1:7" ht="14.45" customHeight="1" x14ac:dyDescent="0.25">
      <c r="A70" s="12">
        <f t="shared" si="5"/>
        <v>4000000069</v>
      </c>
      <c r="B70" s="12">
        <v>30009</v>
      </c>
      <c r="C70" s="12">
        <v>400009</v>
      </c>
      <c r="D70" s="41">
        <v>42199</v>
      </c>
      <c r="E70" s="48">
        <f>0.64%*Fund_value_History!C29</f>
        <v>3446.5024000000003</v>
      </c>
      <c r="F70" s="12">
        <v>25</v>
      </c>
      <c r="G70" s="12">
        <f t="shared" si="4"/>
        <v>3421.5024000000003</v>
      </c>
    </row>
    <row r="71" spans="1:7" ht="14.45" customHeight="1" x14ac:dyDescent="0.25">
      <c r="A71" s="12">
        <f t="shared" si="5"/>
        <v>4000000070</v>
      </c>
      <c r="B71" s="12">
        <v>30009</v>
      </c>
      <c r="C71" s="12">
        <v>400009</v>
      </c>
      <c r="D71" s="41">
        <v>42230</v>
      </c>
      <c r="E71" s="48">
        <f>0.62%*Fund_value_History!C28</f>
        <v>3100</v>
      </c>
      <c r="F71" s="12">
        <v>25</v>
      </c>
      <c r="G71" s="12">
        <f t="shared" si="4"/>
        <v>3075</v>
      </c>
    </row>
    <row r="72" spans="1:7" ht="14.45" customHeight="1" x14ac:dyDescent="0.25">
      <c r="A72" s="12">
        <f t="shared" si="5"/>
        <v>4000000071</v>
      </c>
      <c r="B72" s="12">
        <v>30009</v>
      </c>
      <c r="C72" s="12">
        <v>400009</v>
      </c>
      <c r="D72" s="41">
        <v>42261</v>
      </c>
      <c r="E72" s="48">
        <f>0.6%*Fund_value_History!C28</f>
        <v>3000</v>
      </c>
      <c r="F72" s="12">
        <v>25</v>
      </c>
      <c r="G72" s="12">
        <f t="shared" si="4"/>
        <v>2975</v>
      </c>
    </row>
    <row r="73" spans="1:7" ht="14.45" customHeight="1" x14ac:dyDescent="0.25">
      <c r="A73" s="12">
        <f t="shared" si="5"/>
        <v>4000000072</v>
      </c>
      <c r="B73" s="12">
        <v>30009</v>
      </c>
      <c r="C73" s="12">
        <v>400009</v>
      </c>
      <c r="D73" s="41">
        <v>42291</v>
      </c>
      <c r="E73" s="48">
        <f>0.67%*Fund_value_History!C28</f>
        <v>3350</v>
      </c>
      <c r="F73" s="12">
        <v>25</v>
      </c>
      <c r="G73" s="12">
        <f t="shared" si="4"/>
        <v>3325</v>
      </c>
    </row>
    <row r="74" spans="1:7" ht="14.45" customHeight="1" x14ac:dyDescent="0.25">
      <c r="A74" s="12">
        <f t="shared" si="5"/>
        <v>4000000073</v>
      </c>
      <c r="B74" s="12">
        <v>30009</v>
      </c>
      <c r="C74" s="12">
        <v>400009</v>
      </c>
      <c r="D74" s="41">
        <v>42322</v>
      </c>
      <c r="E74" s="48">
        <f>0.72%*Fund_value_History!C28</f>
        <v>3600</v>
      </c>
      <c r="F74" s="12">
        <v>25</v>
      </c>
      <c r="G74" s="12">
        <f t="shared" si="4"/>
        <v>3575</v>
      </c>
    </row>
    <row r="75" spans="1:7" ht="14.45" customHeight="1" x14ac:dyDescent="0.25">
      <c r="A75" s="12">
        <f t="shared" si="5"/>
        <v>4000000074</v>
      </c>
      <c r="B75" s="12">
        <v>30009</v>
      </c>
      <c r="C75" s="12">
        <v>400009</v>
      </c>
      <c r="D75" s="41">
        <v>42352</v>
      </c>
      <c r="E75" s="48">
        <f>0.8%*Fund_value_History!C28</f>
        <v>4000</v>
      </c>
      <c r="F75" s="12">
        <v>25</v>
      </c>
      <c r="G75" s="12">
        <f t="shared" si="4"/>
        <v>3975</v>
      </c>
    </row>
    <row r="76" spans="1:7" ht="14.45" customHeight="1" x14ac:dyDescent="0.25">
      <c r="A76" s="12">
        <f t="shared" si="5"/>
        <v>4000000075</v>
      </c>
      <c r="B76" s="12">
        <v>30010</v>
      </c>
      <c r="C76" s="12">
        <v>400010</v>
      </c>
      <c r="D76" s="41">
        <v>42092</v>
      </c>
      <c r="E76" s="48">
        <f>1.1%*Fund_value_History!C30</f>
        <v>6600.0000000000009</v>
      </c>
      <c r="F76" s="12">
        <v>50</v>
      </c>
      <c r="G76" s="12">
        <f t="shared" si="4"/>
        <v>6550.0000000000009</v>
      </c>
    </row>
    <row r="77" spans="1:7" ht="14.45" customHeight="1" x14ac:dyDescent="0.25">
      <c r="A77" s="12">
        <f t="shared" si="5"/>
        <v>4000000076</v>
      </c>
      <c r="B77" s="12">
        <v>30010</v>
      </c>
      <c r="C77" s="12">
        <v>400010</v>
      </c>
      <c r="D77" s="41">
        <v>42184</v>
      </c>
      <c r="E77" s="48">
        <f>0.75%*Fund_value_History!C30</f>
        <v>4500</v>
      </c>
      <c r="F77" s="12">
        <v>50</v>
      </c>
      <c r="G77" s="12">
        <f t="shared" si="4"/>
        <v>4450</v>
      </c>
    </row>
    <row r="78" spans="1:7" ht="14.45" customHeight="1" x14ac:dyDescent="0.25">
      <c r="A78" s="12">
        <f t="shared" si="5"/>
        <v>4000000077</v>
      </c>
      <c r="B78" s="12">
        <v>30010</v>
      </c>
      <c r="C78" s="12">
        <v>400010</v>
      </c>
      <c r="D78" s="41">
        <v>42276</v>
      </c>
      <c r="E78" s="48">
        <f>0.8%*Fund_value_History!C31</f>
        <v>4850.2</v>
      </c>
      <c r="F78" s="12">
        <v>50</v>
      </c>
      <c r="G78" s="12">
        <f t="shared" si="4"/>
        <v>4800.2</v>
      </c>
    </row>
    <row r="79" spans="1:7" ht="14.45" customHeight="1" x14ac:dyDescent="0.25">
      <c r="A79" s="12">
        <f t="shared" si="5"/>
        <v>4000000078</v>
      </c>
      <c r="B79" s="12">
        <v>30010</v>
      </c>
      <c r="C79" s="12">
        <v>400010</v>
      </c>
      <c r="D79" s="41">
        <v>42367</v>
      </c>
      <c r="E79" s="48">
        <f>1.1%*Fund_value_History!C31</f>
        <v>6669.0250000000005</v>
      </c>
      <c r="F79" s="12">
        <v>50</v>
      </c>
      <c r="G79" s="12">
        <f t="shared" si="4"/>
        <v>6619.0250000000005</v>
      </c>
    </row>
    <row r="80" spans="1:7" ht="14.45" customHeight="1" x14ac:dyDescent="0.25">
      <c r="A80" s="12">
        <f t="shared" si="5"/>
        <v>4000000079</v>
      </c>
      <c r="B80" s="12">
        <v>30011</v>
      </c>
      <c r="C80" s="12">
        <v>400012</v>
      </c>
      <c r="D80" s="41">
        <v>42059</v>
      </c>
      <c r="E80" s="48">
        <f>1.9%*Fund_value_History!C32</f>
        <v>5700</v>
      </c>
      <c r="F80" s="12">
        <v>75</v>
      </c>
      <c r="G80" s="12">
        <f t="shared" si="4"/>
        <v>5625</v>
      </c>
    </row>
    <row r="81" spans="1:7" ht="14.45" customHeight="1" x14ac:dyDescent="0.25">
      <c r="A81" s="12">
        <f t="shared" si="5"/>
        <v>4000000080</v>
      </c>
      <c r="B81" s="43">
        <v>30011</v>
      </c>
      <c r="C81" s="12">
        <v>400012</v>
      </c>
      <c r="D81" s="41">
        <v>42209</v>
      </c>
      <c r="E81" s="48">
        <f>1.8%*Fund_value_History!C32</f>
        <v>5400.0000000000009</v>
      </c>
      <c r="F81" s="12">
        <v>70</v>
      </c>
      <c r="G81" s="12">
        <f t="shared" si="4"/>
        <v>5330.0000000000009</v>
      </c>
    </row>
    <row r="82" spans="1:7" ht="14.45" customHeight="1" x14ac:dyDescent="0.25">
      <c r="A82" s="12">
        <f t="shared" si="5"/>
        <v>4000000081</v>
      </c>
      <c r="B82" s="50">
        <v>30012</v>
      </c>
      <c r="C82" s="12">
        <v>400013</v>
      </c>
      <c r="D82" s="41">
        <v>41844</v>
      </c>
      <c r="E82" s="48">
        <f>0.4%*Fund_value_History!C34</f>
        <v>3200</v>
      </c>
      <c r="F82" s="12">
        <v>100</v>
      </c>
      <c r="G82" s="12">
        <f t="shared" si="4"/>
        <v>3100</v>
      </c>
    </row>
    <row r="83" spans="1:7" ht="14.45" customHeight="1" x14ac:dyDescent="0.25">
      <c r="A83" s="12">
        <f t="shared" si="5"/>
        <v>4000000082</v>
      </c>
      <c r="B83" s="50">
        <v>30012</v>
      </c>
      <c r="C83" s="12">
        <v>400013</v>
      </c>
      <c r="D83" s="41">
        <v>41936</v>
      </c>
      <c r="E83" s="48">
        <f>0.5%*Fund_value_History!C34</f>
        <v>4000</v>
      </c>
      <c r="F83" s="12">
        <v>100</v>
      </c>
      <c r="G83" s="12">
        <f t="shared" si="4"/>
        <v>3900</v>
      </c>
    </row>
    <row r="84" spans="1:7" ht="14.45" customHeight="1" x14ac:dyDescent="0.25">
      <c r="A84" s="12">
        <f t="shared" si="5"/>
        <v>4000000083</v>
      </c>
      <c r="B84" s="50">
        <v>30012</v>
      </c>
      <c r="C84" s="12">
        <v>400013</v>
      </c>
      <c r="D84" s="41">
        <v>42028</v>
      </c>
      <c r="E84" s="48">
        <f>0.45%*Fund_value_History!C34</f>
        <v>3600.0000000000005</v>
      </c>
      <c r="F84" s="12">
        <v>100</v>
      </c>
      <c r="G84" s="12">
        <f t="shared" si="4"/>
        <v>3500.0000000000005</v>
      </c>
    </row>
    <row r="85" spans="1:7" ht="14.45" customHeight="1" x14ac:dyDescent="0.25">
      <c r="A85" s="12">
        <f t="shared" si="5"/>
        <v>4000000084</v>
      </c>
      <c r="B85" s="50">
        <v>30012</v>
      </c>
      <c r="C85" s="12">
        <v>400013</v>
      </c>
      <c r="D85" s="41">
        <v>42118</v>
      </c>
      <c r="E85" s="48">
        <f>0.47%*Fund_value_History!C34</f>
        <v>3759.9999999999995</v>
      </c>
      <c r="F85" s="12">
        <v>100</v>
      </c>
      <c r="G85" s="12">
        <f t="shared" si="4"/>
        <v>3659.9999999999995</v>
      </c>
    </row>
    <row r="86" spans="1:7" ht="14.45" customHeight="1" x14ac:dyDescent="0.25">
      <c r="A86" s="12">
        <f t="shared" si="5"/>
        <v>4000000085</v>
      </c>
      <c r="B86" s="50">
        <v>30012</v>
      </c>
      <c r="C86" s="12">
        <v>400013</v>
      </c>
      <c r="D86" s="41">
        <v>42209</v>
      </c>
      <c r="E86" s="48">
        <f>0.6%*Fund_value_History!C35</f>
        <v>4836.96</v>
      </c>
      <c r="F86" s="12">
        <v>100</v>
      </c>
      <c r="G86" s="12">
        <f t="shared" si="4"/>
        <v>4736.96</v>
      </c>
    </row>
    <row r="87" spans="1:7" ht="14.45" customHeight="1" x14ac:dyDescent="0.25">
      <c r="A87" s="12">
        <f t="shared" si="5"/>
        <v>4000000086</v>
      </c>
      <c r="B87" s="50">
        <v>30012</v>
      </c>
      <c r="C87" s="12">
        <v>400013</v>
      </c>
      <c r="D87" s="41">
        <v>42301</v>
      </c>
      <c r="E87" s="48">
        <f>0.9%*Fund_value_History!C35</f>
        <v>7255.4400000000005</v>
      </c>
      <c r="F87" s="12">
        <v>100</v>
      </c>
      <c r="G87" s="12">
        <f t="shared" si="4"/>
        <v>7155.4400000000005</v>
      </c>
    </row>
    <row r="88" spans="1:7" ht="14.45" customHeight="1" x14ac:dyDescent="0.25">
      <c r="A88" s="12">
        <f t="shared" si="5"/>
        <v>4000000087</v>
      </c>
      <c r="B88" s="50">
        <v>30013</v>
      </c>
      <c r="C88" s="12">
        <v>400014</v>
      </c>
      <c r="D88" s="41">
        <v>41819</v>
      </c>
      <c r="E88" s="48">
        <f>0.3%*Fund_value_History!C36</f>
        <v>2100</v>
      </c>
      <c r="F88" s="12">
        <v>50</v>
      </c>
      <c r="G88" s="12">
        <f t="shared" si="4"/>
        <v>2050</v>
      </c>
    </row>
    <row r="89" spans="1:7" ht="14.45" customHeight="1" x14ac:dyDescent="0.25">
      <c r="A89" s="12">
        <f t="shared" si="5"/>
        <v>4000000088</v>
      </c>
      <c r="B89" s="50">
        <v>30013</v>
      </c>
      <c r="C89" s="12">
        <v>400014</v>
      </c>
      <c r="D89" s="41">
        <v>41849</v>
      </c>
      <c r="E89" s="48">
        <f>0.2%*Fund_value_History!C36</f>
        <v>1400</v>
      </c>
      <c r="F89" s="12">
        <v>50</v>
      </c>
      <c r="G89" s="12">
        <f t="shared" si="4"/>
        <v>1350</v>
      </c>
    </row>
    <row r="90" spans="1:7" ht="14.45" customHeight="1" x14ac:dyDescent="0.25">
      <c r="A90" s="12">
        <f t="shared" si="5"/>
        <v>4000000089</v>
      </c>
      <c r="B90" s="50">
        <v>30013</v>
      </c>
      <c r="C90" s="12">
        <v>400014</v>
      </c>
      <c r="D90" s="41">
        <v>41880</v>
      </c>
      <c r="E90" s="48">
        <f>0.29%*Fund_value_History!C36</f>
        <v>2029.9999999999998</v>
      </c>
      <c r="F90" s="12">
        <v>50</v>
      </c>
      <c r="G90" s="12">
        <f t="shared" si="4"/>
        <v>1979.9999999999998</v>
      </c>
    </row>
    <row r="91" spans="1:7" ht="14.45" customHeight="1" x14ac:dyDescent="0.25">
      <c r="A91" s="12">
        <f t="shared" si="5"/>
        <v>4000000090</v>
      </c>
      <c r="B91" s="50">
        <v>30013</v>
      </c>
      <c r="C91" s="12">
        <v>400014</v>
      </c>
      <c r="D91" s="41">
        <v>41911</v>
      </c>
      <c r="E91" s="48">
        <f>0.32%*Fund_value_History!C36</f>
        <v>2240</v>
      </c>
      <c r="F91" s="12">
        <v>50</v>
      </c>
      <c r="G91" s="12">
        <f t="shared" si="4"/>
        <v>2190</v>
      </c>
    </row>
    <row r="92" spans="1:7" ht="14.45" customHeight="1" x14ac:dyDescent="0.25">
      <c r="A92" s="12">
        <f t="shared" si="5"/>
        <v>4000000091</v>
      </c>
      <c r="B92" s="50">
        <v>30013</v>
      </c>
      <c r="C92" s="12">
        <v>400014</v>
      </c>
      <c r="D92" s="41">
        <v>41941</v>
      </c>
      <c r="E92" s="48">
        <f>0.19%*Fund_value_History!C36</f>
        <v>1330</v>
      </c>
      <c r="F92" s="12">
        <v>50</v>
      </c>
      <c r="G92" s="12">
        <f t="shared" si="4"/>
        <v>1280</v>
      </c>
    </row>
    <row r="93" spans="1:7" ht="14.45" customHeight="1" x14ac:dyDescent="0.25">
      <c r="A93" s="12">
        <f t="shared" si="5"/>
        <v>4000000092</v>
      </c>
      <c r="B93" s="50">
        <v>30013</v>
      </c>
      <c r="C93" s="12">
        <v>400014</v>
      </c>
      <c r="D93" s="41">
        <v>41972</v>
      </c>
      <c r="E93" s="48">
        <f>0.13%*Fund_value_History!C36</f>
        <v>910</v>
      </c>
      <c r="F93" s="12">
        <v>50</v>
      </c>
      <c r="G93" s="12">
        <f t="shared" si="4"/>
        <v>860</v>
      </c>
    </row>
    <row r="94" spans="1:7" ht="14.45" customHeight="1" x14ac:dyDescent="0.25">
      <c r="A94" s="12">
        <f t="shared" si="5"/>
        <v>4000000093</v>
      </c>
      <c r="B94" s="50">
        <v>30013</v>
      </c>
      <c r="C94" s="12">
        <v>400014</v>
      </c>
      <c r="D94" s="41">
        <v>42002</v>
      </c>
      <c r="E94" s="48">
        <f>0.17%*Fund_value_History!C36</f>
        <v>1190</v>
      </c>
      <c r="F94" s="12">
        <v>50</v>
      </c>
      <c r="G94" s="12">
        <f t="shared" si="4"/>
        <v>1140</v>
      </c>
    </row>
    <row r="95" spans="1:7" ht="14.45" customHeight="1" x14ac:dyDescent="0.25">
      <c r="A95" s="12">
        <f t="shared" si="5"/>
        <v>4000000094</v>
      </c>
      <c r="B95" s="50">
        <v>30013</v>
      </c>
      <c r="C95" s="12">
        <v>400014</v>
      </c>
      <c r="D95" s="41">
        <v>42033</v>
      </c>
      <c r="E95" s="48">
        <f>0.21%*Fund_value_History!C36</f>
        <v>1470</v>
      </c>
      <c r="F95" s="12">
        <v>50</v>
      </c>
      <c r="G95" s="12">
        <f t="shared" si="4"/>
        <v>1420</v>
      </c>
    </row>
    <row r="96" spans="1:7" ht="14.45" customHeight="1" x14ac:dyDescent="0.25">
      <c r="A96" s="12">
        <f t="shared" si="5"/>
        <v>4000000095</v>
      </c>
      <c r="B96" s="50">
        <v>30013</v>
      </c>
      <c r="C96" s="12">
        <v>400014</v>
      </c>
      <c r="D96" s="41">
        <v>42063</v>
      </c>
      <c r="E96" s="48">
        <f>0.25%*Fund_value_History!C36</f>
        <v>1750</v>
      </c>
      <c r="F96" s="12">
        <v>50</v>
      </c>
      <c r="G96" s="12">
        <f t="shared" si="4"/>
        <v>1700</v>
      </c>
    </row>
    <row r="97" spans="1:7" ht="14.45" customHeight="1" x14ac:dyDescent="0.25">
      <c r="A97" s="12">
        <f t="shared" si="5"/>
        <v>4000000096</v>
      </c>
      <c r="B97" s="50">
        <v>30013</v>
      </c>
      <c r="C97" s="12">
        <v>400014</v>
      </c>
      <c r="D97" s="41">
        <v>42092</v>
      </c>
      <c r="E97" s="48">
        <f>0.29%*Fund_value_History!C36</f>
        <v>2029.9999999999998</v>
      </c>
      <c r="F97" s="12">
        <v>50</v>
      </c>
      <c r="G97" s="12">
        <f t="shared" si="4"/>
        <v>1979.9999999999998</v>
      </c>
    </row>
    <row r="98" spans="1:7" ht="14.45" customHeight="1" x14ac:dyDescent="0.25">
      <c r="A98" s="12">
        <f t="shared" si="5"/>
        <v>4000000097</v>
      </c>
      <c r="B98" s="50">
        <v>30013</v>
      </c>
      <c r="C98" s="12">
        <v>400014</v>
      </c>
      <c r="D98" s="41">
        <v>42123</v>
      </c>
      <c r="E98" s="48">
        <f>0.33%*Fund_value_History!C36</f>
        <v>2310</v>
      </c>
      <c r="F98" s="12">
        <v>50</v>
      </c>
      <c r="G98" s="12">
        <f t="shared" ref="G98:G106" si="6">E98-F98</f>
        <v>2260</v>
      </c>
    </row>
    <row r="99" spans="1:7" ht="14.45" customHeight="1" x14ac:dyDescent="0.25">
      <c r="A99" s="12">
        <f t="shared" ref="A99:A106" si="7">A98+1</f>
        <v>4000000098</v>
      </c>
      <c r="B99" s="50">
        <v>30013</v>
      </c>
      <c r="C99" s="12">
        <v>400014</v>
      </c>
      <c r="D99" s="41">
        <v>42153</v>
      </c>
      <c r="E99" s="48">
        <f>0.37%*Fund_value_History!C36</f>
        <v>2590</v>
      </c>
      <c r="F99" s="12">
        <v>50</v>
      </c>
      <c r="G99" s="12">
        <f t="shared" si="6"/>
        <v>2540</v>
      </c>
    </row>
    <row r="100" spans="1:7" ht="14.45" customHeight="1" x14ac:dyDescent="0.25">
      <c r="A100" s="12">
        <f t="shared" si="7"/>
        <v>4000000099</v>
      </c>
      <c r="B100" s="50">
        <v>30013</v>
      </c>
      <c r="C100" s="12">
        <v>400014</v>
      </c>
      <c r="D100" s="41">
        <v>42184</v>
      </c>
      <c r="E100" s="48">
        <f>0.39%*Fund_value_History!C36</f>
        <v>2730</v>
      </c>
      <c r="F100" s="12">
        <v>50</v>
      </c>
      <c r="G100" s="12">
        <f t="shared" si="6"/>
        <v>2680</v>
      </c>
    </row>
    <row r="101" spans="1:7" ht="14.45" customHeight="1" x14ac:dyDescent="0.25">
      <c r="A101" s="12">
        <f t="shared" si="7"/>
        <v>4000000100</v>
      </c>
      <c r="B101" s="50">
        <v>30013</v>
      </c>
      <c r="C101" s="12">
        <v>400014</v>
      </c>
      <c r="D101" s="41">
        <v>42214</v>
      </c>
      <c r="E101" s="48">
        <f>0.4%*Fund_value_History!C37</f>
        <v>2865.7359999999999</v>
      </c>
      <c r="F101" s="12">
        <v>50</v>
      </c>
      <c r="G101" s="12">
        <f t="shared" si="6"/>
        <v>2815.7359999999999</v>
      </c>
    </row>
    <row r="102" spans="1:7" ht="14.45" customHeight="1" x14ac:dyDescent="0.25">
      <c r="A102" s="12">
        <f t="shared" si="7"/>
        <v>4000000101</v>
      </c>
      <c r="B102" s="50">
        <v>30013</v>
      </c>
      <c r="C102" s="12">
        <v>400014</v>
      </c>
      <c r="D102" s="41">
        <v>42245</v>
      </c>
      <c r="E102" s="48">
        <f>0.5%*Fund_value_History!C37</f>
        <v>3582.17</v>
      </c>
      <c r="F102" s="12">
        <v>50</v>
      </c>
      <c r="G102" s="12">
        <f t="shared" si="6"/>
        <v>3532.17</v>
      </c>
    </row>
    <row r="103" spans="1:7" ht="14.45" customHeight="1" x14ac:dyDescent="0.25">
      <c r="A103" s="12">
        <f t="shared" si="7"/>
        <v>4000000102</v>
      </c>
      <c r="B103" s="50">
        <v>30013</v>
      </c>
      <c r="C103" s="12">
        <v>400014</v>
      </c>
      <c r="D103" s="41">
        <v>42276</v>
      </c>
      <c r="E103" s="48">
        <f>0.65%*Fund_value_History!C37</f>
        <v>4656.8210000000008</v>
      </c>
      <c r="F103" s="12">
        <v>50</v>
      </c>
      <c r="G103" s="12">
        <f t="shared" si="6"/>
        <v>4606.8210000000008</v>
      </c>
    </row>
    <row r="104" spans="1:7" ht="14.45" customHeight="1" x14ac:dyDescent="0.25">
      <c r="A104" s="12">
        <f t="shared" si="7"/>
        <v>4000000103</v>
      </c>
      <c r="B104" s="50">
        <v>30013</v>
      </c>
      <c r="C104" s="12">
        <v>400014</v>
      </c>
      <c r="D104" s="41">
        <v>42306</v>
      </c>
      <c r="E104" s="48">
        <f>0.7%*Fund_value_History!C37</f>
        <v>5015.0379999999996</v>
      </c>
      <c r="F104" s="12">
        <v>50</v>
      </c>
      <c r="G104" s="12">
        <f t="shared" si="6"/>
        <v>4965.0379999999996</v>
      </c>
    </row>
    <row r="105" spans="1:7" ht="14.45" customHeight="1" x14ac:dyDescent="0.25">
      <c r="A105" s="12">
        <f t="shared" si="7"/>
        <v>4000000104</v>
      </c>
      <c r="B105" s="50">
        <v>30013</v>
      </c>
      <c r="C105" s="12">
        <v>400014</v>
      </c>
      <c r="D105" s="41">
        <v>42337</v>
      </c>
      <c r="E105" s="48">
        <f>0.79%*Fund_value_History!C37</f>
        <v>5659.8286000000007</v>
      </c>
      <c r="F105" s="12">
        <v>50</v>
      </c>
      <c r="G105" s="12">
        <f t="shared" si="6"/>
        <v>5609.8286000000007</v>
      </c>
    </row>
    <row r="106" spans="1:7" ht="14.45" customHeight="1" x14ac:dyDescent="0.25">
      <c r="A106" s="12">
        <f t="shared" si="7"/>
        <v>4000000105</v>
      </c>
      <c r="B106" s="50">
        <v>30013</v>
      </c>
      <c r="C106" s="12">
        <v>400014</v>
      </c>
      <c r="D106" s="41">
        <v>42367</v>
      </c>
      <c r="E106" s="48">
        <f>1%*Fund_value_History!C37</f>
        <v>7164.34</v>
      </c>
      <c r="F106" s="12">
        <v>50</v>
      </c>
      <c r="G106" s="12">
        <f t="shared" si="6"/>
        <v>7114.34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showGridLines="0" workbookViewId="0">
      <pane ySplit="1" topLeftCell="A2" activePane="bottomLeft" state="frozen"/>
      <selection pane="bottomLeft" activeCell="E12" sqref="E12"/>
    </sheetView>
  </sheetViews>
  <sheetFormatPr defaultColWidth="16.28515625" defaultRowHeight="14.85" customHeight="1" x14ac:dyDescent="0.25"/>
  <cols>
    <col min="1" max="2" width="16.28515625" style="51" customWidth="1"/>
    <col min="3" max="3" width="18.42578125" style="51" customWidth="1"/>
    <col min="4" max="4" width="16.28515625" style="51" customWidth="1"/>
    <col min="5" max="5" width="18.140625" style="51" customWidth="1"/>
    <col min="6" max="256" width="16.28515625" style="51" customWidth="1"/>
  </cols>
  <sheetData>
    <row r="1" spans="1:5" ht="14.65" customHeight="1" x14ac:dyDescent="0.25">
      <c r="A1" s="52" t="s">
        <v>157</v>
      </c>
      <c r="B1" s="53" t="s">
        <v>42</v>
      </c>
      <c r="C1" s="53" t="s">
        <v>158</v>
      </c>
      <c r="D1" s="53" t="s">
        <v>159</v>
      </c>
      <c r="E1" s="53" t="s">
        <v>160</v>
      </c>
    </row>
    <row r="2" spans="1:5" ht="15" customHeight="1" x14ac:dyDescent="0.25">
      <c r="A2" s="54">
        <v>480000001</v>
      </c>
      <c r="B2" s="21">
        <f>Fund_Allocation!B2</f>
        <v>30000</v>
      </c>
      <c r="C2" s="47">
        <f>Fund_Allocation!D2</f>
        <v>73000</v>
      </c>
      <c r="D2" s="55">
        <v>41456</v>
      </c>
      <c r="E2" s="56">
        <v>0</v>
      </c>
    </row>
    <row r="3" spans="1:5" ht="15" customHeight="1" x14ac:dyDescent="0.25">
      <c r="A3" s="57">
        <f t="shared" ref="A3:A37" si="0">A2+1</f>
        <v>480000002</v>
      </c>
      <c r="B3" s="58">
        <f>Fund_Allocation!B2</f>
        <v>30000</v>
      </c>
      <c r="C3" s="59">
        <f>C2+(Fund_Returns!G2+Fund_Returns!G3+Fund_Returns!G4+Fund_Returns!G5)-(E3)</f>
        <v>79685</v>
      </c>
      <c r="D3" s="55">
        <v>41821</v>
      </c>
      <c r="E3" s="56">
        <f>Fund_Disbursement!C2+Fund_Disbursement!C4+Fund_Disbursement!C34</f>
        <v>6570</v>
      </c>
    </row>
    <row r="4" spans="1:5" ht="15" customHeight="1" x14ac:dyDescent="0.25">
      <c r="A4" s="57">
        <f t="shared" si="0"/>
        <v>480000003</v>
      </c>
      <c r="B4" s="60">
        <f>Fund_Allocation!B2</f>
        <v>30000</v>
      </c>
      <c r="C4" s="61">
        <f>C3+(Fund_Returns!G6+Fund_Returns!G7+Fund_Returns!G8+Fund_Returns!G9)-(E4)</f>
        <v>93267.102500000008</v>
      </c>
      <c r="D4" s="40">
        <v>42186</v>
      </c>
      <c r="E4" s="21">
        <f>Fund_Disbursement!C13+Fund_Disbursement!C16+Fund_Disbursement!C36</f>
        <v>1953</v>
      </c>
    </row>
    <row r="5" spans="1:5" ht="14.65" customHeight="1" x14ac:dyDescent="0.25">
      <c r="A5" s="57">
        <f t="shared" si="0"/>
        <v>480000004</v>
      </c>
      <c r="B5" s="57">
        <f>Fund_Allocation!B3</f>
        <v>30001</v>
      </c>
      <c r="C5" s="62">
        <f>Fund_Allocation!D3</f>
        <v>53000</v>
      </c>
      <c r="D5" s="63">
        <f>Fund_Allocation!E3</f>
        <v>41366</v>
      </c>
      <c r="E5" s="64">
        <v>0</v>
      </c>
    </row>
    <row r="6" spans="1:5" ht="14.45" customHeight="1" x14ac:dyDescent="0.25">
      <c r="A6" s="57">
        <f t="shared" si="0"/>
        <v>480000005</v>
      </c>
      <c r="B6" s="57">
        <f>Fund_Allocation!B3</f>
        <v>30001</v>
      </c>
      <c r="C6" s="62">
        <f>C5+(Fund_Returns!G12+Fund_Returns!G13)-E6</f>
        <v>54159</v>
      </c>
      <c r="D6" s="65">
        <v>41821</v>
      </c>
      <c r="E6" s="57">
        <f>Fund_Disbursement!C3+Fund_Disbursement!C5</f>
        <v>6120</v>
      </c>
    </row>
    <row r="7" spans="1:5" ht="14.45" customHeight="1" x14ac:dyDescent="0.25">
      <c r="A7" s="57">
        <f t="shared" si="0"/>
        <v>480000006</v>
      </c>
      <c r="B7" s="57">
        <f>Fund_Allocation!B3</f>
        <v>30001</v>
      </c>
      <c r="C7" s="62">
        <f>C6+(Fund_Returns!G14+Fund_Returns!G15)-E7</f>
        <v>60512.145000000004</v>
      </c>
      <c r="D7" s="65">
        <v>42186</v>
      </c>
      <c r="E7" s="57">
        <f>Fund_Disbursement!C14+Fund_Disbursement!C17+Fund_Disbursement!C26</f>
        <v>1771.5</v>
      </c>
    </row>
    <row r="8" spans="1:5" ht="14.45" customHeight="1" x14ac:dyDescent="0.25">
      <c r="A8" s="57">
        <f t="shared" si="0"/>
        <v>480000007</v>
      </c>
      <c r="B8" s="57">
        <f>Fund_Allocation!B4</f>
        <v>30002</v>
      </c>
      <c r="C8" s="62">
        <f>Fund_Allocation!D4</f>
        <v>85000</v>
      </c>
      <c r="D8" s="65">
        <f>Fund_Allocation!E4</f>
        <v>41369</v>
      </c>
      <c r="E8" s="57">
        <v>0</v>
      </c>
    </row>
    <row r="9" spans="1:5" ht="14.45" customHeight="1" x14ac:dyDescent="0.25">
      <c r="A9" s="57">
        <f t="shared" si="0"/>
        <v>480000008</v>
      </c>
      <c r="B9" s="57">
        <f>Fund_Allocation!B4</f>
        <v>30002</v>
      </c>
      <c r="C9" s="62">
        <f>C8+(Fund_Returns!G17)-E9</f>
        <v>88500</v>
      </c>
      <c r="D9" s="65">
        <v>41821</v>
      </c>
      <c r="E9" s="57">
        <f>Fund_Disbursement!C6</f>
        <v>1020.0000000000001</v>
      </c>
    </row>
    <row r="10" spans="1:5" ht="14.45" customHeight="1" x14ac:dyDescent="0.25">
      <c r="A10" s="57">
        <f t="shared" si="0"/>
        <v>480000009</v>
      </c>
      <c r="B10" s="57">
        <f>Fund_Allocation!B4</f>
        <v>30002</v>
      </c>
      <c r="C10" s="62">
        <f>C9+Fund_Returns!G18-E10</f>
        <v>88745</v>
      </c>
      <c r="D10" s="65">
        <v>42186</v>
      </c>
      <c r="E10" s="57">
        <f>Fund_Disbursement!C32+Fund_Disbursement!C33</f>
        <v>6750</v>
      </c>
    </row>
    <row r="11" spans="1:5" ht="14.45" customHeight="1" x14ac:dyDescent="0.25">
      <c r="A11" s="57">
        <f t="shared" si="0"/>
        <v>480000010</v>
      </c>
      <c r="B11" s="57">
        <f>Fund_Allocation!B5</f>
        <v>30003</v>
      </c>
      <c r="C11" s="62">
        <f>Fund_Allocation!D5</f>
        <v>45000</v>
      </c>
      <c r="D11" s="65">
        <f>Fund_Allocation!E5</f>
        <v>41456</v>
      </c>
      <c r="E11" s="57">
        <v>0</v>
      </c>
    </row>
    <row r="12" spans="1:5" ht="14.45" customHeight="1" x14ac:dyDescent="0.25">
      <c r="A12" s="57">
        <f t="shared" si="0"/>
        <v>480000011</v>
      </c>
      <c r="B12" s="57">
        <f>Fund_Allocation!B5</f>
        <v>30003</v>
      </c>
      <c r="C12" s="62">
        <f>C11+(Fund_Returns!G19)-E12</f>
        <v>48443</v>
      </c>
      <c r="D12" s="65">
        <v>41821</v>
      </c>
      <c r="E12" s="57">
        <f>Fund_Disbursement!C7</f>
        <v>2500</v>
      </c>
    </row>
    <row r="13" spans="1:5" ht="14.45" customHeight="1" x14ac:dyDescent="0.25">
      <c r="A13" s="57">
        <f t="shared" si="0"/>
        <v>480000012</v>
      </c>
      <c r="B13" s="57">
        <f>Fund_Allocation!B5</f>
        <v>30003</v>
      </c>
      <c r="C13" s="62">
        <f>C12+(Fund_Returns!G20)-E13</f>
        <v>52022.520000000004</v>
      </c>
      <c r="D13" s="65">
        <v>42186</v>
      </c>
      <c r="E13" s="57">
        <f>Fund_Disbursement!C19+Fund_Disbursement!C27</f>
        <v>2738.5</v>
      </c>
    </row>
    <row r="14" spans="1:5" ht="14.45" customHeight="1" x14ac:dyDescent="0.25">
      <c r="A14" s="57">
        <f t="shared" si="0"/>
        <v>480000013</v>
      </c>
      <c r="B14" s="57">
        <f>Fund_Allocation!B6</f>
        <v>30004</v>
      </c>
      <c r="C14" s="62">
        <f>Fund_Allocation!D6</f>
        <v>100000</v>
      </c>
      <c r="D14" s="65">
        <f>Fund_Allocation!E6</f>
        <v>41289</v>
      </c>
      <c r="E14" s="57">
        <v>0</v>
      </c>
    </row>
    <row r="15" spans="1:5" ht="14.45" customHeight="1" x14ac:dyDescent="0.25">
      <c r="A15" s="57">
        <f t="shared" si="0"/>
        <v>480000014</v>
      </c>
      <c r="B15" s="57">
        <f>Fund_Allocation!B6</f>
        <v>30004</v>
      </c>
      <c r="C15" s="62">
        <f>C14+(Fund_Returns!G21)-E15</f>
        <v>108838</v>
      </c>
      <c r="D15" s="65">
        <v>41821</v>
      </c>
      <c r="E15" s="57">
        <f>Fund_Disbursement!C35</f>
        <v>4050</v>
      </c>
    </row>
    <row r="16" spans="1:5" ht="14.45" customHeight="1" x14ac:dyDescent="0.25">
      <c r="A16" s="57">
        <f t="shared" si="0"/>
        <v>480000015</v>
      </c>
      <c r="B16" s="57">
        <f>Fund_Allocation!B6</f>
        <v>30004</v>
      </c>
      <c r="C16" s="62">
        <f>C15+(Fund_Returns!G22)-E16</f>
        <v>122640.482</v>
      </c>
      <c r="D16" s="65">
        <v>42186</v>
      </c>
      <c r="E16" s="57">
        <f>Fund_Disbursement!C37</f>
        <v>900</v>
      </c>
    </row>
    <row r="17" spans="1:5" ht="14.45" customHeight="1" x14ac:dyDescent="0.25">
      <c r="A17" s="57">
        <f t="shared" si="0"/>
        <v>480000016</v>
      </c>
      <c r="B17" s="57">
        <f>Fund_Allocation!B7</f>
        <v>30005</v>
      </c>
      <c r="C17" s="62">
        <f>Fund_Allocation!D7</f>
        <v>105000</v>
      </c>
      <c r="D17" s="65">
        <f>Fund_Allocation!E7</f>
        <v>41583</v>
      </c>
      <c r="E17" s="57">
        <v>0</v>
      </c>
    </row>
    <row r="18" spans="1:5" ht="14.45" customHeight="1" x14ac:dyDescent="0.25">
      <c r="A18" s="57">
        <f t="shared" si="0"/>
        <v>480000017</v>
      </c>
      <c r="B18" s="57">
        <f>Fund_Allocation!B7</f>
        <v>30005</v>
      </c>
      <c r="C18" s="62">
        <f>C17+(Fund_Returns!G23+Fund_Returns!G24)-E18</f>
        <v>106745</v>
      </c>
      <c r="D18" s="65">
        <v>41821</v>
      </c>
      <c r="E18" s="57">
        <f>Fund_Disbursement!C8+Fund_Disbursement!C12</f>
        <v>12800</v>
      </c>
    </row>
    <row r="19" spans="1:5" ht="14.45" customHeight="1" x14ac:dyDescent="0.25">
      <c r="A19" s="57">
        <f t="shared" si="0"/>
        <v>480000018</v>
      </c>
      <c r="B19" s="57">
        <f>Fund_Allocation!B7</f>
        <v>30005</v>
      </c>
      <c r="C19" s="62">
        <f>C18+(Fund_Returns!G25+Fund_Returns!G26)-E19</f>
        <v>109642.73</v>
      </c>
      <c r="D19" s="65">
        <v>42186</v>
      </c>
      <c r="E19" s="57">
        <f>Fund_Disbursement!C20+Fund_Disbursement!C22+Fund_Disbursement!C24</f>
        <v>13150</v>
      </c>
    </row>
    <row r="20" spans="1:5" ht="14.45" customHeight="1" x14ac:dyDescent="0.25">
      <c r="A20" s="57">
        <f t="shared" si="0"/>
        <v>480000019</v>
      </c>
      <c r="B20" s="57">
        <f>Fund_Allocation!B8</f>
        <v>30006</v>
      </c>
      <c r="C20" s="62">
        <f>Fund_Allocation!D8</f>
        <v>50000</v>
      </c>
      <c r="D20" s="65">
        <f>Fund_Allocation!E8</f>
        <v>41286</v>
      </c>
      <c r="E20" s="57">
        <v>0</v>
      </c>
    </row>
    <row r="21" spans="1:5" ht="14.45" customHeight="1" x14ac:dyDescent="0.25">
      <c r="A21" s="57">
        <f t="shared" si="0"/>
        <v>480000020</v>
      </c>
      <c r="B21" s="57">
        <f>Fund_Allocation!B8</f>
        <v>30006</v>
      </c>
      <c r="C21" s="62">
        <f>C20+(Fund_Returns!G27)-E21</f>
        <v>51285</v>
      </c>
      <c r="D21" s="65">
        <v>41821</v>
      </c>
      <c r="E21" s="57">
        <f>Fund_Disbursement!C9</f>
        <v>3150</v>
      </c>
    </row>
    <row r="22" spans="1:5" ht="14.45" customHeight="1" x14ac:dyDescent="0.25">
      <c r="A22" s="57">
        <f t="shared" si="0"/>
        <v>480000021</v>
      </c>
      <c r="B22" s="57">
        <f>Fund_Allocation!B8</f>
        <v>30006</v>
      </c>
      <c r="C22" s="62">
        <f>C21+(Fund_Returns!G28)-E22</f>
        <v>52792.505000000005</v>
      </c>
      <c r="D22" s="65">
        <v>42186</v>
      </c>
      <c r="E22" s="57">
        <f>Fund_Disbursement!C21</f>
        <v>3150</v>
      </c>
    </row>
    <row r="23" spans="1:5" ht="14.45" customHeight="1" x14ac:dyDescent="0.25">
      <c r="A23" s="57">
        <f t="shared" si="0"/>
        <v>480000022</v>
      </c>
      <c r="B23" s="57">
        <f>Fund_Allocation!B9</f>
        <v>30007</v>
      </c>
      <c r="C23" s="62">
        <f>Fund_Allocation!D9</f>
        <v>75000</v>
      </c>
      <c r="D23" s="65">
        <f>Fund_Allocation!E9</f>
        <v>41562</v>
      </c>
      <c r="E23" s="57">
        <v>0</v>
      </c>
    </row>
    <row r="24" spans="1:5" ht="14.45" customHeight="1" x14ac:dyDescent="0.25">
      <c r="A24" s="57">
        <f t="shared" si="0"/>
        <v>480000023</v>
      </c>
      <c r="B24" s="57">
        <f>Fund_Allocation!B9</f>
        <v>30007</v>
      </c>
      <c r="C24" s="62">
        <f>C23+(Fund_Returns!G29+Fund_Returns!G30)-E24</f>
        <v>75775</v>
      </c>
      <c r="D24" s="65">
        <v>41821</v>
      </c>
      <c r="E24" s="57">
        <f>Fund_Disbursement!C11</f>
        <v>3100</v>
      </c>
    </row>
    <row r="25" spans="1:5" ht="14.45" customHeight="1" x14ac:dyDescent="0.25">
      <c r="A25" s="57">
        <f t="shared" si="0"/>
        <v>480000024</v>
      </c>
      <c r="B25" s="57">
        <f>Fund_Allocation!B9</f>
        <v>30007</v>
      </c>
      <c r="C25" s="62">
        <f>C24+(Fund_Returns!G31+Fund_Returns!G32+Fund_Returns!G33+Fund_Returns!G34)-E25</f>
        <v>90802.200000000012</v>
      </c>
      <c r="D25" s="65">
        <v>42186</v>
      </c>
      <c r="E25" s="57">
        <f>Fund_Disbursement!C23</f>
        <v>3100</v>
      </c>
    </row>
    <row r="26" spans="1:5" ht="14.65" customHeight="1" x14ac:dyDescent="0.25">
      <c r="A26" s="57">
        <f t="shared" si="0"/>
        <v>480000025</v>
      </c>
      <c r="B26" s="57">
        <f>Fund_Allocation!B10</f>
        <v>30008</v>
      </c>
      <c r="C26" s="62">
        <f>Fund_Allocation!D10</f>
        <v>110000</v>
      </c>
      <c r="D26" s="65">
        <f>Fund_Allocation!E10</f>
        <v>41856</v>
      </c>
      <c r="E26" s="66">
        <v>0</v>
      </c>
    </row>
    <row r="27" spans="1:5" ht="15" customHeight="1" x14ac:dyDescent="0.25">
      <c r="A27" s="57">
        <f t="shared" si="0"/>
        <v>480000026</v>
      </c>
      <c r="B27" s="57">
        <f>Fund_Allocation!B10</f>
        <v>30008</v>
      </c>
      <c r="C27" s="62">
        <f>C26+(Fund_Returns!G37+Fund_Returns!G38+Fund_Returns!G39+Fund_Returns!G40+Fund_Returns!G41+Fund_Returns!G42+Fund_Returns!G43+Fund_Returns!G44+Fund_Returns!G45+Fund_Returns!G46)-E27</f>
        <v>105638</v>
      </c>
      <c r="D27" s="67">
        <v>42186</v>
      </c>
      <c r="E27" s="47">
        <f>Fund_Disbursement!C25+Fund_Disbursement!C28+Fund_Disbursement!C31</f>
        <v>9227</v>
      </c>
    </row>
    <row r="28" spans="1:5" ht="14.65" customHeight="1" x14ac:dyDescent="0.25">
      <c r="A28" s="57">
        <f t="shared" si="0"/>
        <v>480000027</v>
      </c>
      <c r="B28" s="57">
        <f>Fund_Allocation!B11</f>
        <v>30009</v>
      </c>
      <c r="C28" s="62">
        <f>Fund_Allocation!D11</f>
        <v>500000</v>
      </c>
      <c r="D28" s="65">
        <f>Fund_Allocation!E11</f>
        <v>41685</v>
      </c>
      <c r="E28" s="64">
        <v>0</v>
      </c>
    </row>
    <row r="29" spans="1:5" ht="14.45" customHeight="1" x14ac:dyDescent="0.25">
      <c r="A29" s="57">
        <f t="shared" si="0"/>
        <v>480000028</v>
      </c>
      <c r="B29" s="57">
        <f>Fund_Allocation!B11</f>
        <v>30009</v>
      </c>
      <c r="C29" s="62">
        <f>C28+(Fund_Returns!G54+Fund_Returns!G55+Fund_Returns!G56+Fund_Returns!G57+Fund_Returns!G58+Fund_Returns!G59+Fund_Returns!G60+Fund_Returns!G61+Fund_Returns!G62+Fund_Returns!G63+Fund_Returns!G64+Fund_Returns!G65+Fund_Returns!G66+Fund_Returns!G67+Fund_Returns!G68+Fund_Returns!G69)-E29</f>
        <v>538516</v>
      </c>
      <c r="D29" s="65">
        <v>42186</v>
      </c>
      <c r="E29" s="57">
        <f>Fund_Disbursement!C15</f>
        <v>9234</v>
      </c>
    </row>
    <row r="30" spans="1:5" ht="14.45" customHeight="1" x14ac:dyDescent="0.25">
      <c r="A30" s="57">
        <f t="shared" si="0"/>
        <v>480000029</v>
      </c>
      <c r="B30" s="57">
        <f>Fund_Allocation!B12</f>
        <v>30010</v>
      </c>
      <c r="C30" s="62">
        <f>Fund_Allocation!D12</f>
        <v>600000</v>
      </c>
      <c r="D30" s="65">
        <f>Fund_Allocation!E12</f>
        <v>42003</v>
      </c>
      <c r="E30" s="57">
        <v>0</v>
      </c>
    </row>
    <row r="31" spans="1:5" ht="14.45" customHeight="1" x14ac:dyDescent="0.25">
      <c r="A31" s="57">
        <f t="shared" si="0"/>
        <v>480000030</v>
      </c>
      <c r="B31" s="57">
        <f>Fund_Allocation!B12</f>
        <v>30010</v>
      </c>
      <c r="C31" s="62">
        <f>C30+(Fund_Returns!G76+Fund_Returns!G77)-E31</f>
        <v>606275</v>
      </c>
      <c r="D31" s="65">
        <v>42186</v>
      </c>
      <c r="E31" s="57">
        <f>Fund_Disbursement!C33</f>
        <v>4725</v>
      </c>
    </row>
    <row r="32" spans="1:5" ht="14.45" customHeight="1" x14ac:dyDescent="0.25">
      <c r="A32" s="57">
        <f t="shared" si="0"/>
        <v>480000031</v>
      </c>
      <c r="B32" s="57">
        <f>Fund_Allocation!B13</f>
        <v>30011</v>
      </c>
      <c r="C32" s="62">
        <f>Fund_Allocation!D13</f>
        <v>300000</v>
      </c>
      <c r="D32" s="65">
        <f>Fund_Allocation!E13</f>
        <v>41845</v>
      </c>
      <c r="E32" s="57">
        <v>0</v>
      </c>
    </row>
    <row r="33" spans="1:5" ht="14.45" customHeight="1" x14ac:dyDescent="0.25">
      <c r="A33" s="57">
        <f t="shared" si="0"/>
        <v>480000032</v>
      </c>
      <c r="B33" s="57">
        <f>Fund_Allocation!B13</f>
        <v>30011</v>
      </c>
      <c r="C33" s="62">
        <f>C32+(Fund_Returns!G80)-E33</f>
        <v>302475</v>
      </c>
      <c r="D33" s="65">
        <v>42186</v>
      </c>
      <c r="E33" s="57">
        <f>Fund_Disbursement!C38</f>
        <v>3150</v>
      </c>
    </row>
    <row r="34" spans="1:5" ht="14.45" customHeight="1" x14ac:dyDescent="0.25">
      <c r="A34" s="57">
        <f t="shared" si="0"/>
        <v>480000033</v>
      </c>
      <c r="B34" s="57">
        <f>Fund_Allocation!B14</f>
        <v>30012</v>
      </c>
      <c r="C34" s="62">
        <f>Fund_Allocation!D14</f>
        <v>800000</v>
      </c>
      <c r="D34" s="65">
        <f>Fund_Allocation!E14</f>
        <v>41754</v>
      </c>
      <c r="E34" s="57">
        <v>0</v>
      </c>
    </row>
    <row r="35" spans="1:5" ht="14.45" customHeight="1" x14ac:dyDescent="0.25">
      <c r="A35" s="57">
        <f t="shared" si="0"/>
        <v>480000034</v>
      </c>
      <c r="B35" s="57">
        <f>Fund_Allocation!B14</f>
        <v>30012</v>
      </c>
      <c r="C35" s="62">
        <f>C34+(Fund_Returns!G82+Fund_Returns!G83+Fund_Returns!G84+Fund_Returns!G85)-E35</f>
        <v>806160</v>
      </c>
      <c r="D35" s="65">
        <v>42186</v>
      </c>
      <c r="E35" s="57">
        <f>Fund_Disbursement!C39</f>
        <v>8000</v>
      </c>
    </row>
    <row r="36" spans="1:5" ht="14.45" customHeight="1" x14ac:dyDescent="0.25">
      <c r="A36" s="57">
        <f t="shared" si="0"/>
        <v>480000035</v>
      </c>
      <c r="B36" s="57">
        <f>Fund_Allocation!B15</f>
        <v>30013</v>
      </c>
      <c r="C36" s="62">
        <f>Fund_Allocation!D15</f>
        <v>700000</v>
      </c>
      <c r="D36" s="65">
        <f>Fund_Allocation!E15</f>
        <v>41789</v>
      </c>
      <c r="E36" s="57">
        <v>0</v>
      </c>
    </row>
    <row r="37" spans="1:5" ht="14.45" customHeight="1" x14ac:dyDescent="0.25">
      <c r="A37" s="57">
        <f t="shared" si="0"/>
        <v>480000036</v>
      </c>
      <c r="B37" s="57">
        <f>Fund_Allocation!B15</f>
        <v>30013</v>
      </c>
      <c r="C37" s="62">
        <f>C36+(Fund_Returns!G88+Fund_Returns!G89+Fund_Returns!G90+Fund_Returns!G91+Fund_Returns!G92+Fund_Returns!G93+Fund_Returns!G94+Fund_Returns!G95+Fund_Returns!G96+Fund_Returns!G97+Fund_Returns!G98+Fund_Returns!G99+Fund_Returns!G100)-E37</f>
        <v>716434</v>
      </c>
      <c r="D37" s="65">
        <v>42186</v>
      </c>
      <c r="E37" s="57">
        <f>Fund_Disbursement!C29</f>
        <v>6996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0"/>
  <sheetViews>
    <sheetView showGridLines="0" workbookViewId="0">
      <selection activeCell="C10" sqref="C10"/>
    </sheetView>
  </sheetViews>
  <sheetFormatPr defaultColWidth="16.28515625" defaultRowHeight="14.85" customHeight="1" x14ac:dyDescent="0.25"/>
  <cols>
    <col min="1" max="2" width="16.28515625" style="68" customWidth="1"/>
    <col min="3" max="3" width="28.7109375" style="68" customWidth="1"/>
    <col min="4" max="255" width="16.28515625" style="68" customWidth="1"/>
  </cols>
  <sheetData>
    <row r="1" spans="1:4" ht="14.65" customHeight="1" x14ac:dyDescent="0.25">
      <c r="A1" s="35" t="s">
        <v>161</v>
      </c>
      <c r="B1" s="35" t="s">
        <v>42</v>
      </c>
      <c r="C1" s="35" t="s">
        <v>162</v>
      </c>
      <c r="D1" s="35" t="s">
        <v>163</v>
      </c>
    </row>
    <row r="2" spans="1:4" ht="14.65" customHeight="1" x14ac:dyDescent="0.25">
      <c r="A2" s="21">
        <v>45000001</v>
      </c>
      <c r="B2" s="21">
        <v>30000</v>
      </c>
      <c r="C2" s="20" t="s">
        <v>164</v>
      </c>
      <c r="D2" s="21">
        <v>20000</v>
      </c>
    </row>
    <row r="3" spans="1:4" ht="14.45" customHeight="1" x14ac:dyDescent="0.25">
      <c r="A3" s="12">
        <v>45000002</v>
      </c>
      <c r="B3" s="12">
        <v>30000</v>
      </c>
      <c r="C3" s="24" t="s">
        <v>165</v>
      </c>
      <c r="D3" s="12">
        <v>18000</v>
      </c>
    </row>
    <row r="4" spans="1:4" ht="14.45" customHeight="1" x14ac:dyDescent="0.25">
      <c r="A4" s="12">
        <v>45000003</v>
      </c>
      <c r="B4" s="12">
        <v>30000</v>
      </c>
      <c r="C4" s="24" t="s">
        <v>166</v>
      </c>
      <c r="D4" s="12">
        <v>20000</v>
      </c>
    </row>
    <row r="5" spans="1:4" ht="14.45" customHeight="1" x14ac:dyDescent="0.25">
      <c r="A5" s="12">
        <v>45000004</v>
      </c>
      <c r="B5" s="12">
        <v>30000</v>
      </c>
      <c r="C5" s="24" t="s">
        <v>167</v>
      </c>
      <c r="D5" s="12">
        <v>15000</v>
      </c>
    </row>
    <row r="6" spans="1:4" ht="14.45" customHeight="1" x14ac:dyDescent="0.25">
      <c r="A6" s="12">
        <v>45000005</v>
      </c>
      <c r="B6" s="12">
        <v>30001</v>
      </c>
      <c r="C6" s="24" t="s">
        <v>168</v>
      </c>
      <c r="D6" s="12">
        <v>15000</v>
      </c>
    </row>
    <row r="7" spans="1:4" ht="14.45" customHeight="1" x14ac:dyDescent="0.25">
      <c r="A7" s="12">
        <v>45000006</v>
      </c>
      <c r="B7" s="12">
        <v>30001</v>
      </c>
      <c r="C7" s="24" t="s">
        <v>169</v>
      </c>
      <c r="D7" s="12">
        <v>12000</v>
      </c>
    </row>
    <row r="8" spans="1:4" ht="14.45" customHeight="1" x14ac:dyDescent="0.25">
      <c r="A8" s="12">
        <v>45000007</v>
      </c>
      <c r="B8" s="12">
        <v>30001</v>
      </c>
      <c r="C8" s="24" t="s">
        <v>170</v>
      </c>
      <c r="D8" s="12">
        <v>13000</v>
      </c>
    </row>
    <row r="9" spans="1:4" ht="14.45" customHeight="1" x14ac:dyDescent="0.25">
      <c r="A9" s="12">
        <v>45000008</v>
      </c>
      <c r="B9" s="12">
        <v>30001</v>
      </c>
      <c r="C9" s="24" t="s">
        <v>171</v>
      </c>
      <c r="D9" s="12">
        <v>13000</v>
      </c>
    </row>
    <row r="10" spans="1:4" ht="14.45" customHeight="1" x14ac:dyDescent="0.25">
      <c r="A10" s="12">
        <v>45000009</v>
      </c>
      <c r="B10" s="12">
        <v>30002</v>
      </c>
      <c r="C10" s="24" t="s">
        <v>172</v>
      </c>
      <c r="D10" s="12">
        <v>32000</v>
      </c>
    </row>
    <row r="11" spans="1:4" ht="14.45" customHeight="1" x14ac:dyDescent="0.25">
      <c r="A11" s="12">
        <v>45000010</v>
      </c>
      <c r="B11" s="12">
        <v>30002</v>
      </c>
      <c r="C11" s="24" t="s">
        <v>173</v>
      </c>
      <c r="D11" s="12">
        <v>29000</v>
      </c>
    </row>
    <row r="12" spans="1:4" ht="14.45" customHeight="1" x14ac:dyDescent="0.25">
      <c r="A12" s="12">
        <v>45000011</v>
      </c>
      <c r="B12" s="12">
        <v>30002</v>
      </c>
      <c r="C12" s="24" t="s">
        <v>174</v>
      </c>
      <c r="D12" s="12">
        <v>24000</v>
      </c>
    </row>
    <row r="13" spans="1:4" ht="14.45" customHeight="1" x14ac:dyDescent="0.25">
      <c r="A13" s="12">
        <v>45000012</v>
      </c>
      <c r="B13" s="12">
        <v>30003</v>
      </c>
      <c r="C13" s="24" t="s">
        <v>164</v>
      </c>
      <c r="D13" s="12">
        <v>25000</v>
      </c>
    </row>
    <row r="14" spans="1:4" ht="14.45" customHeight="1" x14ac:dyDescent="0.25">
      <c r="A14" s="12">
        <v>45000013</v>
      </c>
      <c r="B14" s="12">
        <v>30003</v>
      </c>
      <c r="C14" s="24" t="s">
        <v>165</v>
      </c>
      <c r="D14" s="12">
        <v>20000</v>
      </c>
    </row>
    <row r="15" spans="1:4" ht="14.45" customHeight="1" x14ac:dyDescent="0.25">
      <c r="A15" s="12">
        <v>45000014</v>
      </c>
      <c r="B15" s="12">
        <v>30004</v>
      </c>
      <c r="C15" s="24" t="s">
        <v>166</v>
      </c>
      <c r="D15" s="12">
        <v>21000</v>
      </c>
    </row>
    <row r="16" spans="1:4" ht="14.45" customHeight="1" x14ac:dyDescent="0.25">
      <c r="A16" s="12">
        <v>45000015</v>
      </c>
      <c r="B16" s="12">
        <v>30004</v>
      </c>
      <c r="C16" s="24" t="s">
        <v>167</v>
      </c>
      <c r="D16" s="12">
        <v>27000</v>
      </c>
    </row>
    <row r="17" spans="1:4" ht="14.45" customHeight="1" x14ac:dyDescent="0.25">
      <c r="A17" s="12">
        <v>45000016</v>
      </c>
      <c r="B17" s="12">
        <v>30004</v>
      </c>
      <c r="C17" s="24" t="s">
        <v>168</v>
      </c>
      <c r="D17" s="12">
        <v>24000</v>
      </c>
    </row>
    <row r="18" spans="1:4" ht="14.45" customHeight="1" x14ac:dyDescent="0.25">
      <c r="A18" s="12">
        <v>45000017</v>
      </c>
      <c r="B18" s="12">
        <v>30004</v>
      </c>
      <c r="C18" s="24" t="s">
        <v>169</v>
      </c>
      <c r="D18" s="12">
        <v>28000</v>
      </c>
    </row>
    <row r="19" spans="1:4" ht="14.45" customHeight="1" x14ac:dyDescent="0.25">
      <c r="A19" s="12">
        <v>45000018</v>
      </c>
      <c r="B19" s="12">
        <v>30005</v>
      </c>
      <c r="C19" s="24" t="s">
        <v>170</v>
      </c>
      <c r="D19" s="12">
        <v>22000</v>
      </c>
    </row>
    <row r="20" spans="1:4" ht="14.45" customHeight="1" x14ac:dyDescent="0.25">
      <c r="A20" s="12">
        <v>45000019</v>
      </c>
      <c r="B20" s="12">
        <v>30005</v>
      </c>
      <c r="C20" s="24" t="s">
        <v>171</v>
      </c>
      <c r="D20" s="12">
        <v>28000</v>
      </c>
    </row>
    <row r="21" spans="1:4" ht="14.45" customHeight="1" x14ac:dyDescent="0.25">
      <c r="A21" s="12">
        <v>45000020</v>
      </c>
      <c r="B21" s="12">
        <v>30005</v>
      </c>
      <c r="C21" s="24" t="s">
        <v>172</v>
      </c>
      <c r="D21" s="12">
        <v>26000</v>
      </c>
    </row>
    <row r="22" spans="1:4" ht="14.45" customHeight="1" x14ac:dyDescent="0.25">
      <c r="A22" s="12">
        <v>45000021</v>
      </c>
      <c r="B22" s="12">
        <v>30005</v>
      </c>
      <c r="C22" s="24" t="s">
        <v>173</v>
      </c>
      <c r="D22" s="12">
        <v>29000</v>
      </c>
    </row>
    <row r="23" spans="1:4" ht="14.45" customHeight="1" x14ac:dyDescent="0.25">
      <c r="A23" s="12">
        <v>45000022</v>
      </c>
      <c r="B23" s="12">
        <v>30006</v>
      </c>
      <c r="C23" s="24" t="s">
        <v>174</v>
      </c>
      <c r="D23" s="12">
        <v>11000</v>
      </c>
    </row>
    <row r="24" spans="1:4" ht="14.45" customHeight="1" x14ac:dyDescent="0.25">
      <c r="A24" s="12">
        <v>45000023</v>
      </c>
      <c r="B24" s="12">
        <v>30006</v>
      </c>
      <c r="C24" s="24" t="s">
        <v>164</v>
      </c>
      <c r="D24" s="12">
        <v>14000</v>
      </c>
    </row>
    <row r="25" spans="1:4" ht="14.45" customHeight="1" x14ac:dyDescent="0.25">
      <c r="A25" s="12">
        <v>45000024</v>
      </c>
      <c r="B25" s="12">
        <v>30006</v>
      </c>
      <c r="C25" s="24" t="s">
        <v>165</v>
      </c>
      <c r="D25" s="12">
        <v>15000</v>
      </c>
    </row>
    <row r="26" spans="1:4" ht="14.45" customHeight="1" x14ac:dyDescent="0.25">
      <c r="A26" s="12">
        <v>45000025</v>
      </c>
      <c r="B26" s="12">
        <v>30006</v>
      </c>
      <c r="C26" s="24" t="s">
        <v>166</v>
      </c>
      <c r="D26" s="12">
        <v>10000</v>
      </c>
    </row>
    <row r="27" spans="1:4" ht="14.45" customHeight="1" x14ac:dyDescent="0.25">
      <c r="A27" s="12">
        <v>45000026</v>
      </c>
      <c r="B27" s="12">
        <v>30007</v>
      </c>
      <c r="C27" s="24" t="s">
        <v>167</v>
      </c>
      <c r="D27" s="12">
        <v>16000</v>
      </c>
    </row>
    <row r="28" spans="1:4" ht="14.45" customHeight="1" x14ac:dyDescent="0.25">
      <c r="A28" s="12">
        <v>45000027</v>
      </c>
      <c r="B28" s="12">
        <v>30007</v>
      </c>
      <c r="C28" s="24" t="s">
        <v>168</v>
      </c>
      <c r="D28" s="12">
        <v>22000</v>
      </c>
    </row>
    <row r="29" spans="1:4" ht="14.45" customHeight="1" x14ac:dyDescent="0.25">
      <c r="A29" s="12">
        <v>45000028</v>
      </c>
      <c r="B29" s="12">
        <v>30007</v>
      </c>
      <c r="C29" s="24" t="s">
        <v>169</v>
      </c>
      <c r="D29" s="12">
        <v>24000</v>
      </c>
    </row>
    <row r="30" spans="1:4" ht="14.45" customHeight="1" x14ac:dyDescent="0.25">
      <c r="A30" s="12">
        <v>45000029</v>
      </c>
      <c r="B30" s="12">
        <v>30007</v>
      </c>
      <c r="C30" s="24" t="s">
        <v>170</v>
      </c>
      <c r="D30" s="12">
        <v>13000</v>
      </c>
    </row>
    <row r="31" spans="1:4" ht="14.45" customHeight="1" x14ac:dyDescent="0.25">
      <c r="A31" s="12">
        <v>45000030</v>
      </c>
      <c r="B31" s="12">
        <v>30008</v>
      </c>
      <c r="C31" s="24" t="s">
        <v>171</v>
      </c>
      <c r="D31" s="12">
        <v>26000</v>
      </c>
    </row>
    <row r="32" spans="1:4" ht="14.45" customHeight="1" x14ac:dyDescent="0.25">
      <c r="A32" s="12">
        <v>45000031</v>
      </c>
      <c r="B32" s="12">
        <v>30008</v>
      </c>
      <c r="C32" s="24" t="s">
        <v>172</v>
      </c>
      <c r="D32" s="12">
        <v>27000</v>
      </c>
    </row>
    <row r="33" spans="1:4" ht="14.45" customHeight="1" x14ac:dyDescent="0.25">
      <c r="A33" s="12">
        <v>45000032</v>
      </c>
      <c r="B33" s="12">
        <v>30008</v>
      </c>
      <c r="C33" s="24" t="s">
        <v>173</v>
      </c>
      <c r="D33" s="12">
        <v>28000</v>
      </c>
    </row>
    <row r="34" spans="1:4" ht="14.45" customHeight="1" x14ac:dyDescent="0.25">
      <c r="A34" s="12">
        <v>45000033</v>
      </c>
      <c r="B34" s="12">
        <v>30008</v>
      </c>
      <c r="C34" s="24" t="s">
        <v>174</v>
      </c>
      <c r="D34" s="12">
        <v>29000</v>
      </c>
    </row>
    <row r="35" spans="1:4" ht="14.45" customHeight="1" x14ac:dyDescent="0.25">
      <c r="A35" s="12">
        <v>45000034</v>
      </c>
      <c r="B35" s="12">
        <v>30009</v>
      </c>
      <c r="C35" s="24" t="s">
        <v>164</v>
      </c>
      <c r="D35" s="12">
        <v>85000</v>
      </c>
    </row>
    <row r="36" spans="1:4" ht="14.45" customHeight="1" x14ac:dyDescent="0.25">
      <c r="A36" s="12">
        <v>45000035</v>
      </c>
      <c r="B36" s="12">
        <v>30009</v>
      </c>
      <c r="C36" s="24" t="s">
        <v>165</v>
      </c>
      <c r="D36" s="12">
        <v>75000</v>
      </c>
    </row>
    <row r="37" spans="1:4" ht="14.45" customHeight="1" x14ac:dyDescent="0.25">
      <c r="A37" s="12">
        <v>45000036</v>
      </c>
      <c r="B37" s="12">
        <v>30009</v>
      </c>
      <c r="C37" s="24" t="s">
        <v>166</v>
      </c>
      <c r="D37" s="12">
        <v>160000</v>
      </c>
    </row>
    <row r="38" spans="1:4" ht="14.45" customHeight="1" x14ac:dyDescent="0.25">
      <c r="A38" s="12">
        <v>45000037</v>
      </c>
      <c r="B38" s="12">
        <v>30009</v>
      </c>
      <c r="C38" s="24" t="s">
        <v>167</v>
      </c>
      <c r="D38" s="12">
        <v>92000</v>
      </c>
    </row>
    <row r="39" spans="1:4" ht="14.45" customHeight="1" x14ac:dyDescent="0.25">
      <c r="A39" s="12">
        <v>45000038</v>
      </c>
      <c r="B39" s="12">
        <v>30009</v>
      </c>
      <c r="C39" s="24" t="s">
        <v>168</v>
      </c>
      <c r="D39" s="12">
        <v>88000</v>
      </c>
    </row>
    <row r="40" spans="1:4" ht="14.45" customHeight="1" x14ac:dyDescent="0.25">
      <c r="A40" s="12">
        <v>45000039</v>
      </c>
      <c r="B40" s="12">
        <v>30010</v>
      </c>
      <c r="C40" s="24" t="s">
        <v>169</v>
      </c>
      <c r="D40" s="12">
        <v>91000</v>
      </c>
    </row>
    <row r="41" spans="1:4" ht="14.45" customHeight="1" x14ac:dyDescent="0.25">
      <c r="A41" s="12">
        <v>45000040</v>
      </c>
      <c r="B41" s="12">
        <v>30010</v>
      </c>
      <c r="C41" s="24" t="s">
        <v>170</v>
      </c>
      <c r="D41" s="12">
        <v>96000</v>
      </c>
    </row>
    <row r="42" spans="1:4" ht="14.45" customHeight="1" x14ac:dyDescent="0.25">
      <c r="A42" s="12">
        <v>45000041</v>
      </c>
      <c r="B42" s="12">
        <v>30010</v>
      </c>
      <c r="C42" s="24" t="s">
        <v>171</v>
      </c>
      <c r="D42" s="12">
        <v>98000</v>
      </c>
    </row>
    <row r="43" spans="1:4" ht="14.45" customHeight="1" x14ac:dyDescent="0.25">
      <c r="A43" s="12">
        <v>45000042</v>
      </c>
      <c r="B43" s="12">
        <v>30010</v>
      </c>
      <c r="C43" s="24" t="s">
        <v>172</v>
      </c>
      <c r="D43" s="12">
        <v>103000</v>
      </c>
    </row>
    <row r="44" spans="1:4" ht="14.45" customHeight="1" x14ac:dyDescent="0.25">
      <c r="A44" s="12">
        <v>45000043</v>
      </c>
      <c r="B44" s="12">
        <v>30010</v>
      </c>
      <c r="C44" s="24" t="s">
        <v>173</v>
      </c>
      <c r="D44" s="12">
        <v>107000</v>
      </c>
    </row>
    <row r="45" spans="1:4" ht="14.45" customHeight="1" x14ac:dyDescent="0.25">
      <c r="A45" s="12">
        <v>45000044</v>
      </c>
      <c r="B45" s="12">
        <v>30010</v>
      </c>
      <c r="C45" s="24" t="s">
        <v>174</v>
      </c>
      <c r="D45" s="12">
        <v>105000</v>
      </c>
    </row>
    <row r="46" spans="1:4" ht="14.45" customHeight="1" x14ac:dyDescent="0.25">
      <c r="A46" s="12">
        <v>45000045</v>
      </c>
      <c r="B46" s="43">
        <v>30011</v>
      </c>
      <c r="C46" s="24" t="s">
        <v>164</v>
      </c>
      <c r="D46" s="12">
        <v>60000</v>
      </c>
    </row>
    <row r="47" spans="1:4" ht="14.45" customHeight="1" x14ac:dyDescent="0.25">
      <c r="A47" s="12">
        <v>45000046</v>
      </c>
      <c r="B47" s="50">
        <v>30011</v>
      </c>
      <c r="C47" s="24" t="s">
        <v>165</v>
      </c>
      <c r="D47" s="12">
        <v>50000</v>
      </c>
    </row>
    <row r="48" spans="1:4" ht="14.45" customHeight="1" x14ac:dyDescent="0.25">
      <c r="A48" s="12">
        <v>45000047</v>
      </c>
      <c r="B48" s="50">
        <v>30011</v>
      </c>
      <c r="C48" s="24" t="s">
        <v>166</v>
      </c>
      <c r="D48" s="12">
        <v>70000</v>
      </c>
    </row>
    <row r="49" spans="1:4" ht="14.45" customHeight="1" x14ac:dyDescent="0.25">
      <c r="A49" s="12">
        <v>45000048</v>
      </c>
      <c r="B49" s="50">
        <v>30011</v>
      </c>
      <c r="C49" s="24" t="s">
        <v>167</v>
      </c>
      <c r="D49" s="12">
        <v>50000</v>
      </c>
    </row>
    <row r="50" spans="1:4" ht="14.45" customHeight="1" x14ac:dyDescent="0.25">
      <c r="A50" s="12">
        <v>45000049</v>
      </c>
      <c r="B50" s="50">
        <v>30011</v>
      </c>
      <c r="C50" s="24" t="s">
        <v>168</v>
      </c>
      <c r="D50" s="12">
        <v>70000</v>
      </c>
    </row>
    <row r="51" spans="1:4" ht="14.45" customHeight="1" x14ac:dyDescent="0.25">
      <c r="A51" s="12">
        <v>45000050</v>
      </c>
      <c r="B51" s="50">
        <v>30012</v>
      </c>
      <c r="C51" s="24" t="s">
        <v>169</v>
      </c>
      <c r="D51" s="12">
        <v>170000</v>
      </c>
    </row>
    <row r="52" spans="1:4" ht="14.45" customHeight="1" x14ac:dyDescent="0.25">
      <c r="A52" s="12">
        <v>45000051</v>
      </c>
      <c r="B52" s="50">
        <v>30012</v>
      </c>
      <c r="C52" s="24" t="s">
        <v>170</v>
      </c>
      <c r="D52" s="12">
        <v>150000</v>
      </c>
    </row>
    <row r="53" spans="1:4" ht="14.45" customHeight="1" x14ac:dyDescent="0.25">
      <c r="A53" s="12">
        <v>45000052</v>
      </c>
      <c r="B53" s="50">
        <v>30012</v>
      </c>
      <c r="C53" s="24" t="s">
        <v>171</v>
      </c>
      <c r="D53" s="12">
        <v>100000</v>
      </c>
    </row>
    <row r="54" spans="1:4" ht="14.45" customHeight="1" x14ac:dyDescent="0.25">
      <c r="A54" s="12">
        <v>45000053</v>
      </c>
      <c r="B54" s="50">
        <v>30012</v>
      </c>
      <c r="C54" s="24" t="s">
        <v>172</v>
      </c>
      <c r="D54" s="12">
        <v>150000</v>
      </c>
    </row>
    <row r="55" spans="1:4" ht="14.45" customHeight="1" x14ac:dyDescent="0.25">
      <c r="A55" s="12">
        <v>45000054</v>
      </c>
      <c r="B55" s="50">
        <v>30012</v>
      </c>
      <c r="C55" s="24" t="s">
        <v>173</v>
      </c>
      <c r="D55" s="12">
        <v>230000</v>
      </c>
    </row>
    <row r="56" spans="1:4" ht="14.45" customHeight="1" x14ac:dyDescent="0.25">
      <c r="A56" s="12">
        <v>45000055</v>
      </c>
      <c r="B56" s="50">
        <v>30013</v>
      </c>
      <c r="C56" s="24" t="s">
        <v>174</v>
      </c>
      <c r="D56" s="12">
        <v>145000</v>
      </c>
    </row>
    <row r="57" spans="1:4" ht="14.45" customHeight="1" x14ac:dyDescent="0.25">
      <c r="A57" s="12">
        <v>45000056</v>
      </c>
      <c r="B57" s="50">
        <v>30013</v>
      </c>
      <c r="C57" s="24" t="s">
        <v>164</v>
      </c>
      <c r="D57" s="12">
        <v>125000</v>
      </c>
    </row>
    <row r="58" spans="1:4" ht="14.45" customHeight="1" x14ac:dyDescent="0.25">
      <c r="A58" s="12">
        <v>45000057</v>
      </c>
      <c r="B58" s="50">
        <v>30013</v>
      </c>
      <c r="C58" s="24" t="s">
        <v>165</v>
      </c>
      <c r="D58" s="12">
        <v>130000</v>
      </c>
    </row>
    <row r="59" spans="1:4" ht="14.45" customHeight="1" x14ac:dyDescent="0.25">
      <c r="A59" s="12">
        <v>45000058</v>
      </c>
      <c r="B59" s="50">
        <v>30013</v>
      </c>
      <c r="C59" s="24" t="s">
        <v>166</v>
      </c>
      <c r="D59" s="12">
        <v>125000</v>
      </c>
    </row>
    <row r="60" spans="1:4" ht="14.45" customHeight="1" x14ac:dyDescent="0.25">
      <c r="A60" s="12">
        <v>45000059</v>
      </c>
      <c r="B60" s="50">
        <v>30013</v>
      </c>
      <c r="C60" s="24" t="s">
        <v>167</v>
      </c>
      <c r="D60" s="12">
        <v>175000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39"/>
  <sheetViews>
    <sheetView showGridLines="0" workbookViewId="0">
      <pane ySplit="1" topLeftCell="A2" activePane="bottomLeft" state="frozen"/>
      <selection pane="bottomLeft" activeCell="H1" sqref="H1"/>
    </sheetView>
  </sheetViews>
  <sheetFormatPr defaultColWidth="16.28515625" defaultRowHeight="14.85" customHeight="1" x14ac:dyDescent="0.25"/>
  <cols>
    <col min="1" max="2" width="16.28515625" style="69" customWidth="1"/>
    <col min="3" max="3" width="23.140625" style="69" customWidth="1"/>
    <col min="4" max="4" width="17.42578125" style="69" customWidth="1"/>
    <col min="5" max="5" width="7.7109375" style="69" customWidth="1"/>
    <col min="6" max="256" width="16.28515625" style="69" customWidth="1"/>
  </cols>
  <sheetData>
    <row r="1" spans="1:5" ht="14.65" customHeight="1" x14ac:dyDescent="0.25">
      <c r="A1" s="52" t="s">
        <v>175</v>
      </c>
      <c r="B1" s="53" t="s">
        <v>42</v>
      </c>
      <c r="C1" s="52" t="s">
        <v>176</v>
      </c>
      <c r="D1" s="70" t="s">
        <v>177</v>
      </c>
      <c r="E1" s="70" t="s">
        <v>32</v>
      </c>
    </row>
    <row r="2" spans="1:5" ht="15" customHeight="1" x14ac:dyDescent="0.25">
      <c r="A2" s="54">
        <v>460000001</v>
      </c>
      <c r="B2" s="56">
        <f>Gift_Fund_Map!C2</f>
        <v>30000</v>
      </c>
      <c r="C2" s="71">
        <f>0.5*Department!D3</f>
        <v>5130</v>
      </c>
      <c r="D2" s="41">
        <v>41820</v>
      </c>
      <c r="E2" s="12">
        <f>Department!A3</f>
        <v>500001</v>
      </c>
    </row>
    <row r="3" spans="1:5" ht="15" customHeight="1" x14ac:dyDescent="0.25">
      <c r="A3" s="72">
        <f t="shared" ref="A3:A39" si="0">A2+1</f>
        <v>460000002</v>
      </c>
      <c r="B3" s="21">
        <f>Gift_Fund_Map!C3</f>
        <v>30001</v>
      </c>
      <c r="C3" s="73">
        <f>0.5*Department!D3</f>
        <v>5130</v>
      </c>
      <c r="D3" s="41">
        <v>41820</v>
      </c>
      <c r="E3" s="12">
        <f>Department!A3</f>
        <v>500001</v>
      </c>
    </row>
    <row r="4" spans="1:5" ht="15" customHeight="1" x14ac:dyDescent="0.25">
      <c r="A4" s="57">
        <f t="shared" si="0"/>
        <v>460000003</v>
      </c>
      <c r="B4" s="64">
        <f>Gift_Fund_Map!C4</f>
        <v>30000</v>
      </c>
      <c r="C4" s="72">
        <f>0.33*Department!D4</f>
        <v>990</v>
      </c>
      <c r="D4" s="41">
        <v>41820</v>
      </c>
      <c r="E4" s="74">
        <f>Gift!C3</f>
        <v>500002</v>
      </c>
    </row>
    <row r="5" spans="1:5" ht="15" customHeight="1" x14ac:dyDescent="0.25">
      <c r="A5" s="57">
        <f t="shared" si="0"/>
        <v>460000004</v>
      </c>
      <c r="B5" s="57">
        <f>Gift_Fund_Map!C5</f>
        <v>30001</v>
      </c>
      <c r="C5" s="72">
        <f>0.33*Department!D4</f>
        <v>990</v>
      </c>
      <c r="D5" s="41">
        <v>41820</v>
      </c>
      <c r="E5" s="75">
        <f>Department!A4</f>
        <v>500002</v>
      </c>
    </row>
    <row r="6" spans="1:5" ht="15" customHeight="1" x14ac:dyDescent="0.25">
      <c r="A6" s="57">
        <f t="shared" si="0"/>
        <v>460000005</v>
      </c>
      <c r="B6" s="57">
        <f>Gift_Fund_Map!C6</f>
        <v>30002</v>
      </c>
      <c r="C6" s="72">
        <f>0.34*Department!D4</f>
        <v>1020.0000000000001</v>
      </c>
      <c r="D6" s="41">
        <v>41820</v>
      </c>
      <c r="E6" s="75">
        <f>Department!A4</f>
        <v>500002</v>
      </c>
    </row>
    <row r="7" spans="1:5" ht="15" customHeight="1" x14ac:dyDescent="0.25">
      <c r="A7" s="57">
        <f t="shared" si="0"/>
        <v>460000006</v>
      </c>
      <c r="B7" s="57">
        <f>Gift_Fund_Map!C7</f>
        <v>30003</v>
      </c>
      <c r="C7" s="72">
        <f>1*Department!D5</f>
        <v>2500</v>
      </c>
      <c r="D7" s="41">
        <v>41820</v>
      </c>
      <c r="E7" s="75">
        <f>Department!A5</f>
        <v>500003</v>
      </c>
    </row>
    <row r="8" spans="1:5" ht="15" customHeight="1" x14ac:dyDescent="0.25">
      <c r="A8" s="57">
        <f t="shared" si="0"/>
        <v>460000007</v>
      </c>
      <c r="B8" s="57">
        <f>Gift_Fund_Map!C13</f>
        <v>30005</v>
      </c>
      <c r="C8" s="72">
        <f>1*Department!D6</f>
        <v>3500</v>
      </c>
      <c r="D8" s="41">
        <v>41820</v>
      </c>
      <c r="E8" s="75">
        <f>Department!A6</f>
        <v>500004</v>
      </c>
    </row>
    <row r="9" spans="1:5" ht="15" customHeight="1" x14ac:dyDescent="0.25">
      <c r="A9" s="57">
        <f t="shared" si="0"/>
        <v>460000008</v>
      </c>
      <c r="B9" s="57">
        <f>Gift_Fund_Map!C16</f>
        <v>30006</v>
      </c>
      <c r="C9" s="72">
        <f>0.9*Department!D7</f>
        <v>3150</v>
      </c>
      <c r="D9" s="41">
        <v>41820</v>
      </c>
      <c r="E9" s="75">
        <f>Department!A7</f>
        <v>500005</v>
      </c>
    </row>
    <row r="10" spans="1:5" ht="15" customHeight="1" x14ac:dyDescent="0.25">
      <c r="A10" s="57">
        <f t="shared" si="0"/>
        <v>460000009</v>
      </c>
      <c r="B10" s="57">
        <f>Gift_Fund_Map!C17</f>
        <v>30005</v>
      </c>
      <c r="C10" s="72">
        <f>0.1*Department!D7</f>
        <v>350</v>
      </c>
      <c r="D10" s="41">
        <v>41820</v>
      </c>
      <c r="E10" s="75">
        <f>Department!A7</f>
        <v>500005</v>
      </c>
    </row>
    <row r="11" spans="1:5" ht="15" customHeight="1" x14ac:dyDescent="0.25">
      <c r="A11" s="57">
        <f t="shared" si="0"/>
        <v>460000010</v>
      </c>
      <c r="B11" s="57">
        <f>Gift_Fund_Map!C18</f>
        <v>30007</v>
      </c>
      <c r="C11" s="72">
        <f>0.25*Department!D10</f>
        <v>3100</v>
      </c>
      <c r="D11" s="41">
        <v>41820</v>
      </c>
      <c r="E11" s="75">
        <f>Department!A10</f>
        <v>500008</v>
      </c>
    </row>
    <row r="12" spans="1:5" ht="15" customHeight="1" x14ac:dyDescent="0.25">
      <c r="A12" s="57">
        <f t="shared" si="0"/>
        <v>460000011</v>
      </c>
      <c r="B12" s="66">
        <f>Gift_Fund_Map!C19</f>
        <v>30005</v>
      </c>
      <c r="C12" s="72">
        <f>0.75*Department!D10</f>
        <v>9300</v>
      </c>
      <c r="D12" s="41">
        <v>41820</v>
      </c>
      <c r="E12" s="76">
        <f>Department!A10</f>
        <v>500008</v>
      </c>
    </row>
    <row r="13" spans="1:5" ht="15" customHeight="1" x14ac:dyDescent="0.25">
      <c r="A13" s="72">
        <f t="shared" si="0"/>
        <v>460000012</v>
      </c>
      <c r="B13" s="56">
        <f>Gift_Fund_Map!C2</f>
        <v>30000</v>
      </c>
      <c r="C13" s="73">
        <f>0.05*Department!D3</f>
        <v>513</v>
      </c>
      <c r="D13" s="41">
        <v>42185</v>
      </c>
      <c r="E13" s="12">
        <f>Department!A3</f>
        <v>500001</v>
      </c>
    </row>
    <row r="14" spans="1:5" ht="15" customHeight="1" x14ac:dyDescent="0.25">
      <c r="A14" s="72">
        <f t="shared" si="0"/>
        <v>460000013</v>
      </c>
      <c r="B14" s="21">
        <f>Gift_Fund_Map!C3</f>
        <v>30001</v>
      </c>
      <c r="C14" s="73">
        <f>0.05*Department!D3</f>
        <v>513</v>
      </c>
      <c r="D14" s="41">
        <v>42185</v>
      </c>
      <c r="E14" s="74">
        <f>Department!A3</f>
        <v>500001</v>
      </c>
    </row>
    <row r="15" spans="1:5" ht="15" customHeight="1" x14ac:dyDescent="0.25">
      <c r="A15" s="57">
        <f t="shared" si="0"/>
        <v>460000014</v>
      </c>
      <c r="B15" s="64">
        <f>Gift_Fund_Map!C24</f>
        <v>30009</v>
      </c>
      <c r="C15" s="72">
        <f>0.9*Department!D3</f>
        <v>9234</v>
      </c>
      <c r="D15" s="41">
        <v>42185</v>
      </c>
      <c r="E15" s="75">
        <f>Department!A3</f>
        <v>500001</v>
      </c>
    </row>
    <row r="16" spans="1:5" ht="15" customHeight="1" x14ac:dyDescent="0.25">
      <c r="A16" s="57">
        <f t="shared" si="0"/>
        <v>460000015</v>
      </c>
      <c r="B16" s="57">
        <f>Gift_Fund_Map!C4</f>
        <v>30000</v>
      </c>
      <c r="C16" s="72">
        <f>0.33*Department!D4</f>
        <v>990</v>
      </c>
      <c r="D16" s="41">
        <v>42185</v>
      </c>
      <c r="E16" s="75">
        <f>Department!A4</f>
        <v>500002</v>
      </c>
    </row>
    <row r="17" spans="1:5" ht="15" customHeight="1" x14ac:dyDescent="0.25">
      <c r="A17" s="57">
        <f t="shared" si="0"/>
        <v>460000016</v>
      </c>
      <c r="B17" s="57">
        <f>Gift_Fund_Map!C5</f>
        <v>30001</v>
      </c>
      <c r="C17" s="72">
        <f>0.34*Department!D4</f>
        <v>1020.0000000000001</v>
      </c>
      <c r="D17" s="41">
        <v>42185</v>
      </c>
      <c r="E17" s="75">
        <f>Department!A4</f>
        <v>500002</v>
      </c>
    </row>
    <row r="18" spans="1:5" ht="15" customHeight="1" x14ac:dyDescent="0.25">
      <c r="A18" s="57">
        <f t="shared" si="0"/>
        <v>460000017</v>
      </c>
      <c r="B18" s="57">
        <f>Gift_Fund_Map!C6</f>
        <v>30002</v>
      </c>
      <c r="C18" s="72">
        <f>0.33*Department!D4</f>
        <v>990</v>
      </c>
      <c r="D18" s="41">
        <v>42185</v>
      </c>
      <c r="E18" s="75">
        <f>Department!A4</f>
        <v>500002</v>
      </c>
    </row>
    <row r="19" spans="1:5" ht="15" customHeight="1" x14ac:dyDescent="0.25">
      <c r="A19" s="57">
        <f t="shared" si="0"/>
        <v>460000018</v>
      </c>
      <c r="B19" s="57">
        <f>Gift_Fund_Map!C7</f>
        <v>30003</v>
      </c>
      <c r="C19" s="72">
        <f>1*Department!D5</f>
        <v>2500</v>
      </c>
      <c r="D19" s="41">
        <v>42185</v>
      </c>
      <c r="E19" s="75">
        <f>Department!A5</f>
        <v>500003</v>
      </c>
    </row>
    <row r="20" spans="1:5" ht="15" customHeight="1" x14ac:dyDescent="0.25">
      <c r="A20" s="57">
        <f t="shared" si="0"/>
        <v>460000019</v>
      </c>
      <c r="B20" s="57">
        <f>Gift_Fund_Map!C13</f>
        <v>30005</v>
      </c>
      <c r="C20" s="72">
        <f>1*Department!D6</f>
        <v>3500</v>
      </c>
      <c r="D20" s="41">
        <v>42185</v>
      </c>
      <c r="E20" s="75">
        <f>Department!A6</f>
        <v>500004</v>
      </c>
    </row>
    <row r="21" spans="1:5" ht="15" customHeight="1" x14ac:dyDescent="0.25">
      <c r="A21" s="57">
        <f t="shared" si="0"/>
        <v>460000020</v>
      </c>
      <c r="B21" s="57">
        <f>Gift_Fund_Map!C16</f>
        <v>30006</v>
      </c>
      <c r="C21" s="72">
        <f>0.9*Department!D7</f>
        <v>3150</v>
      </c>
      <c r="D21" s="41">
        <v>42185</v>
      </c>
      <c r="E21" s="75">
        <f>Department!A7</f>
        <v>500005</v>
      </c>
    </row>
    <row r="22" spans="1:5" ht="15" customHeight="1" x14ac:dyDescent="0.25">
      <c r="A22" s="57">
        <f t="shared" si="0"/>
        <v>460000021</v>
      </c>
      <c r="B22" s="57">
        <f>Gift_Fund_Map!C17</f>
        <v>30005</v>
      </c>
      <c r="C22" s="72">
        <f>0.1*Department!D7</f>
        <v>350</v>
      </c>
      <c r="D22" s="41">
        <v>42185</v>
      </c>
      <c r="E22" s="75">
        <f>Department!A7</f>
        <v>500005</v>
      </c>
    </row>
    <row r="23" spans="1:5" ht="15" customHeight="1" x14ac:dyDescent="0.25">
      <c r="A23" s="57">
        <f t="shared" si="0"/>
        <v>460000022</v>
      </c>
      <c r="B23" s="57">
        <f>Gift_Fund_Map!C18</f>
        <v>30007</v>
      </c>
      <c r="C23" s="72">
        <f>0.25*Department!D10</f>
        <v>3100</v>
      </c>
      <c r="D23" s="41">
        <v>42185</v>
      </c>
      <c r="E23" s="75">
        <f>Department!A10</f>
        <v>500008</v>
      </c>
    </row>
    <row r="24" spans="1:5" ht="15" customHeight="1" x14ac:dyDescent="0.25">
      <c r="A24" s="57">
        <f t="shared" si="0"/>
        <v>460000023</v>
      </c>
      <c r="B24" s="57">
        <f>Gift_Fund_Map!C19</f>
        <v>30005</v>
      </c>
      <c r="C24" s="72">
        <f>0.75*Department!D10</f>
        <v>9300</v>
      </c>
      <c r="D24" s="41">
        <v>42185</v>
      </c>
      <c r="E24" s="75">
        <f>Department!A10</f>
        <v>500008</v>
      </c>
    </row>
    <row r="25" spans="1:5" ht="15" customHeight="1" x14ac:dyDescent="0.25">
      <c r="A25" s="57">
        <f t="shared" si="0"/>
        <v>460000024</v>
      </c>
      <c r="B25" s="57">
        <f>Gift_Fund_Map!C22</f>
        <v>30008</v>
      </c>
      <c r="C25" s="72">
        <f>1*Department!D13</f>
        <v>2000</v>
      </c>
      <c r="D25" s="41">
        <v>42185</v>
      </c>
      <c r="E25" s="75">
        <f>Department!A13</f>
        <v>500011</v>
      </c>
    </row>
    <row r="26" spans="1:5" ht="15" customHeight="1" x14ac:dyDescent="0.25">
      <c r="A26" s="57">
        <f t="shared" si="0"/>
        <v>460000025</v>
      </c>
      <c r="B26" s="57">
        <f>Gift_Fund_Map!C8</f>
        <v>30001</v>
      </c>
      <c r="C26" s="72">
        <f>0.03*Department!D12</f>
        <v>238.5</v>
      </c>
      <c r="D26" s="41">
        <v>42185</v>
      </c>
      <c r="E26" s="75">
        <f>Department!A12</f>
        <v>500010</v>
      </c>
    </row>
    <row r="27" spans="1:5" ht="15" customHeight="1" x14ac:dyDescent="0.25">
      <c r="A27" s="57">
        <f t="shared" si="0"/>
        <v>460000026</v>
      </c>
      <c r="B27" s="57">
        <f>Gift_Fund_Map!C9</f>
        <v>30003</v>
      </c>
      <c r="C27" s="72">
        <f>0.03*Department!D12</f>
        <v>238.5</v>
      </c>
      <c r="D27" s="41">
        <v>42185</v>
      </c>
      <c r="E27" s="75">
        <f>Department!A12</f>
        <v>500010</v>
      </c>
    </row>
    <row r="28" spans="1:5" ht="15" customHeight="1" x14ac:dyDescent="0.25">
      <c r="A28" s="57">
        <f t="shared" si="0"/>
        <v>460000027</v>
      </c>
      <c r="B28" s="57">
        <f>Gift_Fund_Map!C21</f>
        <v>30008</v>
      </c>
      <c r="C28" s="72">
        <f>0.06*Department!D12</f>
        <v>477</v>
      </c>
      <c r="D28" s="41">
        <v>42185</v>
      </c>
      <c r="E28" s="75">
        <f>Department!A12</f>
        <v>500010</v>
      </c>
    </row>
    <row r="29" spans="1:5" ht="15" customHeight="1" x14ac:dyDescent="0.25">
      <c r="A29" s="57">
        <f t="shared" si="0"/>
        <v>460000028</v>
      </c>
      <c r="B29" s="57">
        <f>Gift_Fund_Map!C28</f>
        <v>30013</v>
      </c>
      <c r="C29" s="72">
        <f>0.88*Department!D12</f>
        <v>6996</v>
      </c>
      <c r="D29" s="41">
        <v>42185</v>
      </c>
      <c r="E29" s="75">
        <f>Department!A12</f>
        <v>500010</v>
      </c>
    </row>
    <row r="30" spans="1:5" ht="15" customHeight="1" x14ac:dyDescent="0.25">
      <c r="A30" s="57">
        <f t="shared" si="0"/>
        <v>460000029</v>
      </c>
      <c r="B30" s="57">
        <f>Gift_Fund_Map!C21</f>
        <v>30008</v>
      </c>
      <c r="C30" s="72">
        <f>1*Department!D14</f>
        <v>3600</v>
      </c>
      <c r="D30" s="41">
        <v>42185</v>
      </c>
      <c r="E30" s="75">
        <f>Department!A14</f>
        <v>500012</v>
      </c>
    </row>
    <row r="31" spans="1:5" ht="14.65" customHeight="1" x14ac:dyDescent="0.25">
      <c r="A31" s="57">
        <f t="shared" si="0"/>
        <v>460000030</v>
      </c>
      <c r="B31" s="57">
        <f>Gift_Fund_Map!C11</f>
        <v>30002</v>
      </c>
      <c r="C31" s="57">
        <f>1*Department!D16</f>
        <v>6750</v>
      </c>
      <c r="D31" s="63">
        <v>41820</v>
      </c>
      <c r="E31" s="57">
        <f>Department!A16</f>
        <v>500014</v>
      </c>
    </row>
    <row r="32" spans="1:5" ht="14.45" customHeight="1" x14ac:dyDescent="0.25">
      <c r="A32" s="57">
        <f t="shared" si="0"/>
        <v>460000031</v>
      </c>
      <c r="B32" s="57">
        <f>Gift_Fund_Map!C11</f>
        <v>30002</v>
      </c>
      <c r="C32" s="57">
        <f>0.3*Department!D16</f>
        <v>2025</v>
      </c>
      <c r="D32" s="65">
        <v>42185</v>
      </c>
      <c r="E32" s="57">
        <f>Department!A16</f>
        <v>500014</v>
      </c>
    </row>
    <row r="33" spans="1:5" ht="14.45" customHeight="1" x14ac:dyDescent="0.25">
      <c r="A33" s="57">
        <f t="shared" si="0"/>
        <v>460000032</v>
      </c>
      <c r="B33" s="57">
        <f>Gift_Fund_Map!C25</f>
        <v>30010</v>
      </c>
      <c r="C33" s="57">
        <f>0.7*Department!D16</f>
        <v>4725</v>
      </c>
      <c r="D33" s="65">
        <v>42185</v>
      </c>
      <c r="E33" s="57">
        <f>Department!A16</f>
        <v>500014</v>
      </c>
    </row>
    <row r="34" spans="1:5" ht="14.65" customHeight="1" x14ac:dyDescent="0.25">
      <c r="A34" s="57">
        <f t="shared" si="0"/>
        <v>460000033</v>
      </c>
      <c r="B34" s="57">
        <f>Gift_Fund_Map!C10</f>
        <v>30000</v>
      </c>
      <c r="C34" s="57">
        <f>0.1*Department!D17</f>
        <v>450</v>
      </c>
      <c r="D34" s="77">
        <v>41820</v>
      </c>
      <c r="E34" s="57">
        <f>Department!A17</f>
        <v>500015</v>
      </c>
    </row>
    <row r="35" spans="1:5" ht="15" customHeight="1" x14ac:dyDescent="0.25">
      <c r="A35" s="57">
        <f t="shared" si="0"/>
        <v>460000034</v>
      </c>
      <c r="B35" s="57">
        <f>Gift_Fund_Map!C12</f>
        <v>30004</v>
      </c>
      <c r="C35" s="72">
        <f>0.9*Department!D17</f>
        <v>4050</v>
      </c>
      <c r="D35" s="41">
        <v>41820</v>
      </c>
      <c r="E35" s="75">
        <f>Department!A17</f>
        <v>500015</v>
      </c>
    </row>
    <row r="36" spans="1:5" ht="15" customHeight="1" x14ac:dyDescent="0.25">
      <c r="A36" s="57">
        <f t="shared" si="0"/>
        <v>460000035</v>
      </c>
      <c r="B36" s="57">
        <f>Gift_Fund_Map!C10</f>
        <v>30000</v>
      </c>
      <c r="C36" s="72">
        <f>0.1*Department!D17</f>
        <v>450</v>
      </c>
      <c r="D36" s="41">
        <v>42185</v>
      </c>
      <c r="E36" s="75">
        <f>Department!A17</f>
        <v>500015</v>
      </c>
    </row>
    <row r="37" spans="1:5" ht="15" customHeight="1" x14ac:dyDescent="0.25">
      <c r="A37" s="57">
        <f t="shared" si="0"/>
        <v>460000036</v>
      </c>
      <c r="B37" s="57">
        <f>Gift_Fund_Map!C12</f>
        <v>30004</v>
      </c>
      <c r="C37" s="72">
        <f>0.2*Department!D17</f>
        <v>900</v>
      </c>
      <c r="D37" s="41">
        <v>42185</v>
      </c>
      <c r="E37" s="75">
        <f>Department!A17</f>
        <v>500015</v>
      </c>
    </row>
    <row r="38" spans="1:5" ht="15" customHeight="1" x14ac:dyDescent="0.25">
      <c r="A38" s="57">
        <f t="shared" si="0"/>
        <v>460000037</v>
      </c>
      <c r="B38" s="57">
        <f>Gift_Fund_Map!C26</f>
        <v>30011</v>
      </c>
      <c r="C38" s="72">
        <f>0.7*Department!D17</f>
        <v>3150</v>
      </c>
      <c r="D38" s="41">
        <v>42185</v>
      </c>
      <c r="E38" s="75">
        <f>Department!A17</f>
        <v>500015</v>
      </c>
    </row>
    <row r="39" spans="1:5" ht="15" customHeight="1" x14ac:dyDescent="0.25">
      <c r="A39" s="57">
        <f t="shared" si="0"/>
        <v>460000038</v>
      </c>
      <c r="B39" s="57">
        <f>Gift_Fund_Map!C27</f>
        <v>30012</v>
      </c>
      <c r="C39" s="72">
        <f>1*Department!D11</f>
        <v>8000</v>
      </c>
      <c r="D39" s="41">
        <v>42185</v>
      </c>
      <c r="E39" s="75">
        <f>Department!A11</f>
        <v>500009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Donor</vt:lpstr>
      <vt:lpstr>Gift</vt:lpstr>
      <vt:lpstr>Gift_Fund_Map</vt:lpstr>
      <vt:lpstr>Department</vt:lpstr>
      <vt:lpstr>Fund</vt:lpstr>
      <vt:lpstr>Term</vt:lpstr>
      <vt:lpstr>Purpose</vt:lpstr>
      <vt:lpstr>Lookup Tables</vt:lpstr>
      <vt:lpstr>Asset Management Company</vt:lpstr>
      <vt:lpstr>Fund_Allocation</vt:lpstr>
      <vt:lpstr>Fund_Returns</vt:lpstr>
      <vt:lpstr>Fund_value_History</vt:lpstr>
      <vt:lpstr>Fund_sector</vt:lpstr>
      <vt:lpstr>Fund_Disbursement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RAJESHKUMAR SHANMUGAM</cp:lastModifiedBy>
  <dcterms:created xsi:type="dcterms:W3CDTF">2024-08-05T05:42:03Z</dcterms:created>
  <dcterms:modified xsi:type="dcterms:W3CDTF">2024-08-05T15:55:08Z</dcterms:modified>
</cp:coreProperties>
</file>