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drawings/drawing3.xml" ContentType="application/vnd.openxmlformats-officedocument.drawing+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4.xml" ContentType="application/vnd.openxmlformats-officedocument.drawing+xml"/>
  <Override PartName="/xl/ctrlProps/ctrlProp211.xml" ContentType="application/vnd.ms-excel.controlproperties+xml"/>
  <Override PartName="/xl/drawings/drawing5.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drawings/drawing6.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7.xml" ContentType="application/vnd.openxmlformats-officedocument.drawing+xml"/>
  <Override PartName="/xl/ctrlProps/ctrlProp355.xml" ContentType="application/vnd.ms-excel.controlproperties+xml"/>
  <Override PartName="/xl/drawings/drawing8.xml" ContentType="application/vnd.openxmlformats-officedocument.drawing+xml"/>
  <Override PartName="/xl/ctrlProps/ctrlProp356.xml" ContentType="application/vnd.ms-excel.controlproperties+xml"/>
  <Override PartName="/xl/ctrlProps/ctrlProp357.xml" ContentType="application/vnd.ms-excel.controlproperties+xml"/>
  <Override PartName="/xl/drawings/drawing9.xml" ContentType="application/vnd.openxmlformats-officedocument.drawing+xml"/>
  <Override PartName="/xl/ctrlProps/ctrlProp358.xml" ContentType="application/vnd.ms-excel.controlproperties+xml"/>
  <Override PartName="/xl/ctrlProps/ctrlProp359.xml" ContentType="application/vnd.ms-excel.controlproperties+xml"/>
  <Override PartName="/xl/drawings/drawing1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drawings/drawing11.xml" ContentType="application/vnd.openxmlformats-officedocument.drawing+xml"/>
  <Override PartName="/xl/ctrlProps/ctrlProp362.xml" ContentType="application/vnd.ms-excel.controlproperties+xml"/>
  <Override PartName="/xl/ctrlProps/ctrlProp363.xml" ContentType="application/vnd.ms-excel.controlproperties+xml"/>
  <Override PartName="/xl/drawings/drawing12.xml" ContentType="application/vnd.openxmlformats-officedocument.drawing+xml"/>
  <Override PartName="/xl/ctrlProps/ctrlProp364.xml" ContentType="application/vnd.ms-excel.controlproperties+xml"/>
  <Override PartName="/xl/ctrlProps/ctrlProp365.xml" ContentType="application/vnd.ms-excel.controlproperties+xml"/>
  <Override PartName="/xl/drawings/drawing13.xml" ContentType="application/vnd.openxmlformats-officedocument.drawing+xml"/>
  <Override PartName="/xl/ctrlProps/ctrlProp366.xml" ContentType="application/vnd.ms-excel.controlproperties+xml"/>
  <Override PartName="/xl/ctrlProps/ctrlProp367.xml" ContentType="application/vnd.ms-excel.controlproperties+xml"/>
  <Override PartName="/xl/drawings/drawing14.xml" ContentType="application/vnd.openxmlformats-officedocument.drawing+xml"/>
  <Override PartName="/xl/ctrlProps/ctrlProp368.xml" ContentType="application/vnd.ms-excel.controlproperties+xml"/>
  <Override PartName="/xl/ctrlProps/ctrlProp369.xml" ContentType="application/vnd.ms-excel.controlproperties+xml"/>
  <Override PartName="/xl/drawings/drawing15.xml" ContentType="application/vnd.openxmlformats-officedocument.drawing+xml"/>
  <Override PartName="/xl/ctrlProps/ctrlProp370.xml" ContentType="application/vnd.ms-excel.controlproperties+xml"/>
  <Override PartName="/xl/ctrlProps/ctrlProp371.xml" ContentType="application/vnd.ms-excel.controlproperties+xml"/>
  <Override PartName="/xl/drawings/drawing16.xml" ContentType="application/vnd.openxmlformats-officedocument.drawing+xml"/>
  <Override PartName="/xl/ctrlProps/ctrlProp372.xml" ContentType="application/vnd.ms-excel.controlproperties+xml"/>
  <Override PartName="/xl/ctrlProps/ctrlProp373.xml" ContentType="application/vnd.ms-excel.controlproperties+xml"/>
  <Override PartName="/xl/drawings/drawing17.xml" ContentType="application/vnd.openxmlformats-officedocument.drawing+xml"/>
  <Override PartName="/xl/ctrlProps/ctrlProp374.xml" ContentType="application/vnd.ms-excel.controlproperties+xml"/>
  <Override PartName="/xl/ctrlProps/ctrlProp375.xml" ContentType="application/vnd.ms-excel.controlproperties+xml"/>
  <Override PartName="/xl/drawings/drawing18.xml" ContentType="application/vnd.openxmlformats-officedocument.drawing+xml"/>
  <Override PartName="/xl/ctrlProps/ctrlProp376.xml" ContentType="application/vnd.ms-excel.controlproperties+xml"/>
  <Override PartName="/xl/ctrlProps/ctrlProp377.xml" ContentType="application/vnd.ms-excel.controlproperties+xml"/>
  <Override PartName="/xl/drawings/drawing19.xml" ContentType="application/vnd.openxmlformats-officedocument.drawing+xml"/>
  <Override PartName="/xl/ctrlProps/ctrlProp378.xml" ContentType="application/vnd.ms-excel.controlproperties+xml"/>
  <Override PartName="/xl/ctrlProps/ctrlProp379.xml" ContentType="application/vnd.ms-excel.controlproperties+xml"/>
  <Override PartName="/xl/drawings/drawing20.xml" ContentType="application/vnd.openxmlformats-officedocument.drawing+xml"/>
  <Override PartName="/xl/ctrlProps/ctrlProp380.xml" ContentType="application/vnd.ms-excel.controlproperties+xml"/>
  <Override PartName="/xl/ctrlProps/ctrlProp381.xml" ContentType="application/vnd.ms-excel.controlproperties+xml"/>
  <Override PartName="/xl/drawings/drawing21.xml" ContentType="application/vnd.openxmlformats-officedocument.drawing+xml"/>
  <Override PartName="/xl/ctrlProps/ctrlProp382.xml" ContentType="application/vnd.ms-excel.controlproperties+xml"/>
  <Override PartName="/xl/ctrlProps/ctrlProp383.xml" ContentType="application/vnd.ms-excel.controlproperties+xml"/>
  <Override PartName="/xl/drawings/drawing22.xml" ContentType="application/vnd.openxmlformats-officedocument.drawing+xml"/>
  <Override PartName="/xl/ctrlProps/ctrlProp384.xml" ContentType="application/vnd.ms-excel.controlproperties+xml"/>
  <Override PartName="/xl/ctrlProps/ctrlProp385.xml" ContentType="application/vnd.ms-excel.controlproperties+xml"/>
  <Override PartName="/xl/drawings/drawing23.xml" ContentType="application/vnd.openxmlformats-officedocument.drawing+xml"/>
  <Override PartName="/xl/ctrlProps/ctrlProp386.xml" ContentType="application/vnd.ms-excel.controlproperties+xml"/>
  <Override PartName="/xl/ctrlProps/ctrlProp387.xml" ContentType="application/vnd.ms-excel.controlproperties+xml"/>
  <Override PartName="/xl/drawings/drawing24.xml" ContentType="application/vnd.openxmlformats-officedocument.drawing+xml"/>
  <Override PartName="/xl/ctrlProps/ctrlProp388.xml" ContentType="application/vnd.ms-excel.controlproperties+xml"/>
  <Override PartName="/xl/ctrlProps/ctrlProp389.xml" ContentType="application/vnd.ms-excel.controlproperties+xml"/>
  <Override PartName="/xl/drawings/drawing25.xml" ContentType="application/vnd.openxmlformats-officedocument.drawing+xml"/>
  <Override PartName="/xl/ctrlProps/ctrlProp390.xml" ContentType="application/vnd.ms-excel.controlproperties+xml"/>
  <Override PartName="/xl/ctrlProps/ctrlProp391.xml" ContentType="application/vnd.ms-excel.controlproperties+xml"/>
  <Override PartName="/xl/drawings/drawing26.xml" ContentType="application/vnd.openxmlformats-officedocument.drawing+xml"/>
  <Override PartName="/xl/ctrlProps/ctrlProp392.xml" ContentType="application/vnd.ms-excel.controlproperties+xml"/>
  <Override PartName="/xl/ctrlProps/ctrlProp393.xml" ContentType="application/vnd.ms-excel.controlproperties+xml"/>
  <Override PartName="/xl/drawings/drawing27.xml" ContentType="application/vnd.openxmlformats-officedocument.drawing+xml"/>
  <Override PartName="/xl/ctrlProps/ctrlProp394.xml" ContentType="application/vnd.ms-excel.controlproperties+xml"/>
  <Override PartName="/xl/ctrlProps/ctrlProp395.xml" ContentType="application/vnd.ms-excel.controlproperties+xml"/>
  <Override PartName="/xl/drawings/drawing28.xml" ContentType="application/vnd.openxmlformats-officedocument.drawing+xml"/>
  <Override PartName="/xl/ctrlProps/ctrlProp396.xml" ContentType="application/vnd.ms-excel.controlproperties+xml"/>
  <Override PartName="/xl/ctrlProps/ctrlProp397.xml" ContentType="application/vnd.ms-excel.controlproperties+xml"/>
  <Override PartName="/xl/drawings/drawing29.xml" ContentType="application/vnd.openxmlformats-officedocument.drawing+xml"/>
  <Override PartName="/xl/ctrlProps/ctrlProp398.xml" ContentType="application/vnd.ms-excel.controlproperties+xml"/>
  <Override PartName="/xl/ctrlProps/ctrlProp399.xml" ContentType="application/vnd.ms-excel.controlproperties+xml"/>
  <Override PartName="/xl/drawings/drawing30.xml" ContentType="application/vnd.openxmlformats-officedocument.drawing+xml"/>
  <Override PartName="/xl/ctrlProps/ctrlProp400.xml" ContentType="application/vnd.ms-excel.controlproperties+xml"/>
  <Override PartName="/xl/ctrlProps/ctrlProp401.xml" ContentType="application/vnd.ms-excel.controlproperties+xml"/>
  <Override PartName="/xl/drawings/drawing31.xml" ContentType="application/vnd.openxmlformats-officedocument.drawing+xml"/>
  <Override PartName="/xl/ctrlProps/ctrlProp402.xml" ContentType="application/vnd.ms-excel.controlproperties+xml"/>
  <Override PartName="/xl/ctrlProps/ctrlProp403.xml" ContentType="application/vnd.ms-excel.controlproperties+xml"/>
  <Override PartName="/xl/drawings/drawing32.xml" ContentType="application/vnd.openxmlformats-officedocument.drawing+xml"/>
  <Override PartName="/xl/ctrlProps/ctrlProp404.xml" ContentType="application/vnd.ms-excel.controlproperties+xml"/>
  <Override PartName="/xl/ctrlProps/ctrlProp405.xml" ContentType="application/vnd.ms-excel.controlproperties+xml"/>
  <Override PartName="/xl/drawings/drawing33.xml" ContentType="application/vnd.openxmlformats-officedocument.drawing+xml"/>
  <Override PartName="/xl/ctrlProps/ctrlProp406.xml" ContentType="application/vnd.ms-excel.controlproperties+xml"/>
  <Override PartName="/xl/ctrlProps/ctrlProp407.xml" ContentType="application/vnd.ms-excel.controlproperties+xml"/>
  <Override PartName="/xl/drawings/drawing34.xml" ContentType="application/vnd.openxmlformats-officedocument.drawing+xml"/>
  <Override PartName="/xl/ctrlProps/ctrlProp408.xml" ContentType="application/vnd.ms-excel.controlproperties+xml"/>
  <Override PartName="/xl/ctrlProps/ctrlProp409.xml" ContentType="application/vnd.ms-excel.controlproperties+xml"/>
  <Override PartName="/xl/drawings/drawing35.xml" ContentType="application/vnd.openxmlformats-officedocument.drawing+xml"/>
  <Override PartName="/xl/ctrlProps/ctrlProp410.xml" ContentType="application/vnd.ms-excel.controlproperties+xml"/>
  <Override PartName="/xl/ctrlProps/ctrlProp411.xml" ContentType="application/vnd.ms-excel.controlproperties+xml"/>
  <Override PartName="/xl/drawings/drawing36.xml" ContentType="application/vnd.openxmlformats-officedocument.drawing+xml"/>
  <Override PartName="/xl/ctrlProps/ctrlProp412.xml" ContentType="application/vnd.ms-excel.controlproperties+xml"/>
  <Override PartName="/xl/ctrlProps/ctrlProp413.xml" ContentType="application/vnd.ms-excel.controlproperties+xml"/>
  <Override PartName="/xl/drawings/drawing3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drawings/drawing38.xml" ContentType="application/vnd.openxmlformats-officedocument.drawing+xml"/>
  <Override PartName="/xl/ctrlProps/ctrlProp416.xml" ContentType="application/vnd.ms-excel.controlproperties+xml"/>
  <Override PartName="/xl/ctrlProps/ctrlProp417.xml" ContentType="application/vnd.ms-excel.controlproperties+xml"/>
  <Override PartName="/xl/drawings/drawing39.xml" ContentType="application/vnd.openxmlformats-officedocument.drawing+xml"/>
  <Override PartName="/xl/ctrlProps/ctrlProp418.xml" ContentType="application/vnd.ms-excel.controlproperties+xml"/>
  <Override PartName="/xl/ctrlProps/ctrlProp419.xml" ContentType="application/vnd.ms-excel.controlproperties+xml"/>
  <Override PartName="/xl/drawings/drawing40.xml" ContentType="application/vnd.openxmlformats-officedocument.drawing+xml"/>
  <Override PartName="/xl/ctrlProps/ctrlProp420.xml" ContentType="application/vnd.ms-excel.controlproperties+xml"/>
  <Override PartName="/xl/ctrlProps/ctrlProp421.xml" ContentType="application/vnd.ms-excel.controlproperties+xml"/>
  <Override PartName="/xl/drawings/drawing41.xml" ContentType="application/vnd.openxmlformats-officedocument.drawing+xml"/>
  <Override PartName="/xl/ctrlProps/ctrlProp422.xml" ContentType="application/vnd.ms-excel.controlproperties+xml"/>
  <Override PartName="/xl/ctrlProps/ctrlProp423.xml" ContentType="application/vnd.ms-excel.controlproperties+xml"/>
  <Override PartName="/xl/drawings/drawing42.xml" ContentType="application/vnd.openxmlformats-officedocument.drawing+xml"/>
  <Override PartName="/xl/ctrlProps/ctrlProp424.xml" ContentType="application/vnd.ms-excel.controlproperties+xml"/>
  <Override PartName="/xl/ctrlProps/ctrlProp425.xml" ContentType="application/vnd.ms-excel.controlproperties+xml"/>
  <Override PartName="/xl/drawings/drawing43.xml" ContentType="application/vnd.openxmlformats-officedocument.drawing+xml"/>
  <Override PartName="/xl/ctrlProps/ctrlProp426.xml" ContentType="application/vnd.ms-excel.controlproperties+xml"/>
  <Override PartName="/xl/ctrlProps/ctrlProp427.xml" ContentType="application/vnd.ms-excel.controlproperties+xml"/>
  <Override PartName="/xl/drawings/drawing44.xml" ContentType="application/vnd.openxmlformats-officedocument.drawing+xml"/>
  <Override PartName="/xl/ctrlProps/ctrlProp428.xml" ContentType="application/vnd.ms-excel.controlproperties+xml"/>
  <Override PartName="/xl/ctrlProps/ctrlProp429.xml" ContentType="application/vnd.ms-excel.controlproperties+xml"/>
  <Override PartName="/xl/drawings/drawing45.xml" ContentType="application/vnd.openxmlformats-officedocument.drawing+xml"/>
  <Override PartName="/xl/ctrlProps/ctrlProp430.xml" ContentType="application/vnd.ms-excel.controlproperties+xml"/>
  <Override PartName="/xl/ctrlProps/ctrlProp431.xml" ContentType="application/vnd.ms-excel.controlproperties+xml"/>
  <Override PartName="/xl/drawings/drawing46.xml" ContentType="application/vnd.openxmlformats-officedocument.drawing+xml"/>
  <Override PartName="/xl/ctrlProps/ctrlProp432.xml" ContentType="application/vnd.ms-excel.controlproperties+xml"/>
  <Override PartName="/xl/ctrlProps/ctrlProp433.xml" ContentType="application/vnd.ms-excel.controlproperties+xml"/>
  <Override PartName="/xl/drawings/drawing47.xml" ContentType="application/vnd.openxmlformats-officedocument.drawing+xml"/>
  <Override PartName="/xl/ctrlProps/ctrlProp434.xml" ContentType="application/vnd.ms-excel.controlproperties+xml"/>
  <Override PartName="/xl/ctrlProps/ctrlProp435.xml" ContentType="application/vnd.ms-excel.controlproperties+xml"/>
  <Override PartName="/xl/drawings/drawing48.xml" ContentType="application/vnd.openxmlformats-officedocument.drawing+xml"/>
  <Override PartName="/xl/ctrlProps/ctrlProp436.xml" ContentType="application/vnd.ms-excel.controlproperties+xml"/>
  <Override PartName="/xl/ctrlProps/ctrlProp437.xml" ContentType="application/vnd.ms-excel.controlproperties+xml"/>
  <Override PartName="/xl/drawings/drawing49.xml" ContentType="application/vnd.openxmlformats-officedocument.drawing+xml"/>
  <Override PartName="/xl/ctrlProps/ctrlProp438.xml" ContentType="application/vnd.ms-excel.controlproperties+xml"/>
  <Override PartName="/xl/ctrlProps/ctrlProp439.xml" ContentType="application/vnd.ms-excel.controlproperties+xml"/>
  <Override PartName="/xl/drawings/drawing50.xml" ContentType="application/vnd.openxmlformats-officedocument.drawing+xml"/>
  <Override PartName="/xl/ctrlProps/ctrlProp440.xml" ContentType="application/vnd.ms-excel.controlproperties+xml"/>
  <Override PartName="/xl/ctrlProps/ctrlProp441.xml" ContentType="application/vnd.ms-excel.controlproperties+xml"/>
  <Override PartName="/xl/drawings/drawing51.xml" ContentType="application/vnd.openxmlformats-officedocument.drawing+xml"/>
  <Override PartName="/xl/ctrlProps/ctrlProp442.xml" ContentType="application/vnd.ms-excel.controlproperties+xml"/>
  <Override PartName="/xl/ctrlProps/ctrlProp443.xml" ContentType="application/vnd.ms-excel.controlproperties+xml"/>
  <Override PartName="/xl/drawings/drawing52.xml" ContentType="application/vnd.openxmlformats-officedocument.drawing+xml"/>
  <Override PartName="/xl/ctrlProps/ctrlProp444.xml" ContentType="application/vnd.ms-excel.controlproperties+xml"/>
  <Override PartName="/xl/ctrlProps/ctrlProp445.xml" ContentType="application/vnd.ms-excel.controlproperties+xml"/>
  <Override PartName="/xl/drawings/drawing53.xml" ContentType="application/vnd.openxmlformats-officedocument.drawing+xml"/>
  <Override PartName="/xl/ctrlProps/ctrlProp446.xml" ContentType="application/vnd.ms-excel.controlproperties+xml"/>
  <Override PartName="/xl/ctrlProps/ctrlProp44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51C12AC1-7490-4F0C-9C81-83A8ECD27E8D}" xr6:coauthVersionLast="47" xr6:coauthVersionMax="47" xr10:uidLastSave="{00000000-0000-0000-0000-000000000000}"/>
  <bookViews>
    <workbookView xWindow="-108" yWindow="-108" windowWidth="23256" windowHeight="12576" tabRatio="821" activeTab="2" xr2:uid="{B0552C00-A698-4F7B-93C8-274067A79944}"/>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'F-011_입찰공고'!$A$1:$H$71</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계약방법안내!$A$1:$C$2</definedName>
    <definedName name="_xlnm.Print_Area" localSheetId="0">사용설명서!$A$1:$H$24</definedName>
    <definedName name="학교명목록">학교정보!$E$2:$E$121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5" i="44" l="1"/>
  <c r="E24" i="44"/>
  <c r="C25" i="41"/>
  <c r="E24" i="41"/>
  <c r="C25" i="39"/>
  <c r="E24" i="39"/>
  <c r="C37" i="38"/>
  <c r="E36" i="38"/>
  <c r="C29" i="37"/>
  <c r="E28" i="37"/>
  <c r="C29" i="36"/>
  <c r="E28" i="36"/>
  <c r="C36" i="53"/>
  <c r="E35" i="53"/>
  <c r="C38" i="52"/>
  <c r="E37" i="52"/>
  <c r="C36" i="50"/>
  <c r="E35" i="50"/>
  <c r="C30" i="31"/>
  <c r="E29" i="31"/>
  <c r="C26" i="12"/>
  <c r="E25" i="12"/>
  <c r="C20" i="28"/>
  <c r="E19" i="28"/>
  <c r="C43" i="25"/>
  <c r="E42" i="25"/>
  <c r="F5" i="2"/>
  <c r="F4" i="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8" i="2"/>
  <c r="E37" i="2"/>
  <c r="E36" i="2"/>
  <c r="E35" i="2"/>
  <c r="E34" i="2"/>
  <c r="E33" i="2"/>
  <c r="E32" i="2"/>
  <c r="E31" i="2"/>
  <c r="E30" i="2"/>
  <c r="E29" i="2"/>
  <c r="C6" i="62"/>
  <c r="B7" i="62"/>
  <c r="C7" i="62" s="1"/>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D28" i="54"/>
  <c r="C28" i="54"/>
  <c r="B28" i="54"/>
  <c r="D27" i="54"/>
  <c r="C27" i="54"/>
  <c r="B27" i="54"/>
  <c r="D26" i="54"/>
  <c r="C26" i="54"/>
  <c r="B26" i="54"/>
  <c r="D25" i="54"/>
  <c r="E25" i="54" s="1"/>
  <c r="F25" i="54" s="1"/>
  <c r="G25" i="54" s="1"/>
  <c r="C25" i="54"/>
  <c r="B25" i="54"/>
  <c r="D24" i="54"/>
  <c r="C24" i="54"/>
  <c r="B24" i="54"/>
  <c r="D23" i="54"/>
  <c r="C23" i="54"/>
  <c r="B23" i="54"/>
  <c r="D22" i="54"/>
  <c r="C22" i="54"/>
  <c r="B22" i="54"/>
  <c r="D21" i="54"/>
  <c r="C21" i="54"/>
  <c r="B21" i="54"/>
  <c r="D20" i="54"/>
  <c r="C20" i="54"/>
  <c r="B20" i="54"/>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7" i="33"/>
  <c r="C15" i="33"/>
  <c r="C14" i="33"/>
  <c r="C13" i="33"/>
  <c r="B9"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8" i="20"/>
  <c r="B11" i="20"/>
  <c r="C7" i="20"/>
  <c r="B25" i="19"/>
  <c r="B24" i="19"/>
  <c r="B23" i="19"/>
  <c r="B20" i="19"/>
  <c r="F11" i="19"/>
  <c r="F10" i="19"/>
  <c r="F8" i="19"/>
  <c r="F6" i="19"/>
  <c r="B25" i="18"/>
  <c r="F19" i="18"/>
  <c r="F15" i="18"/>
  <c r="F12" i="18"/>
  <c r="F8" i="18"/>
  <c r="C5" i="18"/>
  <c r="D8" i="17"/>
  <c r="C8" i="17"/>
  <c r="B8" i="17"/>
  <c r="B3" i="17"/>
  <c r="B16" i="16"/>
  <c r="F13" i="16"/>
  <c r="F12" i="16"/>
  <c r="F11" i="16"/>
  <c r="F10" i="16"/>
  <c r="F9" i="16"/>
  <c r="B6" i="16"/>
  <c r="E5" i="16"/>
  <c r="C5" i="16"/>
  <c r="B24" i="15"/>
  <c r="F20" i="15"/>
  <c r="F16" i="15"/>
  <c r="F13" i="15"/>
  <c r="F9" i="15"/>
  <c r="G5" i="15"/>
  <c r="E5" i="15"/>
  <c r="C5" i="15"/>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F20" i="14" s="1"/>
  <c r="E81" i="2"/>
  <c r="E80" i="2"/>
  <c r="E79" i="2"/>
  <c r="E78" i="2"/>
  <c r="E77" i="2"/>
  <c r="E76" i="2"/>
  <c r="E75" i="2"/>
  <c r="E74" i="2"/>
  <c r="E73" i="2"/>
  <c r="E72" i="2"/>
  <c r="F14" i="16" l="1"/>
  <c r="E19" i="54"/>
  <c r="F19" i="54" s="1"/>
  <c r="G19" i="54" s="1"/>
  <c r="F21" i="18"/>
  <c r="E22" i="54"/>
  <c r="F22" i="54" s="1"/>
  <c r="G22" i="54" s="1"/>
  <c r="E20" i="14"/>
  <c r="E18" i="49"/>
  <c r="E21" i="54"/>
  <c r="F21" i="54" s="1"/>
  <c r="G21" i="54" s="1"/>
  <c r="E27" i="54"/>
  <c r="F27" i="54" s="1"/>
  <c r="G27" i="54" s="1"/>
  <c r="E28" i="54"/>
  <c r="F28" i="54" s="1"/>
  <c r="G28" i="54" s="1"/>
  <c r="E23" i="54"/>
  <c r="F23" i="54" s="1"/>
  <c r="G23" i="54" s="1"/>
  <c r="E26" i="54"/>
  <c r="F26" i="54" s="1"/>
  <c r="G26" i="54" s="1"/>
  <c r="F22" i="15"/>
  <c r="E24" i="54"/>
  <c r="F24" i="54" s="1"/>
  <c r="G24" i="54" s="1"/>
  <c r="E20" i="54"/>
  <c r="F20" i="54" s="1"/>
  <c r="G20" i="54" s="1"/>
  <c r="E39" i="2"/>
  <c r="D15" i="13"/>
</calcChain>
</file>

<file path=xl/sharedStrings.xml><?xml version="1.0" encoding="utf-8"?>
<sst xmlns="http://schemas.openxmlformats.org/spreadsheetml/2006/main" count="2269" uniqueCount="1342">
  <si>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</si>
  <si>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</si>
  <si>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</si>
  <si>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</si>
  <si>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</si>
  <si>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</si>
  <si>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</si>
  <si>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</si>
  <si>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</si>
  <si>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</si>
  <si>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</si>
  <si>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</si>
  <si>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</si>
  <si>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</si>
  <si>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</si>
  <si>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</si>
  <si>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</si>
  <si>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</si>
  <si>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</si>
  <si>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</si>
  <si>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</si>
  <si>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</si>
  <si>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</si>
  <si>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</si>
  <si>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</si>
  <si>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</si>
  <si>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</si>
  <si>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</si>
  <si>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</si>
  <si>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</si>
  <si>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</si>
  <si>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</si>
  <si>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</si>
  <si>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</si>
  <si>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</si>
  <si>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</si>
  <si>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</si>
  <si>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</si>
  <si>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</si>
  <si>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</si>
  <si>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</si>
  <si>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</si>
  <si>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</si>
  <si>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</si>
  <si>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</si>
  <si>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</si>
  <si>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</si>
  <si>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</si>
  <si>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</si>
  <si>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</si>
  <si>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</si>
  <si>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</si>
  <si>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</si>
  <si>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</si>
  <si>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</si>
  <si>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</si>
  <si>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</si>
  <si>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</si>
  <si>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</si>
  <si>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</si>
  <si>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</si>
  <si>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</si>
  <si>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</si>
  <si>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</si>
  <si>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</si>
  <si>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</si>
  <si>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</si>
  <si>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</si>
  <si>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</si>
  <si>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</si>
  <si>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</si>
  <si>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</si>
  <si>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</si>
  <si>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</si>
  <si>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</si>
  <si>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</si>
  <si>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</si>
  <si>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</si>
  <si>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</si>
  <si>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</si>
  <si>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</si>
  <si>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</si>
  <si>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</si>
  <si>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</si>
  <si>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</si>
  <si>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</si>
  <si>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</si>
  <si>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</si>
  <si>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</si>
  <si>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</si>
  <si>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</si>
  <si>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</si>
  <si>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</si>
  <si>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</si>
  <si>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</si>
  <si>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</si>
  <si>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</si>
  <si>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</si>
  <si>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</si>
  <si>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</si>
  <si>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</si>
  <si>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</si>
  <si>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</si>
  <si>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</si>
  <si>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</si>
  <si>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</si>
  <si>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</si>
  <si>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</si>
  <si>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</si>
  <si>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</si>
  <si>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</si>
  <si>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</si>
  <si>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</si>
  <si>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</si>
  <si>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</si>
  <si>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</si>
  <si>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</si>
  <si>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</si>
  <si>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</si>
  <si>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</si>
  <si>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</si>
  <si>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</si>
  <si>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</si>
  <si>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[미리보기]/[PDF]/[HWPX]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</si>
  <si>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업무단계</t>
  </si>
  <si>
    <t>구현상태</t>
  </si>
  <si>
    <t>연결시트</t>
  </si>
  <si>
    <t>미리보기</t>
  </si>
  <si>
    <t>PDF</t>
  </si>
  <si>
    <t>HWPX</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</si>
  <si>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</si>
  <si>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</si>
  <si>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</si>
  <si>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</si>
  <si>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</si>
  <si>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</si>
  <si>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</si>
  <si>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</si>
  <si>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</si>
  <si>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</si>
  <si>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</si>
  <si>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</si>
  <si>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</si>
  <si>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</si>
  <si>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</si>
  <si>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</si>
  <si>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</si>
  <si>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</si>
  <si>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</si>
  <si>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</si>
  <si>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</si>
  <si>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</si>
  <si>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</si>
  <si>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</si>
  <si>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</si>
  <si>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</si>
  <si>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</si>
  <si>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</si>
  <si>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</si>
  <si>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</si>
  <si>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</si>
  <si>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</si>
  <si>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</si>
  <si>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</si>
  <si>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</si>
  <si>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</si>
  <si>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</si>
  <si>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</si>
  <si>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</si>
  <si>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</si>
  <si>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</si>
  <si>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</si>
  <si>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</si>
  <si>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</si>
  <si>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</si>
  <si>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</si>
  <si>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</si>
  <si>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</si>
  <si>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</si>
  <si>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</si>
  <si>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</si>
  <si>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</si>
  <si>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</si>
  <si>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</si>
  <si>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</si>
  <si>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</si>
  <si>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</si>
  <si>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</si>
  <si>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</si>
  <si>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</si>
  <si>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</si>
  <si>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</si>
  <si>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</si>
  <si>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</si>
  <si>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</si>
  <si>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</si>
  <si>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</si>
  <si>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</si>
  <si>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</si>
  <si>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</si>
  <si>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</si>
  <si>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</si>
  <si>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</si>
  <si>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</si>
  <si>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</si>
  <si>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</si>
  <si>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</si>
  <si>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</si>
  <si>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</si>
  <si>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</si>
  <si>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</si>
  <si>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</si>
  <si>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</si>
  <si>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</si>
  <si>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</si>
  <si>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</si>
  <si>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</si>
  <si>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</si>
  <si>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</si>
  <si>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</si>
  <si>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</si>
  <si>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</si>
  <si>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</si>
  <si>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</si>
  <si>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</si>
  <si>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</si>
  <si>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</si>
  <si>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</si>
  <si>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</si>
  <si>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</si>
  <si>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</si>
  <si>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</si>
  <si>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</si>
  <si>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</si>
  <si>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</si>
  <si>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</si>
  <si>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</si>
  <si>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</si>
  <si>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</si>
  <si>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</si>
  <si>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</si>
  <si>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</si>
  <si>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</si>
  <si>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</si>
  <si>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</si>
  <si>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</si>
  <si>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</si>
  <si>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</si>
  <si>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</si>
  <si>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</si>
  <si>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</si>
  <si>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</si>
  <si>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</si>
  <si>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</si>
  <si>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</si>
  <si>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</si>
  <si>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</si>
  <si>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</si>
  <si>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</si>
  <si>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</si>
  <si>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</si>
  <si>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</si>
  <si>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</si>
  <si>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</si>
  <si>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</si>
  <si>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</si>
  <si>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</si>
  <si>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</si>
  <si>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</si>
  <si>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</si>
  <si>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</si>
  <si>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</si>
  <si>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</si>
  <si>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</si>
  <si>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</si>
  <si>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</si>
  <si>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</si>
  <si>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</si>
  <si>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</si>
  <si>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</si>
  <si>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</si>
  <si>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</si>
  <si>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</si>
  <si>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</si>
  <si>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</si>
  <si>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</si>
  <si>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</si>
  <si>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</si>
  <si>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</si>
  <si>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</si>
  <si>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</si>
  <si>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</si>
  <si>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</si>
  <si>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</si>
  <si>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</si>
  <si>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</si>
  <si>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</si>
  <si>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</si>
  <si>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</si>
  <si>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</si>
  <si>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</si>
  <si>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</si>
  <si>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</si>
  <si>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</si>
  <si>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</si>
  <si>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</si>
  <si>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</si>
  <si>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</si>
  <si>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</si>
  <si>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</si>
  <si>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</si>
  <si>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</si>
  <si>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</si>
  <si>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</si>
  <si>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</si>
  <si>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</si>
  <si>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</si>
  <si>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</si>
  <si>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</si>
  <si>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</si>
  <si>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</si>
  <si>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</si>
  <si>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</si>
  <si>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</si>
  <si>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</si>
  <si>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</si>
  <si>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</si>
  <si>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</si>
  <si>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</si>
  <si>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</si>
  <si>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</si>
  <si>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</si>
  <si>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</si>
  <si>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</si>
  <si>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</si>
  <si>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</si>
  <si>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</si>
  <si>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</si>
  <si>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</si>
  <si>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</si>
  <si>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</si>
  <si>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</si>
  <si>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</si>
  <si>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</si>
  <si>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</si>
  <si>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</si>
  <si>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</si>
  <si>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</si>
  <si>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</si>
  <si>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</si>
  <si>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</si>
  <si>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</si>
  <si>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</si>
  <si>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</si>
  <si>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</si>
  <si>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</si>
  <si>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</si>
  <si>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</si>
  <si>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</si>
  <si>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</si>
  <si>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</si>
  <si>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</si>
  <si>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</si>
  <si>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</si>
  <si>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</si>
  <si>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</si>
  <si>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</si>
  <si>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</si>
  <si>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</si>
  <si>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</si>
  <si>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</si>
  <si>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</si>
  <si>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</si>
  <si>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</si>
  <si>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</si>
  <si>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</si>
  <si>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</si>
  <si>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</si>
  <si>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</si>
  <si>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</si>
  <si>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</si>
  <si>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</si>
  <si>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</si>
  <si>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</si>
  <si>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</si>
  <si>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</si>
  <si>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</si>
  <si>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</si>
  <si>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</si>
  <si>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</si>
  <si>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</si>
  <si>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</si>
  <si>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</si>
  <si>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</si>
  <si>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</si>
  <si>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</si>
  <si>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</si>
  <si>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</si>
  <si>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</si>
  <si>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</si>
  <si>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</si>
  <si>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</si>
  <si>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</si>
  <si>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</si>
  <si>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</si>
  <si>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</si>
  <si>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</si>
  <si>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</si>
  <si>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</si>
  <si>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</si>
  <si>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</si>
  <si>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</si>
  <si>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</si>
  <si>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</si>
  <si>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</si>
  <si>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</si>
  <si>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</si>
  <si>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</si>
  <si>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</si>
  <si>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</si>
  <si>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</si>
  <si>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</si>
  <si>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</si>
  <si>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</si>
  <si>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</si>
  <si>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</si>
  <si>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</si>
  <si>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</si>
  <si>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</si>
  <si>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</si>
  <si>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</si>
  <si>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</si>
  <si>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</si>
  <si>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</si>
  <si>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</si>
  <si>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</si>
  <si>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</si>
  <si>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</si>
  <si>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</si>
  <si>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</si>
  <si>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</si>
  <si>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</si>
  <si>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</si>
  <si>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</si>
  <si>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</si>
  <si>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</si>
  <si>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업체명·대표자·연락처(R-08·R-09, 2026-09-23부터)는 자동 반영하며 주소·서명은 직접 작성합니다.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</si>
  <si>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</si>
  <si>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</si>
  <si>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</si>
  <si>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</si>
  <si>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</si>
  <si>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</si>
  <si>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</si>
  <si>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</si>
  <si>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</si>
  <si>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</si>
  <si>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</si>
  <si>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</si>
  <si>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</si>
  <si>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</si>
  <si>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</si>
  <si>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</si>
  <si>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</si>
  <si>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</si>
  <si>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</si>
  <si>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</si>
  <si>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</si>
  <si>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</si>
  <si>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</si>
  <si>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</si>
  <si>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</si>
  <si>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</si>
  <si>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</si>
  <si>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</si>
  <si>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</si>
  <si>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</si>
  <si>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</si>
  <si>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</si>
  <si>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</si>
  <si>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</si>
  <si>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</si>
  <si>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</si>
  <si>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</si>
  <si>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</si>
  <si>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</si>
  <si>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</si>
  <si>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</si>
  <si>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</si>
  <si>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</si>
  <si>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</si>
  <si>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</si>
  <si>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</si>
  <si>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</si>
  <si>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</si>
  <si>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</si>
  <si>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</si>
  <si>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</si>
  <si>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</si>
  <si>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</si>
  <si>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</si>
  <si>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</si>
  <si>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</si>
  <si>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</si>
  <si>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</si>
  <si>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</si>
  <si>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</si>
  <si>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</si>
  <si>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</si>
  <si>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</si>
  <si>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</si>
  <si>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</si>
  <si>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</si>
  <si>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</si>
  <si>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</si>
  <si>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</si>
  <si>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</si>
  <si>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</si>
  <si>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</si>
  <si>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</si>
  <si>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</si>
  <si>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</si>
  <si>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</si>
  <si>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</si>
  <si>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</si>
  <si>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</si>
  <si>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</si>
  <si>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</si>
  <si>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</si>
  <si>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</si>
  <si>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</si>
  <si>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</si>
  <si>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</si>
  <si>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</si>
  <si>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</si>
  <si>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</si>
  <si>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</si>
  <si>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</si>
  <si>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</si>
  <si>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</si>
  <si>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</si>
  <si>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</si>
  <si>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</si>
  <si>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</si>
  <si>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</si>
  <si>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</si>
  <si>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</si>
  <si>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</si>
  <si>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</si>
  <si>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</si>
  <si>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</si>
  <si>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</si>
  <si>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</si>
  <si>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</si>
  <si>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</si>
  <si>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</si>
  <si>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</si>
  <si>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</si>
  <si>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</si>
  <si>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</si>
  <si>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</si>
  <si>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</si>
  <si>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</si>
  <si>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</si>
  <si>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</si>
  <si>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</si>
  <si>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</si>
  <si>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</si>
  <si>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</si>
  <si>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</si>
  <si>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</si>
  <si>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</si>
  <si>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</si>
  <si>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</si>
  <si>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</si>
  <si>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</si>
  <si>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</si>
  <si>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</si>
  <si>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</si>
  <si>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</si>
  <si>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</si>
  <si>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</si>
  <si>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</si>
  <si>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</si>
  <si>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</si>
  <si>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</si>
  <si>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</si>
  <si>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</si>
  <si>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</si>
  <si>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</si>
  <si>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</si>
  <si>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</si>
  <si>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</si>
  <si>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</si>
  <si>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</si>
  <si>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</si>
  <si>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</si>
  <si>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</si>
  <si>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</si>
  <si>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</si>
  <si>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</si>
  <si>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</si>
  <si>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</si>
  <si>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</si>
  <si>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</si>
  <si>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</si>
  <si>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</si>
  <si>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</si>
  <si>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</si>
  <si>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</si>
  <si>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</si>
  <si>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</si>
  <si>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</si>
  <si>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</si>
  <si>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</si>
  <si>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</si>
  <si>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</si>
  <si>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</si>
  <si>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</si>
  <si>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</si>
  <si>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</si>
  <si>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</si>
  <si>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</si>
  <si>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</si>
  <si>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</si>
  <si>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</si>
  <si>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</si>
  <si>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</si>
  <si>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</si>
  <si>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</si>
  <si>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</si>
  <si>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</si>
  <si>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</si>
  <si>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</si>
  <si>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</si>
  <si>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</si>
  <si>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</si>
  <si>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</si>
  <si>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</si>
  <si>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</si>
  <si>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</si>
  <si>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</si>
  <si>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</si>
  <si>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</si>
  <si>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</si>
  <si>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</si>
  <si>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</si>
  <si>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</si>
  <si>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</si>
  <si>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</si>
  <si>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</si>
  <si>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</si>
  <si>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</si>
  <si>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</si>
  <si>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</si>
  <si>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</si>
  <si>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</si>
  <si>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</si>
  <si>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</si>
  <si>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</si>
  <si>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</si>
  <si>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</si>
  <si>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</si>
  <si>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</si>
  <si>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</si>
  <si>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</si>
  <si>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</si>
  <si>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</si>
  <si>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</si>
  <si>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</si>
  <si>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</si>
  <si>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</si>
  <si>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</si>
  <si>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</si>
  <si>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</si>
  <si>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</si>
  <si>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</si>
  <si>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</si>
  <si>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</si>
  <si>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</si>
  <si>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</si>
  <si>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</si>
  <si>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</si>
  <si>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</si>
  <si>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</si>
  <si>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</si>
  <si>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</si>
  <si>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</si>
  <si>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</si>
  <si>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</si>
  <si>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</si>
  <si>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</si>
  <si>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</si>
  <si>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</si>
  <si>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</si>
  <si>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</si>
  <si>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</si>
  <si>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</si>
  <si>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</si>
  <si>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</si>
  <si>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</si>
  <si>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</si>
  <si>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</si>
  <si>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</si>
  <si>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</si>
  <si>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</si>
  <si>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</si>
  <si>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</si>
  <si>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</si>
  <si>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</si>
  <si>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</si>
  <si>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</si>
  <si>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</si>
  <si>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</si>
  <si>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</si>
  <si>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</si>
  <si>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</si>
  <si>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</si>
  <si>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</si>
  <si>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</si>
  <si>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</si>
  <si>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</si>
  <si>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</si>
  <si>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</si>
  <si>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</si>
  <si>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</si>
  <si>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</si>
  <si>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</si>
  <si>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</si>
  <si>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</si>
  <si>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</si>
  <si>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</si>
  <si>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</si>
  <si>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</si>
  <si>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</si>
  <si>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</si>
  <si>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</si>
  <si>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</si>
  <si>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</si>
  <si>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</si>
  <si>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</si>
  <si>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</si>
  <si>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</si>
  <si>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</si>
  <si>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</si>
  <si>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</si>
  <si>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</si>
  <si>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</si>
  <si>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</si>
  <si>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</si>
  <si>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</si>
  <si>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</si>
  <si>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</si>
  <si>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</si>
  <si>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</si>
  <si>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</si>
  <si>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</si>
  <si>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</si>
  <si>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</si>
  <si>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</si>
  <si>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</si>
  <si>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</si>
  <si>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</si>
  <si>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</si>
  <si>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</si>
  <si>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</si>
  <si>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</si>
  <si>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</si>
  <si>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</si>
  <si>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</si>
  <si>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</si>
  <si>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</si>
  <si>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</si>
  <si>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</si>
  <si>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</si>
  <si>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</si>
  <si>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</si>
  <si>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</si>
  <si>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</si>
  <si>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</si>
  <si>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</si>
  <si>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</si>
  <si>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</si>
  <si>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</si>
  <si>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</si>
  <si>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</si>
  <si>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</si>
  <si>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</si>
  <si>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</si>
  <si>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</si>
  <si>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</si>
  <si>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</si>
  <si>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</si>
  <si>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</si>
  <si>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</si>
  <si>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</si>
  <si>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</si>
  <si>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</si>
  <si>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</si>
  <si>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</si>
  <si>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</si>
  <si>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</si>
  <si>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</si>
  <si>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</si>
  <si>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</si>
  <si>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</si>
  <si>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</si>
  <si>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</si>
  <si>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</si>
  <si>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</si>
  <si>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</si>
  <si>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</si>
  <si>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</si>
  <si>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</si>
  <si>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</si>
  <si>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</si>
  <si>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</si>
  <si>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</si>
  <si>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</si>
  <si>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</si>
  <si>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</si>
  <si>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</si>
  <si>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</si>
  <si>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</si>
  <si>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</si>
  <si>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</si>
  <si>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</si>
  <si>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</si>
  <si>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</si>
  <si>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</si>
  <si>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</si>
  <si>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</si>
  <si>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</si>
  <si>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</si>
  <si>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</si>
  <si>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</si>
  <si>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</si>
  <si>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</si>
  <si>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</si>
  <si>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</si>
  <si>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</si>
  <si>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</si>
  <si>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</si>
  <si>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</si>
  <si>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</si>
  <si>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</si>
  <si>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</si>
  <si>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</si>
  <si>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</si>
  <si>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</si>
  <si>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</si>
  <si>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</si>
  <si>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</si>
  <si>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</si>
  <si>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</si>
  <si>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</si>
  <si>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</si>
  <si>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</si>
  <si>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</si>
  <si>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</si>
  <si>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</si>
  <si>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</si>
  <si>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</si>
  <si>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</si>
  <si>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</si>
  <si>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</si>
  <si>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</si>
  <si>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</si>
  <si>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</si>
  <si>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</si>
  <si>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</si>
  <si>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</si>
  <si>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</si>
  <si>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</si>
  <si>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</si>
  <si>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</si>
  <si>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</si>
  <si>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</si>
  <si>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</si>
  <si>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</si>
  <si>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</si>
  <si>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</si>
  <si>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</si>
  <si>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</si>
  <si>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</si>
  <si>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</si>
  <si>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</si>
  <si>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</si>
  <si>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</si>
  <si>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</si>
  <si>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</si>
  <si>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</si>
  <si>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</si>
  <si>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</si>
  <si>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</si>
  <si>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</si>
  <si>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</si>
  <si>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</si>
  <si>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</si>
  <si>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</si>
  <si>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</si>
  <si>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</si>
  <si>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</si>
  <si>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</si>
  <si>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</si>
  <si>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</si>
  <si>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</si>
  <si>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</si>
  <si>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</si>
  <si>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</si>
  <si>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</si>
  <si>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</si>
  <si>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</si>
  <si>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</si>
  <si>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</si>
  <si>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</si>
  <si>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</si>
  <si>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</si>
  <si>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</si>
  <si>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</si>
  <si>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</si>
  <si>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</si>
  <si>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</si>
  <si>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</si>
  <si>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</si>
  <si>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</si>
  <si>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</si>
  <si>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</si>
  <si>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</si>
  <si>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</si>
  <si>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</si>
  <si>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</si>
  <si>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</si>
  <si>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</si>
  <si>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</si>
  <si>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</si>
  <si>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</si>
  <si>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</si>
  <si>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</si>
  <si>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</si>
  <si>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</si>
  <si>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</si>
  <si>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</si>
  <si>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</si>
  <si>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</si>
  <si>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</si>
  <si>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</si>
  <si>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</si>
  <si>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</si>
  <si>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</si>
  <si>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</si>
  <si>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</si>
  <si>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</si>
  <si>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</si>
  <si>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</si>
  <si>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</si>
  <si>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</si>
  <si>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</si>
  <si>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</si>
  <si>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</si>
  <si>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</si>
  <si>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</si>
  <si>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</si>
  <si>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</si>
  <si>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</si>
  <si>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</si>
  <si>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</si>
  <si>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</si>
  <si>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</si>
  <si>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</si>
  <si>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</si>
  <si>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</si>
  <si>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</si>
  <si>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</si>
  <si>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</si>
  <si>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</si>
  <si>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</si>
  <si>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</si>
  <si>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</si>
  <si>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</si>
  <si>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</si>
  <si>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</si>
  <si>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</si>
  <si>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</si>
  <si>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</si>
  <si>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</si>
  <si>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</si>
  <si>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</si>
  <si>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</si>
  <si>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</si>
  <si>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</si>
  <si>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</si>
  <si>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</si>
  <si>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</si>
  <si>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</si>
  <si>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</si>
  <si>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</si>
  <si>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</si>
  <si>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</si>
  <si>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</si>
  <si>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</si>
  <si>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</si>
  <si>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</si>
  <si>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</si>
  <si>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</si>
  <si>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</si>
  <si>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</si>
  <si>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</si>
  <si>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</si>
  <si>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</si>
  <si>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</si>
  <si>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</si>
  <si>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</si>
  <si>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</si>
  <si>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</si>
  <si>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</si>
  <si>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</si>
  <si>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</si>
  <si>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</si>
  <si>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</si>
  <si>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</si>
  <si>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</si>
  <si>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</si>
  <si>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</si>
  <si>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</si>
  <si>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</si>
  <si>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</si>
  <si>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</si>
  <si>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</si>
  <si>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</si>
  <si>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</si>
  <si>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</si>
  <si>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</si>
  <si>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</si>
  <si>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</si>
  <si>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</si>
  <si>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</si>
  <si>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</si>
  <si>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</si>
  <si>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</si>
  <si>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</si>
  <si>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</si>
  <si>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</si>
  <si>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</si>
  <si>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</si>
  <si>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</si>
  <si>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</si>
  <si>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</si>
  <si>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</si>
  <si>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</si>
  <si>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</si>
  <si>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</si>
  <si>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</si>
  <si>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</si>
  <si>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</si>
  <si>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</si>
  <si>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</si>
  <si>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</si>
  <si>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</si>
  <si>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</si>
  <si>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</si>
  <si>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</si>
  <si>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</si>
  <si>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</si>
  <si>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</si>
  <si>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</si>
  <si>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</si>
  <si>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</si>
  <si>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</si>
  <si>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</si>
  <si>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</si>
  <si>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</si>
  <si>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</si>
  <si>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</si>
  <si>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</si>
  <si>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</si>
  <si>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</si>
  <si>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</si>
  <si>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</si>
  <si>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</si>
  <si>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</si>
  <si>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</si>
  <si>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</si>
  <si>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</si>
  <si>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</si>
  <si>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</si>
  <si>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</si>
  <si>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</si>
  <si>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</si>
  <si>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</si>
  <si>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</si>
  <si>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</si>
  <si>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</si>
  <si>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</si>
  <si>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</si>
  <si>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</si>
  <si>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</si>
  <si>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</si>
  <si>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</si>
  <si>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</si>
  <si>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</si>
  <si>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</si>
  <si>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</si>
  <si>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</si>
  <si>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</si>
  <si>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</si>
  <si>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</si>
  <si>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</si>
  <si>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</si>
  <si>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</si>
  <si>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</si>
  <si>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</si>
  <si>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</si>
  <si>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</si>
  <si>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</si>
  <si>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</si>
  <si>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</si>
  <si>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</si>
  <si>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</si>
  <si>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</si>
  <si>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</si>
  <si>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</si>
  <si>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</si>
  <si>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</si>
  <si>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</si>
  <si>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</si>
  <si>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</si>
  <si>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</si>
  <si>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</si>
  <si>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</si>
  <si>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</si>
  <si>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</si>
  <si>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</si>
  <si>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</si>
  <si>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</si>
  <si>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</si>
  <si>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</si>
  <si>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</si>
  <si>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</si>
  <si>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</si>
  <si>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</si>
  <si>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</si>
  <si>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</si>
  <si>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</si>
  <si>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</si>
  <si>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</si>
  <si>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</si>
  <si>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</si>
  <si>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</si>
  <si>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</si>
  <si>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</si>
  <si>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</si>
  <si>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</si>
  <si>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</si>
  <si>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</si>
  <si>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</si>
  <si>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</si>
  <si>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</si>
  <si>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</si>
  <si>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</si>
  <si>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</si>
  <si>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</si>
  <si>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</si>
  <si>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</si>
  <si>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</si>
  <si>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</si>
  <si>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</si>
  <si>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</si>
  <si>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</si>
  <si>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</si>
  <si>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</si>
  <si>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</si>
  <si>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</si>
  <si>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</si>
  <si>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</si>
  <si>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</si>
  <si>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</si>
  <si>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</si>
  <si>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</si>
  <si>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</si>
  <si>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</si>
  <si>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</si>
  <si>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</si>
  <si>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</si>
  <si>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</si>
  <si>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</si>
  <si>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</si>
  <si>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</si>
  <si>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</si>
  <si>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</si>
  <si>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</si>
  <si>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</si>
  <si>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</si>
  <si>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</si>
  <si>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</si>
  <si>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</si>
  <si>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</si>
  <si>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</si>
  <si>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</si>
  <si>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</si>
  <si>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</si>
  <si>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</si>
  <si>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</si>
  <si>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</si>
  <si>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</si>
  <si>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</si>
  <si>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</si>
  <si>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</si>
  <si>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</si>
  <si>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</si>
  <si>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</si>
  <si>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</si>
  <si>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</si>
  <si>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</si>
  <si>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</si>
  <si>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</si>
  <si>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</si>
  <si>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</si>
  <si>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</si>
  <si>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</si>
  <si>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</si>
  <si>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</si>
  <si>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</si>
  <si>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</si>
  <si>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</si>
  <si>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</si>
  <si>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</si>
  <si>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</si>
  <si>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</si>
  <si>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</si>
  <si>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</si>
  <si>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</si>
  <si>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</si>
  <si>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</si>
  <si>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</si>
  <si>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</si>
  <si>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</si>
  <si>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</si>
  <si>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</si>
  <si>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</si>
  <si>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</si>
  <si>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</si>
  <si>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</si>
  <si>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</si>
  <si>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</si>
  <si>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</si>
  <si>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</si>
  <si>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</si>
  <si>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</si>
  <si>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</si>
  <si>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</si>
  <si>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</si>
  <si>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</si>
  <si>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</si>
  <si>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</si>
  <si>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</si>
  <si>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</si>
  <si>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</si>
  <si>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</si>
  <si>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</si>
  <si>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</si>
  <si>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</si>
  <si>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</si>
  <si>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</si>
  <si>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</si>
  <si>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</si>
  <si>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</si>
  <si>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</si>
  <si>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</si>
  <si>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</si>
  <si>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</si>
  <si>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</si>
  <si>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</si>
  <si>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</si>
  <si>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</si>
  <si>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</si>
  <si>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</si>
  <si>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</si>
  <si>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</si>
  <si>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</si>
  <si>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</si>
  <si>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</si>
  <si>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</si>
  <si>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</si>
  <si>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</si>
  <si>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</si>
  <si>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</si>
  <si>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</si>
  <si>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</si>
  <si>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</si>
  <si>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</si>
  <si>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</si>
  <si>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</si>
  <si>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</si>
  <si>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</si>
  <si>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</si>
  <si>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</si>
  <si>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</si>
  <si>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</si>
  <si>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</si>
  <si>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</si>
  <si>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</si>
  <si>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</si>
  <si>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</si>
  <si>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</si>
  <si>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</si>
  <si>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</si>
  <si>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</si>
  <si>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</si>
  <si>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</si>
  <si>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</si>
  <si>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선택 즉시 기초자료와 출력 서식에 반영되고, 이어서 절차 안내 팝업에서 필요한 단계와 서식을 확인할 수 있습니다.</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</si>
  <si>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</si>
  <si>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</si>
  <si>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</si>
  <si>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</si>
  <si>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</si>
  <si>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</si>
  <si>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</si>
  <si>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</si>
  <si>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반영 전 확인</t>
  </si>
  <si>
    <t>아래 카드를 누르면 계약방식이 즉시 반영되고 해당 절차 안내 팝업이 열립니다. 미리보기는 기초자료가 비어 있어도 빈 양식으로 확인할 수 있습니다.</t>
  </si>
  <si>
    <t>불러온 레코드 순번</t>
  </si>
  <si>
    <t>윤호</t>
    <phoneticPr fontId="6" type="noConversion"/>
  </si>
  <si>
    <t>김호</t>
    <phoneticPr fontId="6" type="noConversion"/>
  </si>
  <si>
    <t>2단계 입찰(규격·가격 동시)</t>
  </si>
  <si>
    <t>탁월</t>
  </si>
  <si>
    <t>우수</t>
  </si>
  <si>
    <t>전주고</t>
  </si>
  <si>
    <t>행정실</t>
  </si>
  <si>
    <t>주무관</t>
  </si>
  <si>
    <t>전주고-24244(26.1.1.)</t>
  </si>
  <si>
    <t>전주고 교복구매건</t>
  </si>
  <si>
    <t>윤호</t>
  </si>
  <si>
    <t>김호</t>
  </si>
  <si>
    <t>상의</t>
  </si>
  <si>
    <t>하의</t>
  </si>
  <si>
    <t>스마트</t>
  </si>
  <si>
    <t>상상로</t>
  </si>
  <si>
    <t>학교 주소(자동)</t>
  </si>
  <si>
    <t>학교 전화(자동)</t>
  </si>
  <si>
    <t>일반경쟁입찰</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</si>
</sst>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64">
    <xf numFmtId="0" fontId="0" fillId="0" borderId="0" xfId="0">
      <alignment vertical="center"/>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2" fillId="0" borderId="1" xfId="0" applyFont="1" applyBorder="1">
      <alignment vertical="center"/>
    </xf>
    <xf numFmtId="0" fontId="0" fillId="0" borderId="1" xfId="0"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0" fillId="0" borderId="0" xfId="0" applyAlignment="1">
      <alignment vertical="center" wrapText="1"/>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7"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lignment vertical="center"/>
    </xf>
    <xf numFmtId="0" fontId="2" fillId="0" borderId="0" xfId="0" applyFont="1">
      <alignment vertical="center"/>
    </xf>
    <xf numFmtId="0" fontId="2"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xf numFmtId="0" fontId="2" fillId="0" borderId="0" xfId="0" applyFont="1">
      <alignment vertical="center"/>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0" xfId="0" applyFont="1">
      <alignment vertical="center"/>
    </xf>
    <xf numFmtId="0" fontId="13" fillId="0" borderId="1" xfId="0" applyFont="1" applyBorder="1">
      <alignment vertical="center"/>
    </xf>
    <xf numFmtId="0" fontId="12" fillId="0" borderId="0" xfId="0" applyFont="1">
      <alignment vertical="center"/>
    </xf>
    <xf numFmtId="0" fontId="12" fillId="0" borderId="1" xfId="0" applyFont="1" applyBorder="1">
      <alignment vertical="center"/>
    </xf>
    <xf numFmtId="0" fontId="12" fillId="0" borderId="1" xfId="0" applyFont="1" applyBorder="1" applyAlignment="1">
      <alignment horizontal="center" vertical="center"/>
    </xf>
    <xf numFmtId="0" fontId="11" fillId="0" borderId="0" xfId="0" applyFont="1" applyAlignment="1">
      <alignment horizontal="center" vertical="center"/>
    </xf>
    <xf numFmtId="0" fontId="0" fillId="0" borderId="0" xfId="0" applyAlignment="1">
      <alignment horizontal="center"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10" fillId="0" borderId="0" xfId="0" applyFont="1">
      <alignment vertical="center"/>
    </xf>
    <xf numFmtId="0" fontId="9" fillId="0" borderId="0" xfId="0" applyFont="1">
      <alignment vertical="center"/>
    </xf>
    <xf numFmtId="0" fontId="9" fillId="0" borderId="1" xfId="0" applyFont="1" applyBorder="1">
      <alignment vertical="center"/>
    </xf>
    <xf numFmtId="0" fontId="9" fillId="0" borderId="0" xfId="0" applyFont="1" applyAlignment="1">
      <alignment vertical="center" wrapText="1"/>
    </xf>
    <xf numFmtId="0" fontId="10" fillId="0" borderId="1" xfId="0" applyFont="1" applyBorder="1">
      <alignment vertical="center"/>
    </xf>
    <xf numFmtId="0" fontId="13" fillId="0" borderId="0" xfId="0" applyFont="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1" xfId="0" applyFont="1" applyBorder="1"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0" xfId="0" applyFont="1" applyAlignment="1">
      <alignment horizontal="center" vertical="center"/>
    </xf>
    <xf numFmtId="0" fontId="12" fillId="0" borderId="0" xfId="0" applyFont="1" applyAlignment="1">
      <alignment vertical="center" wrapText="1"/>
    </xf>
    <xf numFmtId="0" fontId="13" fillId="0" borderId="5" xfId="0" applyFont="1" applyBorder="1" applyAlignment="1">
      <alignment horizontal="left" vertical="center"/>
    </xf>
    <xf numFmtId="0" fontId="13" fillId="0" borderId="6" xfId="0" applyFont="1" applyBorder="1" applyAlignment="1">
      <alignment horizontal="left" vertical="center"/>
    </xf>
    <xf numFmtId="0" fontId="13" fillId="0" borderId="7" xfId="0" applyFont="1" applyBorder="1" applyAlignment="1">
      <alignment horizontal="left" vertical="center"/>
    </xf>
    <xf numFmtId="0" fontId="12" fillId="0" borderId="0" xfId="0" applyFont="1" applyAlignment="1">
      <alignment horizontal="center" vertical="center"/>
    </xf>
    <xf numFmtId="0" fontId="13" fillId="0" borderId="0" xfId="0" applyFont="1" applyAlignment="1">
      <alignment vertical="top" wrapText="1"/>
    </xf>
    <xf numFmtId="0" fontId="17" fillId="0" borderId="0" xfId="0" applyFont="1" applyAlignment="1">
      <alignment vertical="center" wrapText="1"/>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wrapText="1"/>
    </xf>
    <xf numFmtId="0" fontId="19" fillId="0" borderId="0" xfId="0" applyFont="1" applyAlignment="1">
      <alignment vertical="center"/>
    </xf>
    <xf numFmtId="0" fontId="19" fillId="0" borderId="0" xfId="0" applyFont="1" applyAlignment="1">
      <alignment horizontal="center" vertical="center"/>
    </xf>
    <xf numFmtId="0" fontId="19" fillId="0" borderId="0" xfId="0" applyFont="1" applyAlignment="1">
      <alignment vertical="center" wrapText="1"/>
    </xf>
    <xf numFmtId="0" fontId="2" fillId="0" borderId="0" xfId="0" applyFont="1" applyAlignment="1">
      <alignment horizontal="center" vertical="center"/>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6" fillId="0" borderId="0" xfId="0" applyFont="1">
      <alignment vertical="center"/>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xdr:from>
      <xdr:col>0</xdr:col>
      <xdr:colOff>393700</xdr:colOff>
      <xdr:row>4</xdr:row>
      <xdr:rowOff>264160</xdr:rowOff>
    </xdr:from>
    <xdr:to>
      <xdr:col>4</xdr:col>
      <xdr:colOff>777240</xdr:colOff>
      <xdr:row>19</xdr:row>
      <xdr:rowOff>160020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25400</xdr:colOff>
      <xdr:row>4</xdr:row>
      <xdr:rowOff>264160</xdr:rowOff>
    </xdr:from>
    <xdr:to>
      <xdr:col>10</xdr:col>
      <xdr:colOff>111760</xdr:colOff>
      <xdr:row>19</xdr:row>
      <xdr:rowOff>160020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99060</xdr:colOff>
      <xdr:row>4</xdr:row>
      <xdr:rowOff>264160</xdr:rowOff>
    </xdr:from>
    <xdr:to>
      <xdr:col>15</xdr:col>
      <xdr:colOff>48260</xdr:colOff>
      <xdr:row>19</xdr:row>
      <xdr:rowOff>160020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00000000-0008-0000-0100-00007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2</xdr:row>
          <xdr:rowOff>38100</xdr:rowOff>
        </xdr:from>
        <xdr:to>
          <xdr:col>2</xdr:col>
          <xdr:colOff>4465320</xdr:colOff>
          <xdr:row>2</xdr:row>
          <xdr:rowOff>342900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1379220</xdr:colOff>
          <xdr:row>0</xdr:row>
          <xdr:rowOff>228600</xdr:rowOff>
        </xdr:from>
        <xdr:to>
          <xdr:col>2</xdr:col>
          <xdr:colOff>784860</xdr:colOff>
          <xdr:row>0</xdr:row>
          <xdr:rowOff>510540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883920</xdr:colOff>
          <xdr:row>0</xdr:row>
          <xdr:rowOff>228600</xdr:rowOff>
        </xdr:from>
        <xdr:to>
          <xdr:col>2</xdr:col>
          <xdr:colOff>2560320</xdr:colOff>
          <xdr:row>0</xdr:row>
          <xdr:rowOff>510540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서식선택·출력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4" name="btnPrev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5" name="btnPdf_F-001"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6" name="btnHwpx_F-001"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7" name="btnPrev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8" name="btnPdf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9" name="btnHwpx_F-002"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30" name="btnPrev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1" name="btnPdf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2" name="btnHwpx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6" name="btnPrev_F-005"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7" name="btnPdf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8" name="btnHwpx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39" name="btnPrev_F-006"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0" name="btnPdf_F-006"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1" name="btnHwpx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2" name="btnPrev_F-007"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3" name="btnPdf_F-007"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4" name="btnHwpx_F-007"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5" name="btnPrev_F-008"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46" name="btnPdf_F-008"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47" name="btnHwpx_F-008"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48" name="btnPrev_F-009"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49" name="btnPdf_F-00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0" name="btnHwpx_F-009"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1" name="btnPrev_F-010"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2" name="btnPdf_F-010"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3" name="btnHwpx_F-010"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54" name="btnPrev_F-011"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55" name="btnPdf_F-011"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56" name="btnHwpx_F-011"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57" name="btnPrev_F-012"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58" name="btnPdf_F-012"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59" name="btnHwpx_F-012"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0" name="btnPrev_F-014"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61" name="btnPdf_F-014"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62" name="btnHwpx_F-014"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63" name="btnPrev_F-015"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64" name="btnPdf_F-015"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65" name="btnHwpx_F-01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66" name="btnPrev_F-016"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67" name="btnPdf_F-016"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68" name="btnHwpx_F-016"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69" name="btnPrev_F-017"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70" name="btnPdf_F-017"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71" name="btnHwpx_F-017"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72" name="btnPrev_F-018"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73" name="btnPdf_F-018"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74" name="btnHwpx_F-018"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75" name="btnPrev_F-019"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76" name="btnPdf_F-019"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77" name="btnHwpx_F-019"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78" name="btnPrev_F-020"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79" name="btnPdf_F-020"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80" name="btnHwpx_F-02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81" name="btnPrev_F-02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82" name="btnPdf_F-021"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83" name="btnHwpx_F-021"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184" name="btnPrev_F-022"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185" name="btnPdf_F-022"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186" name="btnHwpx_F-022"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187" name="btnPrev_F-023"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188" name="btnPdf_F-023"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189" name="btnHwpx_F-023"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190" name="btnPrev_F-024"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191" name="btnPdf_F-024"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192" name="btnHwpx_F-024"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193" name="btnPrev_F-025"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194" name="btnPdf_F-025"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195" name="btnHwpx_F-02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196" name="btnPrev_F-027"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197" name="btnPdf_F-02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198" name="btnHwpx_F-027"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199" name="btnPrev_F-02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00" name="btnPdf_F-029"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01" name="btnHwpx_F-029"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02" name="btnPrev_F-030"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03" name="btnPdf_F-030"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04" name="btnHwpx_F-030"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05" name="btnPrev_F-031"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06" name="btnPdf_F-031"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07" name="btnHwpx_F-031"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08" name="btnPrev_F-032"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09" name="btnPdf_F-032"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10" name="btnHwpx_F-032"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11" name="btnPrev_F-033"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12" name="btnPdf_F-033"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13" name="btnHwpx_F-033"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14" name="btnPrev_F-034"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15" name="btnPdf_F-034"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16" name="btnHwpx_F-034"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17" name="btnPrev_F-035"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18" name="btnPdf_F-035"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19" name="btnHwpx_F-035"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20" name="btnPrev_F-036"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21" name="btnPdf_F-036"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22" name="btnHwpx_F-036"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23" name="btnPrev_F-037"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24" name="btnPdf_F-037"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25" name="btnHwpx_F-037"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26" name="btnPrev_F-038"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27" name="btnPdf_F-038"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28" name="btnHwpx_F-038"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29" name="btnPrev_F-039"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30" name="btnPdf_F-039"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31" name="btnHwpx_F-039"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32" name="btnPrev_F-040"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33" name="btnPdf_F-040"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34" name="btnHwpx_F-040"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35" name="btnPrev_F-041"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36" name="btnPdf_F-041"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37" name="btnHwpx_F-041"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38" name="btnPrev_F-042"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39" name="btnPdf_F-042"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40" name="btnHwpx_F-042"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41" name="btnPrev_F-043"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42" name="btnPdf_F-043"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43" name="btnHwpx_F-043"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44" name="btnPrev_F-04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45" name="btnPdf_F-044"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46" name="btnHwpx_F-044"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47" name="btnPrev_F-04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48" name="btnPdf_F-04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49" name="btnHwpx_F-045"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50" name="btnPrev_F-04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51" name="btnPdf_F-04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52" name="btnHwpx_F-04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53" name="btnPrev_F-04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54" name="btnPdf_F-04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55" name="btnHwpx_F-04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56" name="btnPrev_F-048"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57" name="btnPdf_F-04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58" name="btnHwpx_F-04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259" name="btnPrev_F-049"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260" name="btnPdf_F-049"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261" name="btnHwpx_F-04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262" name="btnPrev_F-050"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263" name="btnPdf_F-050"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264" name="btnHwpx_F-050"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10.xml"/><Relationship Id="rId5" Type="http://schemas.openxmlformats.org/officeDocument/2006/relationships/ctrlProp" Target="../ctrlProps/ctrlProp209.xml"/><Relationship Id="rId4" Type="http://schemas.openxmlformats.org/officeDocument/2006/relationships/ctrlProp" Target="../ctrlProps/ctrlProp20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326.xml"/><Relationship Id="rId21" Type="http://schemas.openxmlformats.org/officeDocument/2006/relationships/ctrlProp" Target="../ctrlProps/ctrlProp230.xml"/><Relationship Id="rId42" Type="http://schemas.openxmlformats.org/officeDocument/2006/relationships/ctrlProp" Target="../ctrlProps/ctrlProp251.xml"/><Relationship Id="rId63" Type="http://schemas.openxmlformats.org/officeDocument/2006/relationships/ctrlProp" Target="../ctrlProps/ctrlProp272.xml"/><Relationship Id="rId84" Type="http://schemas.openxmlformats.org/officeDocument/2006/relationships/ctrlProp" Target="../ctrlProps/ctrlProp293.xml"/><Relationship Id="rId138" Type="http://schemas.openxmlformats.org/officeDocument/2006/relationships/ctrlProp" Target="../ctrlProps/ctrlProp347.xml"/><Relationship Id="rId107" Type="http://schemas.openxmlformats.org/officeDocument/2006/relationships/ctrlProp" Target="../ctrlProps/ctrlProp316.xml"/><Relationship Id="rId11" Type="http://schemas.openxmlformats.org/officeDocument/2006/relationships/ctrlProp" Target="../ctrlProps/ctrlProp220.xml"/><Relationship Id="rId32" Type="http://schemas.openxmlformats.org/officeDocument/2006/relationships/ctrlProp" Target="../ctrlProps/ctrlProp241.xml"/><Relationship Id="rId37" Type="http://schemas.openxmlformats.org/officeDocument/2006/relationships/ctrlProp" Target="../ctrlProps/ctrlProp246.xml"/><Relationship Id="rId53" Type="http://schemas.openxmlformats.org/officeDocument/2006/relationships/ctrlProp" Target="../ctrlProps/ctrlProp262.xml"/><Relationship Id="rId58" Type="http://schemas.openxmlformats.org/officeDocument/2006/relationships/ctrlProp" Target="../ctrlProps/ctrlProp267.xml"/><Relationship Id="rId74" Type="http://schemas.openxmlformats.org/officeDocument/2006/relationships/ctrlProp" Target="../ctrlProps/ctrlProp283.xml"/><Relationship Id="rId79" Type="http://schemas.openxmlformats.org/officeDocument/2006/relationships/ctrlProp" Target="../ctrlProps/ctrlProp288.xml"/><Relationship Id="rId102" Type="http://schemas.openxmlformats.org/officeDocument/2006/relationships/ctrlProp" Target="../ctrlProps/ctrlProp311.xml"/><Relationship Id="rId123" Type="http://schemas.openxmlformats.org/officeDocument/2006/relationships/ctrlProp" Target="../ctrlProps/ctrlProp332.xml"/><Relationship Id="rId128" Type="http://schemas.openxmlformats.org/officeDocument/2006/relationships/ctrlProp" Target="../ctrlProps/ctrlProp337.xml"/><Relationship Id="rId5" Type="http://schemas.openxmlformats.org/officeDocument/2006/relationships/ctrlProp" Target="../ctrlProps/ctrlProp214.xml"/><Relationship Id="rId90" Type="http://schemas.openxmlformats.org/officeDocument/2006/relationships/ctrlProp" Target="../ctrlProps/ctrlProp299.xml"/><Relationship Id="rId95" Type="http://schemas.openxmlformats.org/officeDocument/2006/relationships/ctrlProp" Target="../ctrlProps/ctrlProp304.xml"/><Relationship Id="rId22" Type="http://schemas.openxmlformats.org/officeDocument/2006/relationships/ctrlProp" Target="../ctrlProps/ctrlProp231.xml"/><Relationship Id="rId27" Type="http://schemas.openxmlformats.org/officeDocument/2006/relationships/ctrlProp" Target="../ctrlProps/ctrlProp236.xml"/><Relationship Id="rId43" Type="http://schemas.openxmlformats.org/officeDocument/2006/relationships/ctrlProp" Target="../ctrlProps/ctrlProp252.xml"/><Relationship Id="rId48" Type="http://schemas.openxmlformats.org/officeDocument/2006/relationships/ctrlProp" Target="../ctrlProps/ctrlProp257.xml"/><Relationship Id="rId64" Type="http://schemas.openxmlformats.org/officeDocument/2006/relationships/ctrlProp" Target="../ctrlProps/ctrlProp273.xml"/><Relationship Id="rId69" Type="http://schemas.openxmlformats.org/officeDocument/2006/relationships/ctrlProp" Target="../ctrlProps/ctrlProp278.xml"/><Relationship Id="rId113" Type="http://schemas.openxmlformats.org/officeDocument/2006/relationships/ctrlProp" Target="../ctrlProps/ctrlProp322.xml"/><Relationship Id="rId118" Type="http://schemas.openxmlformats.org/officeDocument/2006/relationships/ctrlProp" Target="../ctrlProps/ctrlProp327.xml"/><Relationship Id="rId134" Type="http://schemas.openxmlformats.org/officeDocument/2006/relationships/ctrlProp" Target="../ctrlProps/ctrlProp343.xml"/><Relationship Id="rId139" Type="http://schemas.openxmlformats.org/officeDocument/2006/relationships/ctrlProp" Target="../ctrlProps/ctrlProp348.xml"/><Relationship Id="rId80" Type="http://schemas.openxmlformats.org/officeDocument/2006/relationships/ctrlProp" Target="../ctrlProps/ctrlProp289.xml"/><Relationship Id="rId85" Type="http://schemas.openxmlformats.org/officeDocument/2006/relationships/ctrlProp" Target="../ctrlProps/ctrlProp294.xml"/><Relationship Id="rId12" Type="http://schemas.openxmlformats.org/officeDocument/2006/relationships/ctrlProp" Target="../ctrlProps/ctrlProp221.xml"/><Relationship Id="rId17" Type="http://schemas.openxmlformats.org/officeDocument/2006/relationships/ctrlProp" Target="../ctrlProps/ctrlProp226.xml"/><Relationship Id="rId33" Type="http://schemas.openxmlformats.org/officeDocument/2006/relationships/ctrlProp" Target="../ctrlProps/ctrlProp242.xml"/><Relationship Id="rId38" Type="http://schemas.openxmlformats.org/officeDocument/2006/relationships/ctrlProp" Target="../ctrlProps/ctrlProp247.xml"/><Relationship Id="rId59" Type="http://schemas.openxmlformats.org/officeDocument/2006/relationships/ctrlProp" Target="../ctrlProps/ctrlProp268.xml"/><Relationship Id="rId103" Type="http://schemas.openxmlformats.org/officeDocument/2006/relationships/ctrlProp" Target="../ctrlProps/ctrlProp312.xml"/><Relationship Id="rId108" Type="http://schemas.openxmlformats.org/officeDocument/2006/relationships/ctrlProp" Target="../ctrlProps/ctrlProp317.xml"/><Relationship Id="rId124" Type="http://schemas.openxmlformats.org/officeDocument/2006/relationships/ctrlProp" Target="../ctrlProps/ctrlProp333.xml"/><Relationship Id="rId129" Type="http://schemas.openxmlformats.org/officeDocument/2006/relationships/ctrlProp" Target="../ctrlProps/ctrlProp338.xml"/><Relationship Id="rId54" Type="http://schemas.openxmlformats.org/officeDocument/2006/relationships/ctrlProp" Target="../ctrlProps/ctrlProp263.xml"/><Relationship Id="rId70" Type="http://schemas.openxmlformats.org/officeDocument/2006/relationships/ctrlProp" Target="../ctrlProps/ctrlProp279.xml"/><Relationship Id="rId75" Type="http://schemas.openxmlformats.org/officeDocument/2006/relationships/ctrlProp" Target="../ctrlProps/ctrlProp284.xml"/><Relationship Id="rId91" Type="http://schemas.openxmlformats.org/officeDocument/2006/relationships/ctrlProp" Target="../ctrlProps/ctrlProp300.xml"/><Relationship Id="rId96" Type="http://schemas.openxmlformats.org/officeDocument/2006/relationships/ctrlProp" Target="../ctrlProps/ctrlProp305.xml"/><Relationship Id="rId140" Type="http://schemas.openxmlformats.org/officeDocument/2006/relationships/ctrlProp" Target="../ctrlProps/ctrlProp349.xml"/><Relationship Id="rId1" Type="http://schemas.openxmlformats.org/officeDocument/2006/relationships/drawing" Target="../drawings/drawing5.xml"/><Relationship Id="rId6" Type="http://schemas.openxmlformats.org/officeDocument/2006/relationships/ctrlProp" Target="../ctrlProps/ctrlProp215.xml"/><Relationship Id="rId23" Type="http://schemas.openxmlformats.org/officeDocument/2006/relationships/ctrlProp" Target="../ctrlProps/ctrlProp232.xml"/><Relationship Id="rId28" Type="http://schemas.openxmlformats.org/officeDocument/2006/relationships/ctrlProp" Target="../ctrlProps/ctrlProp237.xml"/><Relationship Id="rId49" Type="http://schemas.openxmlformats.org/officeDocument/2006/relationships/ctrlProp" Target="../ctrlProps/ctrlProp258.xml"/><Relationship Id="rId114" Type="http://schemas.openxmlformats.org/officeDocument/2006/relationships/ctrlProp" Target="../ctrlProps/ctrlProp323.xml"/><Relationship Id="rId119" Type="http://schemas.openxmlformats.org/officeDocument/2006/relationships/ctrlProp" Target="../ctrlProps/ctrlProp328.xml"/><Relationship Id="rId44" Type="http://schemas.openxmlformats.org/officeDocument/2006/relationships/ctrlProp" Target="../ctrlProps/ctrlProp253.xml"/><Relationship Id="rId60" Type="http://schemas.openxmlformats.org/officeDocument/2006/relationships/ctrlProp" Target="../ctrlProps/ctrlProp269.xml"/><Relationship Id="rId65" Type="http://schemas.openxmlformats.org/officeDocument/2006/relationships/ctrlProp" Target="../ctrlProps/ctrlProp274.xml"/><Relationship Id="rId81" Type="http://schemas.openxmlformats.org/officeDocument/2006/relationships/ctrlProp" Target="../ctrlProps/ctrlProp290.xml"/><Relationship Id="rId86" Type="http://schemas.openxmlformats.org/officeDocument/2006/relationships/ctrlProp" Target="../ctrlProps/ctrlProp295.xml"/><Relationship Id="rId130" Type="http://schemas.openxmlformats.org/officeDocument/2006/relationships/ctrlProp" Target="../ctrlProps/ctrlProp339.xml"/><Relationship Id="rId135" Type="http://schemas.openxmlformats.org/officeDocument/2006/relationships/ctrlProp" Target="../ctrlProps/ctrlProp344.xml"/><Relationship Id="rId13" Type="http://schemas.openxmlformats.org/officeDocument/2006/relationships/ctrlProp" Target="../ctrlProps/ctrlProp222.xml"/><Relationship Id="rId18" Type="http://schemas.openxmlformats.org/officeDocument/2006/relationships/ctrlProp" Target="../ctrlProps/ctrlProp227.xml"/><Relationship Id="rId39" Type="http://schemas.openxmlformats.org/officeDocument/2006/relationships/ctrlProp" Target="../ctrlProps/ctrlProp248.xml"/><Relationship Id="rId109" Type="http://schemas.openxmlformats.org/officeDocument/2006/relationships/ctrlProp" Target="../ctrlProps/ctrlProp318.xml"/><Relationship Id="rId34" Type="http://schemas.openxmlformats.org/officeDocument/2006/relationships/ctrlProp" Target="../ctrlProps/ctrlProp243.xml"/><Relationship Id="rId50" Type="http://schemas.openxmlformats.org/officeDocument/2006/relationships/ctrlProp" Target="../ctrlProps/ctrlProp259.xml"/><Relationship Id="rId55" Type="http://schemas.openxmlformats.org/officeDocument/2006/relationships/ctrlProp" Target="../ctrlProps/ctrlProp264.xml"/><Relationship Id="rId76" Type="http://schemas.openxmlformats.org/officeDocument/2006/relationships/ctrlProp" Target="../ctrlProps/ctrlProp285.xml"/><Relationship Id="rId97" Type="http://schemas.openxmlformats.org/officeDocument/2006/relationships/ctrlProp" Target="../ctrlProps/ctrlProp306.xml"/><Relationship Id="rId104" Type="http://schemas.openxmlformats.org/officeDocument/2006/relationships/ctrlProp" Target="../ctrlProps/ctrlProp313.xml"/><Relationship Id="rId120" Type="http://schemas.openxmlformats.org/officeDocument/2006/relationships/ctrlProp" Target="../ctrlProps/ctrlProp329.xml"/><Relationship Id="rId125" Type="http://schemas.openxmlformats.org/officeDocument/2006/relationships/ctrlProp" Target="../ctrlProps/ctrlProp334.xml"/><Relationship Id="rId141" Type="http://schemas.openxmlformats.org/officeDocument/2006/relationships/ctrlProp" Target="../ctrlProps/ctrlProp350.xml"/><Relationship Id="rId7" Type="http://schemas.openxmlformats.org/officeDocument/2006/relationships/ctrlProp" Target="../ctrlProps/ctrlProp216.xml"/><Relationship Id="rId71" Type="http://schemas.openxmlformats.org/officeDocument/2006/relationships/ctrlProp" Target="../ctrlProps/ctrlProp280.xml"/><Relationship Id="rId92" Type="http://schemas.openxmlformats.org/officeDocument/2006/relationships/ctrlProp" Target="../ctrlProps/ctrlProp301.xml"/><Relationship Id="rId2" Type="http://schemas.openxmlformats.org/officeDocument/2006/relationships/vmlDrawing" Target="../drawings/vmlDrawing4.vml"/><Relationship Id="rId29" Type="http://schemas.openxmlformats.org/officeDocument/2006/relationships/ctrlProp" Target="../ctrlProps/ctrlProp238.xml"/><Relationship Id="rId24" Type="http://schemas.openxmlformats.org/officeDocument/2006/relationships/ctrlProp" Target="../ctrlProps/ctrlProp233.xml"/><Relationship Id="rId40" Type="http://schemas.openxmlformats.org/officeDocument/2006/relationships/ctrlProp" Target="../ctrlProps/ctrlProp249.xml"/><Relationship Id="rId45" Type="http://schemas.openxmlformats.org/officeDocument/2006/relationships/ctrlProp" Target="../ctrlProps/ctrlProp254.xml"/><Relationship Id="rId66" Type="http://schemas.openxmlformats.org/officeDocument/2006/relationships/ctrlProp" Target="../ctrlProps/ctrlProp275.xml"/><Relationship Id="rId87" Type="http://schemas.openxmlformats.org/officeDocument/2006/relationships/ctrlProp" Target="../ctrlProps/ctrlProp296.xml"/><Relationship Id="rId110" Type="http://schemas.openxmlformats.org/officeDocument/2006/relationships/ctrlProp" Target="../ctrlProps/ctrlProp319.xml"/><Relationship Id="rId115" Type="http://schemas.openxmlformats.org/officeDocument/2006/relationships/ctrlProp" Target="../ctrlProps/ctrlProp324.xml"/><Relationship Id="rId131" Type="http://schemas.openxmlformats.org/officeDocument/2006/relationships/ctrlProp" Target="../ctrlProps/ctrlProp340.xml"/><Relationship Id="rId136" Type="http://schemas.openxmlformats.org/officeDocument/2006/relationships/ctrlProp" Target="../ctrlProps/ctrlProp345.xml"/><Relationship Id="rId61" Type="http://schemas.openxmlformats.org/officeDocument/2006/relationships/ctrlProp" Target="../ctrlProps/ctrlProp270.xml"/><Relationship Id="rId82" Type="http://schemas.openxmlformats.org/officeDocument/2006/relationships/ctrlProp" Target="../ctrlProps/ctrlProp291.xml"/><Relationship Id="rId19" Type="http://schemas.openxmlformats.org/officeDocument/2006/relationships/ctrlProp" Target="../ctrlProps/ctrlProp228.xml"/><Relationship Id="rId14" Type="http://schemas.openxmlformats.org/officeDocument/2006/relationships/ctrlProp" Target="../ctrlProps/ctrlProp223.xml"/><Relationship Id="rId30" Type="http://schemas.openxmlformats.org/officeDocument/2006/relationships/ctrlProp" Target="../ctrlProps/ctrlProp239.xml"/><Relationship Id="rId35" Type="http://schemas.openxmlformats.org/officeDocument/2006/relationships/ctrlProp" Target="../ctrlProps/ctrlProp244.xml"/><Relationship Id="rId56" Type="http://schemas.openxmlformats.org/officeDocument/2006/relationships/ctrlProp" Target="../ctrlProps/ctrlProp265.xml"/><Relationship Id="rId77" Type="http://schemas.openxmlformats.org/officeDocument/2006/relationships/ctrlProp" Target="../ctrlProps/ctrlProp286.xml"/><Relationship Id="rId100" Type="http://schemas.openxmlformats.org/officeDocument/2006/relationships/ctrlProp" Target="../ctrlProps/ctrlProp309.xml"/><Relationship Id="rId105" Type="http://schemas.openxmlformats.org/officeDocument/2006/relationships/ctrlProp" Target="../ctrlProps/ctrlProp314.xml"/><Relationship Id="rId126" Type="http://schemas.openxmlformats.org/officeDocument/2006/relationships/ctrlProp" Target="../ctrlProps/ctrlProp335.xml"/><Relationship Id="rId8" Type="http://schemas.openxmlformats.org/officeDocument/2006/relationships/ctrlProp" Target="../ctrlProps/ctrlProp217.xml"/><Relationship Id="rId51" Type="http://schemas.openxmlformats.org/officeDocument/2006/relationships/ctrlProp" Target="../ctrlProps/ctrlProp260.xml"/><Relationship Id="rId72" Type="http://schemas.openxmlformats.org/officeDocument/2006/relationships/ctrlProp" Target="../ctrlProps/ctrlProp281.xml"/><Relationship Id="rId93" Type="http://schemas.openxmlformats.org/officeDocument/2006/relationships/ctrlProp" Target="../ctrlProps/ctrlProp302.xml"/><Relationship Id="rId98" Type="http://schemas.openxmlformats.org/officeDocument/2006/relationships/ctrlProp" Target="../ctrlProps/ctrlProp307.xml"/><Relationship Id="rId121" Type="http://schemas.openxmlformats.org/officeDocument/2006/relationships/ctrlProp" Target="../ctrlProps/ctrlProp330.xml"/><Relationship Id="rId142" Type="http://schemas.openxmlformats.org/officeDocument/2006/relationships/ctrlProp" Target="../ctrlProps/ctrlProp351.xml"/><Relationship Id="rId3" Type="http://schemas.openxmlformats.org/officeDocument/2006/relationships/ctrlProp" Target="../ctrlProps/ctrlProp212.xml"/><Relationship Id="rId25" Type="http://schemas.openxmlformats.org/officeDocument/2006/relationships/ctrlProp" Target="../ctrlProps/ctrlProp234.xml"/><Relationship Id="rId46" Type="http://schemas.openxmlformats.org/officeDocument/2006/relationships/ctrlProp" Target="../ctrlProps/ctrlProp255.xml"/><Relationship Id="rId67" Type="http://schemas.openxmlformats.org/officeDocument/2006/relationships/ctrlProp" Target="../ctrlProps/ctrlProp276.xml"/><Relationship Id="rId116" Type="http://schemas.openxmlformats.org/officeDocument/2006/relationships/ctrlProp" Target="../ctrlProps/ctrlProp325.xml"/><Relationship Id="rId137" Type="http://schemas.openxmlformats.org/officeDocument/2006/relationships/ctrlProp" Target="../ctrlProps/ctrlProp346.xml"/><Relationship Id="rId20" Type="http://schemas.openxmlformats.org/officeDocument/2006/relationships/ctrlProp" Target="../ctrlProps/ctrlProp229.xml"/><Relationship Id="rId41" Type="http://schemas.openxmlformats.org/officeDocument/2006/relationships/ctrlProp" Target="../ctrlProps/ctrlProp250.xml"/><Relationship Id="rId62" Type="http://schemas.openxmlformats.org/officeDocument/2006/relationships/ctrlProp" Target="../ctrlProps/ctrlProp271.xml"/><Relationship Id="rId83" Type="http://schemas.openxmlformats.org/officeDocument/2006/relationships/ctrlProp" Target="../ctrlProps/ctrlProp292.xml"/><Relationship Id="rId88" Type="http://schemas.openxmlformats.org/officeDocument/2006/relationships/ctrlProp" Target="../ctrlProps/ctrlProp297.xml"/><Relationship Id="rId111" Type="http://schemas.openxmlformats.org/officeDocument/2006/relationships/ctrlProp" Target="../ctrlProps/ctrlProp320.xml"/><Relationship Id="rId132" Type="http://schemas.openxmlformats.org/officeDocument/2006/relationships/ctrlProp" Target="../ctrlProps/ctrlProp341.xml"/><Relationship Id="rId15" Type="http://schemas.openxmlformats.org/officeDocument/2006/relationships/ctrlProp" Target="../ctrlProps/ctrlProp224.xml"/><Relationship Id="rId36" Type="http://schemas.openxmlformats.org/officeDocument/2006/relationships/ctrlProp" Target="../ctrlProps/ctrlProp245.xml"/><Relationship Id="rId57" Type="http://schemas.openxmlformats.org/officeDocument/2006/relationships/ctrlProp" Target="../ctrlProps/ctrlProp266.xml"/><Relationship Id="rId106" Type="http://schemas.openxmlformats.org/officeDocument/2006/relationships/ctrlProp" Target="../ctrlProps/ctrlProp315.xml"/><Relationship Id="rId127" Type="http://schemas.openxmlformats.org/officeDocument/2006/relationships/ctrlProp" Target="../ctrlProps/ctrlProp336.xml"/><Relationship Id="rId10" Type="http://schemas.openxmlformats.org/officeDocument/2006/relationships/ctrlProp" Target="../ctrlProps/ctrlProp219.xml"/><Relationship Id="rId31" Type="http://schemas.openxmlformats.org/officeDocument/2006/relationships/ctrlProp" Target="../ctrlProps/ctrlProp240.xml"/><Relationship Id="rId52" Type="http://schemas.openxmlformats.org/officeDocument/2006/relationships/ctrlProp" Target="../ctrlProps/ctrlProp261.xml"/><Relationship Id="rId73" Type="http://schemas.openxmlformats.org/officeDocument/2006/relationships/ctrlProp" Target="../ctrlProps/ctrlProp282.xml"/><Relationship Id="rId78" Type="http://schemas.openxmlformats.org/officeDocument/2006/relationships/ctrlProp" Target="../ctrlProps/ctrlProp287.xml"/><Relationship Id="rId94" Type="http://schemas.openxmlformats.org/officeDocument/2006/relationships/ctrlProp" Target="../ctrlProps/ctrlProp303.xml"/><Relationship Id="rId99" Type="http://schemas.openxmlformats.org/officeDocument/2006/relationships/ctrlProp" Target="../ctrlProps/ctrlProp308.xml"/><Relationship Id="rId101" Type="http://schemas.openxmlformats.org/officeDocument/2006/relationships/ctrlProp" Target="../ctrlProps/ctrlProp310.xml"/><Relationship Id="rId122" Type="http://schemas.openxmlformats.org/officeDocument/2006/relationships/ctrlProp" Target="../ctrlProps/ctrlProp331.xml"/><Relationship Id="rId143" Type="http://schemas.openxmlformats.org/officeDocument/2006/relationships/ctrlProp" Target="../ctrlProps/ctrlProp352.xml"/><Relationship Id="rId4" Type="http://schemas.openxmlformats.org/officeDocument/2006/relationships/ctrlProp" Target="../ctrlProps/ctrlProp213.xml"/><Relationship Id="rId9" Type="http://schemas.openxmlformats.org/officeDocument/2006/relationships/ctrlProp" Target="../ctrlProps/ctrlProp218.xml"/><Relationship Id="rId26" Type="http://schemas.openxmlformats.org/officeDocument/2006/relationships/ctrlProp" Target="../ctrlProps/ctrlProp235.xml"/><Relationship Id="rId47" Type="http://schemas.openxmlformats.org/officeDocument/2006/relationships/ctrlProp" Target="../ctrlProps/ctrlProp256.xml"/><Relationship Id="rId68" Type="http://schemas.openxmlformats.org/officeDocument/2006/relationships/ctrlProp" Target="../ctrlProps/ctrlProp277.xml"/><Relationship Id="rId89" Type="http://schemas.openxmlformats.org/officeDocument/2006/relationships/ctrlProp" Target="../ctrlProps/ctrlProp298.xml"/><Relationship Id="rId112" Type="http://schemas.openxmlformats.org/officeDocument/2006/relationships/ctrlProp" Target="../ctrlProps/ctrlProp321.xml"/><Relationship Id="rId133" Type="http://schemas.openxmlformats.org/officeDocument/2006/relationships/ctrlProp" Target="../ctrlProps/ctrlProp342.xml"/><Relationship Id="rId16" Type="http://schemas.openxmlformats.org/officeDocument/2006/relationships/ctrlProp" Target="../ctrlProps/ctrlProp22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3.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35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5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357.xml"/><Relationship Id="rId4" Type="http://schemas.openxmlformats.org/officeDocument/2006/relationships/ctrlProp" Target="../ctrlProps/ctrlProp35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359.xml"/><Relationship Id="rId4" Type="http://schemas.openxmlformats.org/officeDocument/2006/relationships/ctrlProp" Target="../ctrlProps/ctrlProp3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361.xml"/><Relationship Id="rId4" Type="http://schemas.openxmlformats.org/officeDocument/2006/relationships/ctrlProp" Target="../ctrlProps/ctrlProp36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ctrlProp" Target="../ctrlProps/ctrlProp363.xml"/><Relationship Id="rId4" Type="http://schemas.openxmlformats.org/officeDocument/2006/relationships/ctrlProp" Target="../ctrlProps/ctrlProp36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ctrlProp" Target="../ctrlProps/ctrlProp365.xml"/><Relationship Id="rId4" Type="http://schemas.openxmlformats.org/officeDocument/2006/relationships/ctrlProp" Target="../ctrlProps/ctrlProp36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trlProp" Target="../ctrlProps/ctrlProp367.xml"/><Relationship Id="rId4" Type="http://schemas.openxmlformats.org/officeDocument/2006/relationships/ctrlProp" Target="../ctrlProps/ctrlProp36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trlProp" Target="../ctrlProps/ctrlProp369.xml"/><Relationship Id="rId4" Type="http://schemas.openxmlformats.org/officeDocument/2006/relationships/ctrlProp" Target="../ctrlProps/ctrlProp36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5" Type="http://schemas.openxmlformats.org/officeDocument/2006/relationships/ctrlProp" Target="../ctrlProps/ctrlProp371.xml"/><Relationship Id="rId4" Type="http://schemas.openxmlformats.org/officeDocument/2006/relationships/ctrlProp" Target="../ctrlProps/ctrlProp37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ctrlProp" Target="../ctrlProps/ctrlProp373.xml"/><Relationship Id="rId4" Type="http://schemas.openxmlformats.org/officeDocument/2006/relationships/ctrlProp" Target="../ctrlProps/ctrlProp37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375.xml"/><Relationship Id="rId4" Type="http://schemas.openxmlformats.org/officeDocument/2006/relationships/ctrlProp" Target="../ctrlProps/ctrlProp3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5.bin"/><Relationship Id="rId5" Type="http://schemas.openxmlformats.org/officeDocument/2006/relationships/ctrlProp" Target="../ctrlProps/ctrlProp377.xml"/><Relationship Id="rId4" Type="http://schemas.openxmlformats.org/officeDocument/2006/relationships/ctrlProp" Target="../ctrlProps/ctrlProp37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6.bin"/><Relationship Id="rId5" Type="http://schemas.openxmlformats.org/officeDocument/2006/relationships/ctrlProp" Target="../ctrlProps/ctrlProp379.xml"/><Relationship Id="rId4" Type="http://schemas.openxmlformats.org/officeDocument/2006/relationships/ctrlProp" Target="../ctrlProps/ctrlProp37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7.bin"/><Relationship Id="rId5" Type="http://schemas.openxmlformats.org/officeDocument/2006/relationships/ctrlProp" Target="../ctrlProps/ctrlProp381.xml"/><Relationship Id="rId4" Type="http://schemas.openxmlformats.org/officeDocument/2006/relationships/ctrlProp" Target="../ctrlProps/ctrlProp38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8.bin"/><Relationship Id="rId5" Type="http://schemas.openxmlformats.org/officeDocument/2006/relationships/ctrlProp" Target="../ctrlProps/ctrlProp383.xml"/><Relationship Id="rId4" Type="http://schemas.openxmlformats.org/officeDocument/2006/relationships/ctrlProp" Target="../ctrlProps/ctrlProp38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19.bin"/><Relationship Id="rId5" Type="http://schemas.openxmlformats.org/officeDocument/2006/relationships/ctrlProp" Target="../ctrlProps/ctrlProp385.xml"/><Relationship Id="rId4" Type="http://schemas.openxmlformats.org/officeDocument/2006/relationships/ctrlProp" Target="../ctrlProps/ctrlProp38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0.bin"/><Relationship Id="rId5" Type="http://schemas.openxmlformats.org/officeDocument/2006/relationships/ctrlProp" Target="../ctrlProps/ctrlProp387.xml"/><Relationship Id="rId4" Type="http://schemas.openxmlformats.org/officeDocument/2006/relationships/ctrlProp" Target="../ctrlProps/ctrlProp38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1.bin"/><Relationship Id="rId5" Type="http://schemas.openxmlformats.org/officeDocument/2006/relationships/ctrlProp" Target="../ctrlProps/ctrlProp389.xml"/><Relationship Id="rId4" Type="http://schemas.openxmlformats.org/officeDocument/2006/relationships/ctrlProp" Target="../ctrlProps/ctrlProp38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2.bin"/><Relationship Id="rId5" Type="http://schemas.openxmlformats.org/officeDocument/2006/relationships/ctrlProp" Target="../ctrlProps/ctrlProp391.xml"/><Relationship Id="rId4" Type="http://schemas.openxmlformats.org/officeDocument/2006/relationships/ctrlProp" Target="../ctrlProps/ctrlProp39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3.bin"/><Relationship Id="rId5" Type="http://schemas.openxmlformats.org/officeDocument/2006/relationships/ctrlProp" Target="../ctrlProps/ctrlProp393.xml"/><Relationship Id="rId4" Type="http://schemas.openxmlformats.org/officeDocument/2006/relationships/ctrlProp" Target="../ctrlProps/ctrlProp39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4.bin"/><Relationship Id="rId5" Type="http://schemas.openxmlformats.org/officeDocument/2006/relationships/ctrlProp" Target="../ctrlProps/ctrlProp395.xml"/><Relationship Id="rId4" Type="http://schemas.openxmlformats.org/officeDocument/2006/relationships/ctrlProp" Target="../ctrlProps/ctrlProp39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5.bin"/><Relationship Id="rId5" Type="http://schemas.openxmlformats.org/officeDocument/2006/relationships/ctrlProp" Target="../ctrlProps/ctrlProp397.xml"/><Relationship Id="rId4" Type="http://schemas.openxmlformats.org/officeDocument/2006/relationships/ctrlProp" Target="../ctrlProps/ctrlProp39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6.bin"/><Relationship Id="rId5" Type="http://schemas.openxmlformats.org/officeDocument/2006/relationships/ctrlProp" Target="../ctrlProps/ctrlProp399.xml"/><Relationship Id="rId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7.bin"/><Relationship Id="rId5" Type="http://schemas.openxmlformats.org/officeDocument/2006/relationships/ctrlProp" Target="../ctrlProps/ctrlProp401.xml"/><Relationship Id="rId4" Type="http://schemas.openxmlformats.org/officeDocument/2006/relationships/ctrlProp" Target="../ctrlProps/ctrlProp4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8.bin"/><Relationship Id="rId5" Type="http://schemas.openxmlformats.org/officeDocument/2006/relationships/ctrlProp" Target="../ctrlProps/ctrlProp403.xml"/><Relationship Id="rId4" Type="http://schemas.openxmlformats.org/officeDocument/2006/relationships/ctrlProp" Target="../ctrlProps/ctrlProp40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29.bin"/><Relationship Id="rId5" Type="http://schemas.openxmlformats.org/officeDocument/2006/relationships/ctrlProp" Target="../ctrlProps/ctrlProp405.xml"/><Relationship Id="rId4" Type="http://schemas.openxmlformats.org/officeDocument/2006/relationships/ctrlProp" Target="../ctrlProps/ctrlProp40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0.bin"/><Relationship Id="rId5" Type="http://schemas.openxmlformats.org/officeDocument/2006/relationships/ctrlProp" Target="../ctrlProps/ctrlProp407.xml"/><Relationship Id="rId4" Type="http://schemas.openxmlformats.org/officeDocument/2006/relationships/ctrlProp" Target="../ctrlProps/ctrlProp406.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1.bin"/><Relationship Id="rId5" Type="http://schemas.openxmlformats.org/officeDocument/2006/relationships/ctrlProp" Target="../ctrlProps/ctrlProp409.xml"/><Relationship Id="rId4" Type="http://schemas.openxmlformats.org/officeDocument/2006/relationships/ctrlProp" Target="../ctrlProps/ctrlProp40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2.bin"/><Relationship Id="rId5" Type="http://schemas.openxmlformats.org/officeDocument/2006/relationships/ctrlProp" Target="../ctrlProps/ctrlProp411.xml"/><Relationship Id="rId4" Type="http://schemas.openxmlformats.org/officeDocument/2006/relationships/ctrlProp" Target="../ctrlProps/ctrlProp41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3.bin"/><Relationship Id="rId5" Type="http://schemas.openxmlformats.org/officeDocument/2006/relationships/ctrlProp" Target="../ctrlProps/ctrlProp413.xml"/><Relationship Id="rId4" Type="http://schemas.openxmlformats.org/officeDocument/2006/relationships/ctrlProp" Target="../ctrlProps/ctrlProp4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4.bin"/><Relationship Id="rId5" Type="http://schemas.openxmlformats.org/officeDocument/2006/relationships/ctrlProp" Target="../ctrlProps/ctrlProp415.xml"/><Relationship Id="rId4" Type="http://schemas.openxmlformats.org/officeDocument/2006/relationships/ctrlProp" Target="../ctrlProps/ctrlProp414.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5.bin"/><Relationship Id="rId5" Type="http://schemas.openxmlformats.org/officeDocument/2006/relationships/ctrlProp" Target="../ctrlProps/ctrlProp417.xml"/><Relationship Id="rId4" Type="http://schemas.openxmlformats.org/officeDocument/2006/relationships/ctrlProp" Target="../ctrlProps/ctrlProp416.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6.bin"/><Relationship Id="rId5" Type="http://schemas.openxmlformats.org/officeDocument/2006/relationships/ctrlProp" Target="../ctrlProps/ctrlProp419.xml"/><Relationship Id="rId4" Type="http://schemas.openxmlformats.org/officeDocument/2006/relationships/ctrlProp" Target="../ctrlProps/ctrlProp41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7.bin"/><Relationship Id="rId5" Type="http://schemas.openxmlformats.org/officeDocument/2006/relationships/ctrlProp" Target="../ctrlProps/ctrlProp421.xml"/><Relationship Id="rId4" Type="http://schemas.openxmlformats.org/officeDocument/2006/relationships/ctrlProp" Target="../ctrlProps/ctrlProp420.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8.bin"/><Relationship Id="rId5" Type="http://schemas.openxmlformats.org/officeDocument/2006/relationships/ctrlProp" Target="../ctrlProps/ctrlProp423.xml"/><Relationship Id="rId4" Type="http://schemas.openxmlformats.org/officeDocument/2006/relationships/ctrlProp" Target="../ctrlProps/ctrlProp422.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39.bin"/><Relationship Id="rId5" Type="http://schemas.openxmlformats.org/officeDocument/2006/relationships/ctrlProp" Target="../ctrlProps/ctrlProp425.xml"/><Relationship Id="rId4" Type="http://schemas.openxmlformats.org/officeDocument/2006/relationships/ctrlProp" Target="../ctrlProps/ctrlProp42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0.bin"/><Relationship Id="rId5" Type="http://schemas.openxmlformats.org/officeDocument/2006/relationships/ctrlProp" Target="../ctrlProps/ctrlProp427.xml"/><Relationship Id="rId4" Type="http://schemas.openxmlformats.org/officeDocument/2006/relationships/ctrlProp" Target="../ctrlProps/ctrlProp42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1.bin"/><Relationship Id="rId5" Type="http://schemas.openxmlformats.org/officeDocument/2006/relationships/ctrlProp" Target="../ctrlProps/ctrlProp429.xml"/><Relationship Id="rId4" Type="http://schemas.openxmlformats.org/officeDocument/2006/relationships/ctrlProp" Target="../ctrlProps/ctrlProp42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2.bin"/><Relationship Id="rId5" Type="http://schemas.openxmlformats.org/officeDocument/2006/relationships/ctrlProp" Target="../ctrlProps/ctrlProp431.xml"/><Relationship Id="rId4" Type="http://schemas.openxmlformats.org/officeDocument/2006/relationships/ctrlProp" Target="../ctrlProps/ctrlProp43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3.bin"/><Relationship Id="rId5" Type="http://schemas.openxmlformats.org/officeDocument/2006/relationships/ctrlProp" Target="../ctrlProps/ctrlProp433.xml"/><Relationship Id="rId4" Type="http://schemas.openxmlformats.org/officeDocument/2006/relationships/ctrlProp" Target="../ctrlProps/ctrlProp43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4.bin"/><Relationship Id="rId5" Type="http://schemas.openxmlformats.org/officeDocument/2006/relationships/ctrlProp" Target="../ctrlProps/ctrlProp435.xml"/><Relationship Id="rId4" Type="http://schemas.openxmlformats.org/officeDocument/2006/relationships/ctrlProp" Target="../ctrlProps/ctrlProp43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5.bin"/><Relationship Id="rId5" Type="http://schemas.openxmlformats.org/officeDocument/2006/relationships/ctrlProp" Target="../ctrlProps/ctrlProp437.xml"/><Relationship Id="rId4" Type="http://schemas.openxmlformats.org/officeDocument/2006/relationships/ctrlProp" Target="../ctrlProps/ctrlProp43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6.bin"/><Relationship Id="rId5" Type="http://schemas.openxmlformats.org/officeDocument/2006/relationships/ctrlProp" Target="../ctrlProps/ctrlProp439.xml"/><Relationship Id="rId4" Type="http://schemas.openxmlformats.org/officeDocument/2006/relationships/ctrlProp" Target="../ctrlProps/ctrlProp43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7.bin"/><Relationship Id="rId5" Type="http://schemas.openxmlformats.org/officeDocument/2006/relationships/ctrlProp" Target="../ctrlProps/ctrlProp441.xml"/><Relationship Id="rId4" Type="http://schemas.openxmlformats.org/officeDocument/2006/relationships/ctrlProp" Target="../ctrlProps/ctrlProp44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8.bin"/><Relationship Id="rId5" Type="http://schemas.openxmlformats.org/officeDocument/2006/relationships/ctrlProp" Target="../ctrlProps/ctrlProp443.xml"/><Relationship Id="rId4" Type="http://schemas.openxmlformats.org/officeDocument/2006/relationships/ctrlProp" Target="../ctrlProps/ctrlProp44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49.bin"/><Relationship Id="rId5" Type="http://schemas.openxmlformats.org/officeDocument/2006/relationships/ctrlProp" Target="../ctrlProps/ctrlProp445.xml"/><Relationship Id="rId4" Type="http://schemas.openxmlformats.org/officeDocument/2006/relationships/ctrlProp" Target="../ctrlProps/ctrlProp44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0.bin"/><Relationship Id="rId5" Type="http://schemas.openxmlformats.org/officeDocument/2006/relationships/ctrlProp" Target="../ctrlProps/ctrlProp447.xml"/><Relationship Id="rId4" Type="http://schemas.openxmlformats.org/officeDocument/2006/relationships/ctrlProp" Target="../ctrlProps/ctrlProp446.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BFED-5CAF-4DD8-8F7B-1F73FC9570A5}">
  <sheetPr codeName="Sheet1">
    <pageSetUpPr fitToPage="1"/>
  </sheetPr>
  <dimension ref="A1:A14"/>
  <sheetViews>
    <sheetView showGridLines="0" workbookViewId="0">
      <selection sqref="A1:H2"/>
    </sheetView>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ht="31.05" customHeight="1" x14ac:dyDescent="0.4"/>
    <row r="2" ht="31.05" customHeight="1" x14ac:dyDescent="0.4"/>
    <row r="3" ht="28.05" customHeight="1" x14ac:dyDescent="0.4"/>
    <row r="5" ht="25.05" customHeight="1" x14ac:dyDescent="0.4"/>
    <row r="6" ht="25.05" customHeight="1" x14ac:dyDescent="0.4"/>
    <row r="7" ht="25.05" customHeight="1" x14ac:dyDescent="0.4"/>
    <row r="8" ht="25.05" customHeight="1" x14ac:dyDescent="0.4"/>
    <row r="11" ht="28.05" customHeight="1" x14ac:dyDescent="0.4"/>
    <row r="12" ht="28.05" customHeight="1" x14ac:dyDescent="0.4"/>
    <row r="14" ht="17.399999999999999" customHeight="1" x14ac:dyDescent="0.4"/>
  </sheetData>
  <phoneticPr fontId="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E4137-3A4E-4AA0-88AA-E4DD6C2CFBD0}">
  <sheetPr codeName="Sheet2"/>
  <dimension ref="A1:X82"/>
  <sheetViews>
    <sheetView topLeftCell="A19" workbookViewId="0">
      <selection activeCell="F20" sqref="F20"/>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x14ac:dyDescent="0.4">
      <c r="A1" s="84" t="s">
        <v>0</v>
      </c>
      <c r="B1" s="85"/>
      <c r="C1" s="85"/>
      <c r="D1" s="85"/>
      <c r="E1" s="85"/>
      <c r="F1" s="85"/>
      <c r="G1" s="2" t="s">
        <v>1322</v>
      </c>
      <c r="H1">
        <v>1</v>
      </c>
      <c r="T1" s="88" t="s">
        <v>80</v>
      </c>
      <c r="U1" s="88"/>
      <c r="V1" s="88"/>
      <c r="W1" s="88"/>
    </row>
    <row r="2" spans="1:23" x14ac:dyDescent="0.4">
      <c r="H2" s="1" t="s">
        <v>1</v>
      </c>
      <c r="I2" s="85"/>
      <c r="J2" s="85"/>
      <c r="K2" s="85"/>
      <c r="L2" s="85"/>
    </row>
    <row r="3" spans="1:23" x14ac:dyDescent="0.4">
      <c r="B3" s="1" t="s">
        <v>2</v>
      </c>
    </row>
    <row r="4" spans="1:23" s="77" customFormat="1" x14ac:dyDescent="0.4">
      <c r="A4" s="3" t="s">
        <v>4</v>
      </c>
      <c r="B4" s="77" t="s">
        <v>3</v>
      </c>
      <c r="C4" s="5" t="s">
        <v>1328</v>
      </c>
      <c r="E4" s="83" t="s">
        <v>1339</v>
      </c>
      <c r="F4" s="89" t="str">
        <f>IFERROR(INDEX(학교정보!$F$2:$F$121,MATCH($C$4,학교정보!$E$2:$E$121,0)),"")</f>
        <v/>
      </c>
      <c r="G4" s="89"/>
      <c r="H4" s="89"/>
      <c r="T4" s="79" t="s">
        <v>81</v>
      </c>
      <c r="U4" s="79" t="s">
        <v>82</v>
      </c>
      <c r="V4" s="79" t="s">
        <v>83</v>
      </c>
      <c r="W4" s="79" t="s">
        <v>84</v>
      </c>
    </row>
    <row r="5" spans="1:23" s="77" customFormat="1" x14ac:dyDescent="0.4">
      <c r="A5" s="3" t="s">
        <v>6</v>
      </c>
      <c r="B5" s="77" t="s">
        <v>5</v>
      </c>
      <c r="C5" s="9">
        <v>2026</v>
      </c>
      <c r="E5" s="83" t="s">
        <v>1340</v>
      </c>
      <c r="F5" s="89" t="str">
        <f>IFERROR(INDEX(학교정보!$G$2:$G$121,MATCH($C$4,학교정보!$E$2:$E$121,0)),"")</f>
        <v/>
      </c>
      <c r="G5" s="89"/>
      <c r="H5" s="89"/>
      <c r="T5" s="80"/>
      <c r="U5" s="80" t="str">
        <f>서식선택_출력!B5</f>
        <v>F-001</v>
      </c>
      <c r="V5" s="80" t="str">
        <f>서식선택_출력!C5</f>
        <v>교복선정위원회 구성 기안</v>
      </c>
      <c r="W5" s="80"/>
    </row>
    <row r="6" spans="1:23" s="77" customFormat="1" x14ac:dyDescent="0.4">
      <c r="A6" s="3" t="s">
        <v>8</v>
      </c>
      <c r="B6" s="77" t="s">
        <v>7</v>
      </c>
      <c r="C6" s="5" t="s">
        <v>1329</v>
      </c>
      <c r="T6" s="80"/>
      <c r="U6" s="80" t="str">
        <f>서식선택_출력!B6</f>
        <v>F-002</v>
      </c>
      <c r="V6" s="80" t="str">
        <f>서식선택_출력!C6</f>
        <v>위원 수락 및 확인서</v>
      </c>
      <c r="W6" s="80"/>
    </row>
    <row r="7" spans="1:23" s="77" customFormat="1" x14ac:dyDescent="0.4">
      <c r="A7" s="3" t="s">
        <v>10</v>
      </c>
      <c r="B7" s="77" t="s">
        <v>9</v>
      </c>
      <c r="C7" s="5" t="s">
        <v>1330</v>
      </c>
      <c r="T7" s="80"/>
      <c r="U7" s="80" t="str">
        <f>서식선택_출력!B7</f>
        <v>F-003</v>
      </c>
      <c r="V7" s="80" t="str">
        <f>서식선택_출력!C7</f>
        <v>위원 청렴 및 보안 서약서</v>
      </c>
      <c r="W7" s="80"/>
    </row>
    <row r="8" spans="1:23" s="77" customFormat="1" x14ac:dyDescent="0.4">
      <c r="A8" s="3" t="s">
        <v>12</v>
      </c>
      <c r="B8" s="77" t="s">
        <v>11</v>
      </c>
      <c r="C8" s="12">
        <v>46023</v>
      </c>
      <c r="T8" s="80"/>
      <c r="U8" s="80" t="str">
        <f>서식선택_출력!B8</f>
        <v>F-004</v>
      </c>
      <c r="V8" s="80" t="str">
        <f>서식선택_출력!C8</f>
        <v>구매 추진 계획 수립</v>
      </c>
      <c r="W8" s="80"/>
    </row>
    <row r="9" spans="1:23" s="77" customFormat="1" x14ac:dyDescent="0.4">
      <c r="A9" s="3" t="s">
        <v>14</v>
      </c>
      <c r="B9" s="77" t="s">
        <v>13</v>
      </c>
      <c r="C9" s="5" t="s">
        <v>1331</v>
      </c>
      <c r="T9" s="80"/>
      <c r="U9" s="80" t="str">
        <f>서식선택_출력!B9</f>
        <v>F-005</v>
      </c>
      <c r="V9" s="80" t="str">
        <f>서식선택_출력!C9</f>
        <v>구매 추진 계획안</v>
      </c>
      <c r="W9" s="80"/>
    </row>
    <row r="10" spans="1:23" s="77" customFormat="1" x14ac:dyDescent="0.4">
      <c r="A10" s="3" t="s">
        <v>15</v>
      </c>
      <c r="B10" s="77" t="s">
        <v>16</v>
      </c>
      <c r="C10" s="5" t="s">
        <v>1323</v>
      </c>
      <c r="D10" s="3" t="s">
        <v>17</v>
      </c>
      <c r="E10" s="77" t="s">
        <v>18</v>
      </c>
      <c r="F10" s="5" t="s">
        <v>1324</v>
      </c>
      <c r="T10" s="80"/>
      <c r="U10" s="80" t="str">
        <f>서식선택_출력!B10</f>
        <v>F-006</v>
      </c>
      <c r="V10" s="80" t="str">
        <f>서식선택_출력!C10</f>
        <v>학교운영위원회 심의(안)</v>
      </c>
      <c r="W10" s="80"/>
    </row>
    <row r="11" spans="1:23" s="77" customFormat="1" x14ac:dyDescent="0.4">
      <c r="B11" s="78" t="s">
        <v>19</v>
      </c>
      <c r="T11" s="80"/>
      <c r="U11" s="80" t="str">
        <f>서식선택_출력!B11</f>
        <v>F-007</v>
      </c>
      <c r="V11" s="80" t="str">
        <f>서식선택_출력!C11</f>
        <v>교복구매 구매 요청</v>
      </c>
      <c r="W11" s="80"/>
    </row>
    <row r="12" spans="1:23" s="77" customFormat="1" x14ac:dyDescent="0.4">
      <c r="A12" s="3" t="s">
        <v>21</v>
      </c>
      <c r="B12" s="77" t="s">
        <v>20</v>
      </c>
      <c r="C12" s="5" t="s">
        <v>1332</v>
      </c>
      <c r="T12" s="80"/>
      <c r="U12" s="80" t="str">
        <f>서식선택_출력!B12</f>
        <v>F-008</v>
      </c>
      <c r="V12" s="80" t="str">
        <f>서식선택_출력!C12</f>
        <v>교복 사양서</v>
      </c>
      <c r="W12" s="80"/>
    </row>
    <row r="13" spans="1:23" s="77" customFormat="1" x14ac:dyDescent="0.4">
      <c r="A13" s="3" t="s">
        <v>23</v>
      </c>
      <c r="B13" s="77" t="s">
        <v>22</v>
      </c>
      <c r="C13" s="5">
        <v>1</v>
      </c>
      <c r="T13" s="80"/>
      <c r="U13" s="80" t="str">
        <f>서식선택_출력!B13</f>
        <v>F-009</v>
      </c>
      <c r="V13" s="80" t="str">
        <f>서식선택_출력!C13</f>
        <v>기초금액 및 계약방법 결정</v>
      </c>
      <c r="W13" s="80"/>
    </row>
    <row r="14" spans="1:23" s="77" customFormat="1" x14ac:dyDescent="0.4">
      <c r="A14" s="3" t="s">
        <v>25</v>
      </c>
      <c r="B14" s="77" t="s">
        <v>24</v>
      </c>
      <c r="C14" s="5" t="s">
        <v>1341</v>
      </c>
      <c r="T14" s="80"/>
      <c r="U14" s="80" t="str">
        <f>서식선택_출력!B14</f>
        <v>F-010</v>
      </c>
      <c r="V14" s="80" t="str">
        <f>서식선택_출력!C14</f>
        <v>사전규격공개 기안문</v>
      </c>
      <c r="W14" s="80"/>
    </row>
    <row r="15" spans="1:23" s="77" customFormat="1" x14ac:dyDescent="0.4">
      <c r="A15" s="3" t="s">
        <v>27</v>
      </c>
      <c r="B15" s="77" t="s">
        <v>26</v>
      </c>
      <c r="C15" s="13">
        <v>20000000</v>
      </c>
      <c r="T15" s="80"/>
      <c r="U15" s="80" t="str">
        <f>서식선택_출력!B15</f>
        <v>F-011</v>
      </c>
      <c r="V15" s="80" t="str">
        <f>서식선택_출력!C15</f>
        <v>교복 학교주관구매 입찰 공고</v>
      </c>
      <c r="W15" s="80"/>
    </row>
    <row r="16" spans="1:23" s="77" customFormat="1" x14ac:dyDescent="0.4">
      <c r="A16" s="3" t="s">
        <v>29</v>
      </c>
      <c r="B16" s="77" t="s">
        <v>28</v>
      </c>
      <c r="C16" s="9">
        <v>200</v>
      </c>
      <c r="T16" s="80"/>
      <c r="U16" s="80" t="str">
        <f>서식선택_출력!B16</f>
        <v>F-012</v>
      </c>
      <c r="V16" s="80" t="str">
        <f>서식선택_출력!C16</f>
        <v>계약 특수조건</v>
      </c>
      <c r="W16" s="80"/>
    </row>
    <row r="17" spans="1:23" s="77" customFormat="1" x14ac:dyDescent="0.4">
      <c r="A17" s="3" t="s">
        <v>31</v>
      </c>
      <c r="B17" s="77" t="s">
        <v>30</v>
      </c>
      <c r="C17" s="12">
        <v>46388</v>
      </c>
      <c r="T17" s="80"/>
      <c r="U17" s="80" t="str">
        <f>서식선택_출력!B17</f>
        <v>F-013</v>
      </c>
      <c r="V17" s="80" t="str">
        <f>서식선택_출력!C17</f>
        <v>교복 디자인 및 규격서</v>
      </c>
      <c r="W17" s="80"/>
    </row>
    <row r="18" spans="1:23" s="77" customFormat="1" x14ac:dyDescent="0.4">
      <c r="A18" s="3" t="s">
        <v>33</v>
      </c>
      <c r="B18" s="77" t="s">
        <v>32</v>
      </c>
      <c r="C18" s="12">
        <v>46388</v>
      </c>
      <c r="T18" s="80"/>
      <c r="U18" s="80" t="str">
        <f>서식선택_출력!B18</f>
        <v>F-014</v>
      </c>
      <c r="V18" s="80" t="str">
        <f>서식선택_출력!C18</f>
        <v>제안서 평가항목 및 배점기준</v>
      </c>
      <c r="W18" s="80"/>
    </row>
    <row r="19" spans="1:23" s="77" customFormat="1" x14ac:dyDescent="0.4">
      <c r="T19" s="80"/>
      <c r="U19" s="80" t="str">
        <f>서식선택_출력!B19</f>
        <v>F-015</v>
      </c>
      <c r="V19" s="80" t="str">
        <f>서식선택_출력!C19</f>
        <v>정량적 평가</v>
      </c>
      <c r="W19" s="80"/>
    </row>
    <row r="20" spans="1:23" s="77" customFormat="1" x14ac:dyDescent="0.4">
      <c r="B20" s="78" t="s">
        <v>34</v>
      </c>
      <c r="T20" s="80"/>
      <c r="U20" s="80" t="str">
        <f>서식선택_출력!B20</f>
        <v>F-016</v>
      </c>
      <c r="V20" s="80" t="str">
        <f>서식선택_출력!C20</f>
        <v>정성적 평가</v>
      </c>
      <c r="W20" s="80"/>
    </row>
    <row r="21" spans="1:23" s="77" customFormat="1" x14ac:dyDescent="0.4">
      <c r="A21" s="3" t="s">
        <v>36</v>
      </c>
      <c r="B21" s="77" t="s">
        <v>35</v>
      </c>
      <c r="C21" s="5"/>
      <c r="T21" s="80"/>
      <c r="U21" s="80" t="str">
        <f>서식선택_출력!B21</f>
        <v>F-017</v>
      </c>
      <c r="V21" s="80" t="str">
        <f>서식선택_출력!C21</f>
        <v>제출서류 자기확인서</v>
      </c>
      <c r="W21" s="80"/>
    </row>
    <row r="22" spans="1:23" s="77" customFormat="1" x14ac:dyDescent="0.4">
      <c r="A22" s="3" t="s">
        <v>38</v>
      </c>
      <c r="B22" s="77" t="s">
        <v>37</v>
      </c>
      <c r="C22" s="5" t="s">
        <v>1332</v>
      </c>
      <c r="T22" s="80"/>
      <c r="U22" s="80" t="str">
        <f>서식선택_출력!B22</f>
        <v>F-018</v>
      </c>
      <c r="V22" s="80" t="str">
        <f>서식선택_출력!C22</f>
        <v>정량적 평가 자기 평점표</v>
      </c>
      <c r="W22" s="80"/>
    </row>
    <row r="23" spans="1:23" s="77" customFormat="1" x14ac:dyDescent="0.4">
      <c r="A23" s="3" t="s">
        <v>40</v>
      </c>
      <c r="B23" s="77" t="s">
        <v>39</v>
      </c>
      <c r="C23" s="5" t="s">
        <v>1331</v>
      </c>
      <c r="T23" s="80"/>
      <c r="U23" s="80" t="str">
        <f>서식선택_출력!B23</f>
        <v>F-019</v>
      </c>
      <c r="V23" s="80" t="str">
        <f>서식선택_출력!C23</f>
        <v>입찰참가신청서</v>
      </c>
      <c r="W23" s="80"/>
    </row>
    <row r="24" spans="1:23" s="77" customFormat="1" x14ac:dyDescent="0.4">
      <c r="A24" s="3" t="s">
        <v>42</v>
      </c>
      <c r="B24" s="77" t="s">
        <v>41</v>
      </c>
      <c r="C24" s="5"/>
      <c r="T24" s="80"/>
      <c r="U24" s="80" t="str">
        <f>서식선택_출력!B24</f>
        <v>F-020</v>
      </c>
      <c r="V24" s="80" t="str">
        <f>서식선택_출력!C24</f>
        <v>입찰 참가 신고서</v>
      </c>
      <c r="W24" s="80"/>
    </row>
    <row r="25" spans="1:23" s="77" customFormat="1" ht="60" customHeight="1" x14ac:dyDescent="0.4">
      <c r="A25" s="3" t="s">
        <v>44</v>
      </c>
      <c r="B25" s="77" t="s">
        <v>43</v>
      </c>
      <c r="C25" s="86"/>
      <c r="D25" s="87"/>
      <c r="E25" s="87"/>
      <c r="F25" s="87"/>
      <c r="T25" s="80"/>
      <c r="U25" s="80" t="str">
        <f>서식선택_출력!B25</f>
        <v>F-021</v>
      </c>
      <c r="V25" s="80" t="str">
        <f>서식선택_출력!C25</f>
        <v>교복 납품 제안서</v>
      </c>
      <c r="W25" s="80"/>
    </row>
    <row r="26" spans="1:23" s="77" customFormat="1" x14ac:dyDescent="0.4">
      <c r="T26" s="80"/>
      <c r="U26" s="80" t="str">
        <f>서식선택_출력!B26</f>
        <v>F-022</v>
      </c>
      <c r="V26" s="80" t="str">
        <f>서식선택_출력!C26</f>
        <v>교복 납품 실적표</v>
      </c>
      <c r="W26" s="80"/>
    </row>
    <row r="27" spans="1:23" s="77" customFormat="1" x14ac:dyDescent="0.4">
      <c r="B27" s="78" t="s">
        <v>45</v>
      </c>
      <c r="T27" s="80"/>
      <c r="U27" s="80" t="str">
        <f>서식선택_출력!B27</f>
        <v>F-023</v>
      </c>
      <c r="V27" s="80" t="str">
        <f>서식선택_출력!C27</f>
        <v>교복 제조 사양서</v>
      </c>
      <c r="W27" s="80"/>
    </row>
    <row r="28" spans="1:23" s="77" customFormat="1" x14ac:dyDescent="0.4">
      <c r="B28" s="78" t="s">
        <v>46</v>
      </c>
      <c r="C28" s="78" t="s">
        <v>47</v>
      </c>
      <c r="D28" s="78" t="s">
        <v>48</v>
      </c>
      <c r="E28" s="78" t="s">
        <v>49</v>
      </c>
      <c r="T28" s="80"/>
      <c r="U28" s="80" t="str">
        <f>서식선택_출력!B28</f>
        <v>F-024</v>
      </c>
      <c r="V28" s="80" t="str">
        <f>서식선택_출력!C28</f>
        <v>품목별 단가 비율표</v>
      </c>
      <c r="W28" s="80"/>
    </row>
    <row r="29" spans="1:23" s="77" customFormat="1" x14ac:dyDescent="0.4">
      <c r="B29" s="5" t="s">
        <v>1335</v>
      </c>
      <c r="C29" s="5">
        <v>200</v>
      </c>
      <c r="D29" s="13">
        <v>50000</v>
      </c>
      <c r="E29" s="6">
        <f t="shared" ref="E29:E38" si="0">IF(AND(B29&lt;&gt;"",C29&lt;&gt;"",D29&lt;&gt;""),C29*D29,"")</f>
        <v>10000000</v>
      </c>
      <c r="T29" s="80"/>
      <c r="U29" s="80" t="str">
        <f>서식선택_출력!B29</f>
        <v>F-025</v>
      </c>
      <c r="V29" s="80" t="str">
        <f>서식선택_출력!C29</f>
        <v>교복 A/S 계획서</v>
      </c>
      <c r="W29" s="80"/>
    </row>
    <row r="30" spans="1:23" s="77" customFormat="1" x14ac:dyDescent="0.4">
      <c r="B30" s="5" t="s">
        <v>1336</v>
      </c>
      <c r="C30" s="5">
        <v>200</v>
      </c>
      <c r="D30" s="13">
        <v>50000</v>
      </c>
      <c r="E30" s="6">
        <f t="shared" si="0"/>
        <v>10000000</v>
      </c>
      <c r="T30" s="80"/>
      <c r="U30" s="80" t="str">
        <f>서식선택_출력!B30</f>
        <v>F-026</v>
      </c>
      <c r="V30" s="80" t="str">
        <f>서식선택_출력!C30</f>
        <v>소비자 불만 처리 계획</v>
      </c>
      <c r="W30" s="80"/>
    </row>
    <row r="31" spans="1:23" s="77" customFormat="1" x14ac:dyDescent="0.4">
      <c r="B31" s="5"/>
      <c r="C31" s="5"/>
      <c r="D31" s="13"/>
      <c r="E31" s="6" t="str">
        <f t="shared" si="0"/>
        <v/>
      </c>
      <c r="T31" s="80"/>
      <c r="U31" s="80" t="str">
        <f>서식선택_출력!B31</f>
        <v>F-027</v>
      </c>
      <c r="V31" s="80" t="str">
        <f>서식선택_출력!C31</f>
        <v>위임장</v>
      </c>
      <c r="W31" s="80"/>
    </row>
    <row r="32" spans="1:23" s="77" customFormat="1" x14ac:dyDescent="0.4">
      <c r="B32" s="5"/>
      <c r="C32" s="5"/>
      <c r="D32" s="13"/>
      <c r="E32" s="6" t="str">
        <f t="shared" si="0"/>
        <v/>
      </c>
      <c r="T32" s="80"/>
      <c r="U32" s="80" t="str">
        <f>서식선택_출력!B32</f>
        <v>F-028</v>
      </c>
      <c r="V32" s="80" t="str">
        <f>서식선택_출력!C32</f>
        <v>서약서</v>
      </c>
      <c r="W32" s="80"/>
    </row>
    <row r="33" spans="2:24" s="77" customFormat="1" x14ac:dyDescent="0.4">
      <c r="B33" s="5"/>
      <c r="C33" s="5"/>
      <c r="D33" s="13"/>
      <c r="E33" s="6" t="str">
        <f t="shared" si="0"/>
        <v/>
      </c>
      <c r="T33" s="80"/>
      <c r="U33" s="80" t="str">
        <f>서식선택_출력!B33</f>
        <v>F-029</v>
      </c>
      <c r="V33" s="80" t="str">
        <f>서식선택_출력!C33</f>
        <v>개인정보제공 동의서</v>
      </c>
      <c r="W33" s="80"/>
    </row>
    <row r="34" spans="2:24" s="77" customFormat="1" x14ac:dyDescent="0.4">
      <c r="B34" s="5"/>
      <c r="C34" s="5"/>
      <c r="D34" s="13"/>
      <c r="E34" s="6" t="str">
        <f t="shared" si="0"/>
        <v/>
      </c>
      <c r="T34" s="80"/>
      <c r="U34" s="80" t="str">
        <f>서식선택_출력!B34</f>
        <v>F-030</v>
      </c>
      <c r="V34" s="80" t="str">
        <f>서식선택_출력!C34</f>
        <v>청렴계약 이행서약서</v>
      </c>
      <c r="W34" s="80"/>
    </row>
    <row r="35" spans="2:24" s="77" customFormat="1" x14ac:dyDescent="0.4">
      <c r="B35" s="5"/>
      <c r="C35" s="5"/>
      <c r="D35" s="13"/>
      <c r="E35" s="6" t="str">
        <f t="shared" si="0"/>
        <v/>
      </c>
      <c r="T35" s="80"/>
      <c r="U35" s="80" t="str">
        <f>서식선택_출력!B35</f>
        <v>F-031</v>
      </c>
      <c r="V35" s="80" t="str">
        <f>서식선택_출력!C35</f>
        <v>교복 품목별 금액표</v>
      </c>
      <c r="W35" s="80"/>
    </row>
    <row r="36" spans="2:24" s="77" customFormat="1" x14ac:dyDescent="0.4">
      <c r="B36" s="5"/>
      <c r="C36" s="5"/>
      <c r="D36" s="13"/>
      <c r="E36" s="6" t="str">
        <f t="shared" si="0"/>
        <v/>
      </c>
      <c r="T36" s="80"/>
      <c r="U36" s="80" t="str">
        <f>서식선택_출력!B36</f>
        <v>F-032</v>
      </c>
      <c r="V36" s="80" t="str">
        <f>서식선택_출력!C36</f>
        <v>제안서 접수 결과</v>
      </c>
      <c r="W36" s="80"/>
    </row>
    <row r="37" spans="2:24" s="77" customFormat="1" x14ac:dyDescent="0.4">
      <c r="B37" s="5"/>
      <c r="C37" s="5"/>
      <c r="D37" s="13"/>
      <c r="E37" s="6" t="str">
        <f t="shared" si="0"/>
        <v/>
      </c>
      <c r="T37" s="80"/>
      <c r="U37" s="80" t="str">
        <f>서식선택_출력!B37</f>
        <v>F-033</v>
      </c>
      <c r="V37" s="80" t="str">
        <f>서식선택_출력!C37</f>
        <v>제안서 접수대장</v>
      </c>
      <c r="W37" s="80"/>
    </row>
    <row r="38" spans="2:24" s="77" customFormat="1" x14ac:dyDescent="0.4">
      <c r="B38" s="5"/>
      <c r="C38" s="5"/>
      <c r="D38" s="13"/>
      <c r="E38" s="6" t="str">
        <f t="shared" si="0"/>
        <v/>
      </c>
      <c r="T38" s="80"/>
      <c r="U38" s="80" t="str">
        <f>서식선택_출력!B38</f>
        <v>F-034</v>
      </c>
      <c r="V38" s="80" t="str">
        <f>서식선택_출력!C38</f>
        <v>제안서 평가위원회 개최</v>
      </c>
      <c r="W38" s="80"/>
    </row>
    <row r="39" spans="2:24" s="77" customFormat="1" x14ac:dyDescent="0.4">
      <c r="B39" s="78" t="s">
        <v>50</v>
      </c>
      <c r="E39" s="7">
        <f>SUM(E29:E38)</f>
        <v>20000000</v>
      </c>
      <c r="T39" s="80"/>
      <c r="U39" s="80" t="str">
        <f>서식선택_출력!B39</f>
        <v>F-035</v>
      </c>
      <c r="V39" s="80" t="str">
        <f>서식선택_출력!C39</f>
        <v>제안서 정량평가 결과</v>
      </c>
      <c r="W39" s="80"/>
    </row>
    <row r="40" spans="2:24" s="77" customFormat="1" x14ac:dyDescent="0.4">
      <c r="T40" s="80"/>
      <c r="U40" s="80" t="str">
        <f>서식선택_출력!B40</f>
        <v>F-036</v>
      </c>
      <c r="V40" s="80" t="str">
        <f>서식선택_출력!C40</f>
        <v>제안서 평가 결과</v>
      </c>
      <c r="W40" s="80"/>
    </row>
    <row r="41" spans="2:24" s="77" customFormat="1" x14ac:dyDescent="0.4">
      <c r="T41" s="80"/>
      <c r="U41" s="80" t="str">
        <f>서식선택_출력!B41</f>
        <v>F-037</v>
      </c>
      <c r="V41" s="80" t="str">
        <f>서식선택_출력!C41</f>
        <v>평가위원회 참석 등록부</v>
      </c>
      <c r="W41" s="80"/>
    </row>
    <row r="42" spans="2:24" s="77" customFormat="1" x14ac:dyDescent="0.4">
      <c r="B42" s="78" t="s">
        <v>51</v>
      </c>
      <c r="T42" s="80"/>
      <c r="U42" s="80" t="str">
        <f>서식선택_출력!B42</f>
        <v>F-038</v>
      </c>
      <c r="V42" s="80" t="str">
        <f>서식선택_출력!C42</f>
        <v>업체 참가 등록부</v>
      </c>
      <c r="W42" s="80"/>
    </row>
    <row r="43" spans="2:24" s="77" customFormat="1" x14ac:dyDescent="0.4">
      <c r="B43" s="78" t="s">
        <v>52</v>
      </c>
      <c r="C43" s="78" t="s">
        <v>53</v>
      </c>
      <c r="D43" s="78" t="s">
        <v>54</v>
      </c>
      <c r="E43" s="78" t="s">
        <v>55</v>
      </c>
      <c r="F43" s="78" t="s">
        <v>56</v>
      </c>
      <c r="G43" s="78" t="s">
        <v>57</v>
      </c>
      <c r="H43" s="78" t="s">
        <v>58</v>
      </c>
      <c r="I43" s="78" t="s">
        <v>59</v>
      </c>
      <c r="J43" s="78" t="s">
        <v>60</v>
      </c>
      <c r="K43" s="78" t="s">
        <v>61</v>
      </c>
      <c r="L43" s="78" t="s">
        <v>62</v>
      </c>
      <c r="M43" s="78" t="s">
        <v>63</v>
      </c>
      <c r="N43" s="78" t="s">
        <v>64</v>
      </c>
      <c r="O43" s="78" t="s">
        <v>65</v>
      </c>
      <c r="P43" s="78" t="s">
        <v>66</v>
      </c>
      <c r="Q43" s="78" t="s">
        <v>67</v>
      </c>
      <c r="R43" s="78" t="s">
        <v>68</v>
      </c>
      <c r="S43" s="78" t="s">
        <v>69</v>
      </c>
      <c r="T43" s="80"/>
      <c r="U43" s="80" t="str">
        <f>서식선택_출력!B43</f>
        <v>F-039</v>
      </c>
      <c r="V43" s="80" t="str">
        <f>서식선택_출력!C43</f>
        <v>업체별 제안서 평가표</v>
      </c>
      <c r="W43" s="80"/>
      <c r="X43" s="78" t="s">
        <v>70</v>
      </c>
    </row>
    <row r="44" spans="2:24" s="77" customFormat="1" x14ac:dyDescent="0.4">
      <c r="B44" s="5" t="s">
        <v>1337</v>
      </c>
      <c r="C44" s="4">
        <v>3</v>
      </c>
      <c r="D44" s="77">
        <v>3</v>
      </c>
      <c r="E44" s="77">
        <v>3</v>
      </c>
      <c r="F44" s="77">
        <v>3</v>
      </c>
      <c r="G44" s="77" t="str">
        <f t="shared" ref="G44:G53" si="1">IF(B44="","",IF(AND(ISNUMBER(C44),ISNUMBER(D44),ISNUMBER(E44),ISNUMBER(F44),C44&gt;=0,C44&lt;=10,D44&gt;=0,D44&lt;=10,E44&gt;=0,E44&lt;=15,F44&gt;=0,F44&lt;=15),"정상","점수 확인"))</f>
        <v>정상</v>
      </c>
      <c r="H44" s="8" t="s">
        <v>1326</v>
      </c>
      <c r="I44" s="77" t="s">
        <v>1327</v>
      </c>
      <c r="J44" s="77" t="s">
        <v>1326</v>
      </c>
      <c r="K44" s="77" t="s">
        <v>1326</v>
      </c>
      <c r="L44" s="4">
        <v>1</v>
      </c>
      <c r="M44" s="77"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9">
        <v>1</v>
      </c>
      <c r="O44" s="77">
        <v>1</v>
      </c>
      <c r="P44" s="77">
        <v>1</v>
      </c>
      <c r="Q44" s="77">
        <v>1</v>
      </c>
      <c r="R44" s="77" t="str">
        <f t="shared" ref="R44:R53" si="3">IF(B44="","",IF(AND(ISNUMBER(N44),ISNUMBER(O44),ISNUMBER(P44),ISNUMBER(Q44),N44&gt;=0,N44&lt;=10,O44&gt;=0,O44&lt;=10,P44&gt;=0,P44&lt;=15,Q44&gt;=0,Q44&lt;=15),"정상","점수 확인"))</f>
        <v>정상</v>
      </c>
      <c r="S44" s="5" t="s">
        <v>1338</v>
      </c>
      <c r="T44" s="80"/>
      <c r="U44" s="80" t="str">
        <f>서식선택_출력!B44</f>
        <v>F-040</v>
      </c>
      <c r="V44" s="80" t="str">
        <f>서식선택_출력!C44</f>
        <v>위원 청렴 및 보안 서약서</v>
      </c>
      <c r="W44" s="80"/>
      <c r="X44" s="5"/>
    </row>
    <row r="45" spans="2:24" s="77" customFormat="1" x14ac:dyDescent="0.4">
      <c r="B45" s="5"/>
      <c r="C45" s="4"/>
      <c r="G45" s="77" t="str">
        <f t="shared" si="1"/>
        <v/>
      </c>
      <c r="H45" s="8"/>
      <c r="L45" s="4"/>
      <c r="M45" s="77" t="str">
        <f t="shared" si="2"/>
        <v/>
      </c>
      <c r="N45" s="9"/>
      <c r="R45" s="77" t="str">
        <f t="shared" si="3"/>
        <v/>
      </c>
      <c r="S45" s="5"/>
      <c r="T45" s="80"/>
      <c r="U45" s="80" t="str">
        <f>서식선택_출력!B45</f>
        <v>F-041</v>
      </c>
      <c r="V45" s="80" t="str">
        <f>서식선택_출력!C45</f>
        <v>낙찰자 결정</v>
      </c>
      <c r="W45" s="80"/>
      <c r="X45" s="5"/>
    </row>
    <row r="46" spans="2:24" s="77" customFormat="1" x14ac:dyDescent="0.4">
      <c r="B46" s="5"/>
      <c r="C46" s="4"/>
      <c r="G46" s="77" t="str">
        <f t="shared" si="1"/>
        <v/>
      </c>
      <c r="H46" s="8"/>
      <c r="L46" s="4"/>
      <c r="M46" s="77" t="str">
        <f t="shared" si="2"/>
        <v/>
      </c>
      <c r="N46" s="9"/>
      <c r="R46" s="77" t="str">
        <f t="shared" si="3"/>
        <v/>
      </c>
      <c r="S46" s="5"/>
      <c r="T46" s="80"/>
      <c r="U46" s="80" t="str">
        <f>서식선택_출력!B46</f>
        <v>F-042</v>
      </c>
      <c r="V46" s="80" t="str">
        <f>서식선택_출력!C46</f>
        <v>낙찰자 결정 통보</v>
      </c>
      <c r="W46" s="80"/>
      <c r="X46" s="5"/>
    </row>
    <row r="47" spans="2:24" s="77" customFormat="1" x14ac:dyDescent="0.4">
      <c r="B47" s="5"/>
      <c r="C47" s="4"/>
      <c r="G47" s="77" t="str">
        <f t="shared" si="1"/>
        <v/>
      </c>
      <c r="H47" s="8"/>
      <c r="L47" s="4"/>
      <c r="M47" s="77" t="str">
        <f t="shared" si="2"/>
        <v/>
      </c>
      <c r="N47" s="9"/>
      <c r="R47" s="77" t="str">
        <f t="shared" si="3"/>
        <v/>
      </c>
      <c r="S47" s="5"/>
      <c r="T47" s="80"/>
      <c r="U47" s="80" t="str">
        <f>서식선택_출력!B47</f>
        <v>F-043</v>
      </c>
      <c r="V47" s="80" t="str">
        <f>서식선택_출력!C47</f>
        <v>계약체결</v>
      </c>
      <c r="W47" s="80"/>
      <c r="X47" s="5"/>
    </row>
    <row r="48" spans="2:24" s="77" customFormat="1" x14ac:dyDescent="0.4">
      <c r="B48" s="5"/>
      <c r="C48" s="4"/>
      <c r="G48" s="77" t="str">
        <f t="shared" si="1"/>
        <v/>
      </c>
      <c r="H48" s="8"/>
      <c r="L48" s="4"/>
      <c r="M48" s="77" t="str">
        <f t="shared" si="2"/>
        <v/>
      </c>
      <c r="N48" s="9"/>
      <c r="R48" s="77" t="str">
        <f t="shared" si="3"/>
        <v/>
      </c>
      <c r="S48" s="5"/>
      <c r="T48" s="80"/>
      <c r="U48" s="80" t="str">
        <f>서식선택_출력!B48</f>
        <v>F-044</v>
      </c>
      <c r="V48" s="80" t="str">
        <f>서식선택_출력!C48</f>
        <v>사전 안내 가정통신문 안내</v>
      </c>
      <c r="W48" s="80"/>
      <c r="X48" s="5"/>
    </row>
    <row r="49" spans="2:24" s="77" customFormat="1" x14ac:dyDescent="0.4">
      <c r="B49" s="5"/>
      <c r="C49" s="4"/>
      <c r="G49" s="77" t="str">
        <f t="shared" si="1"/>
        <v/>
      </c>
      <c r="H49" s="8"/>
      <c r="L49" s="4"/>
      <c r="M49" s="77" t="str">
        <f t="shared" si="2"/>
        <v/>
      </c>
      <c r="N49" s="9"/>
      <c r="R49" s="77" t="str">
        <f t="shared" si="3"/>
        <v/>
      </c>
      <c r="S49" s="5"/>
      <c r="T49" s="80"/>
      <c r="U49" s="80" t="str">
        <f>서식선택_출력!B49</f>
        <v>F-045</v>
      </c>
      <c r="V49" s="80" t="str">
        <f>서식선택_출력!C49</f>
        <v>교복구매 사전 안내 가정통신문</v>
      </c>
      <c r="W49" s="80"/>
      <c r="X49" s="5"/>
    </row>
    <row r="50" spans="2:24" s="77" customFormat="1" x14ac:dyDescent="0.4">
      <c r="B50" s="5"/>
      <c r="C50" s="4"/>
      <c r="G50" s="77" t="str">
        <f t="shared" si="1"/>
        <v/>
      </c>
      <c r="H50" s="8"/>
      <c r="L50" s="4"/>
      <c r="M50" s="77" t="str">
        <f t="shared" si="2"/>
        <v/>
      </c>
      <c r="N50" s="9"/>
      <c r="R50" s="77" t="str">
        <f t="shared" si="3"/>
        <v/>
      </c>
      <c r="S50" s="5"/>
      <c r="T50" s="80"/>
      <c r="U50" s="80" t="str">
        <f>서식선택_출력!B50</f>
        <v>F-046</v>
      </c>
      <c r="V50" s="80" t="str">
        <f>서식선택_출력!C50</f>
        <v>수요조사 가정통신문 안내</v>
      </c>
      <c r="W50" s="80"/>
      <c r="X50" s="5"/>
    </row>
    <row r="51" spans="2:24" s="77" customFormat="1" x14ac:dyDescent="0.4">
      <c r="B51" s="5"/>
      <c r="C51" s="4"/>
      <c r="G51" s="77" t="str">
        <f t="shared" si="1"/>
        <v/>
      </c>
      <c r="H51" s="8"/>
      <c r="L51" s="4"/>
      <c r="M51" s="77" t="str">
        <f t="shared" si="2"/>
        <v/>
      </c>
      <c r="N51" s="9"/>
      <c r="R51" s="77" t="str">
        <f t="shared" si="3"/>
        <v/>
      </c>
      <c r="S51" s="5"/>
      <c r="T51" s="80"/>
      <c r="U51" s="80" t="str">
        <f>서식선택_출력!B51</f>
        <v>F-047</v>
      </c>
      <c r="V51" s="80" t="str">
        <f>서식선택_출력!C51</f>
        <v>교복구매 수요조사 가정통신문</v>
      </c>
      <c r="W51" s="80"/>
      <c r="X51" s="5"/>
    </row>
    <row r="52" spans="2:24" s="77" customFormat="1" x14ac:dyDescent="0.4">
      <c r="B52" s="5"/>
      <c r="C52" s="4"/>
      <c r="G52" s="77" t="str">
        <f t="shared" si="1"/>
        <v/>
      </c>
      <c r="H52" s="8"/>
      <c r="L52" s="4"/>
      <c r="M52" s="77" t="str">
        <f t="shared" si="2"/>
        <v/>
      </c>
      <c r="N52" s="9"/>
      <c r="R52" s="77" t="str">
        <f t="shared" si="3"/>
        <v/>
      </c>
      <c r="S52" s="5"/>
      <c r="T52" s="80"/>
      <c r="U52" s="80" t="str">
        <f>서식선택_출력!B52</f>
        <v>F-048</v>
      </c>
      <c r="V52" s="80" t="str">
        <f>서식선택_출력!C52</f>
        <v>교복 구매 안내(신청 수량 파악)</v>
      </c>
      <c r="W52" s="80"/>
      <c r="X52" s="5"/>
    </row>
    <row r="53" spans="2:24" s="77" customFormat="1" x14ac:dyDescent="0.4">
      <c r="B53" s="5"/>
      <c r="C53" s="4"/>
      <c r="G53" s="77" t="str">
        <f t="shared" si="1"/>
        <v/>
      </c>
      <c r="H53" s="8"/>
      <c r="L53" s="4"/>
      <c r="M53" s="77" t="str">
        <f t="shared" si="2"/>
        <v/>
      </c>
      <c r="N53" s="9"/>
      <c r="R53" s="77" t="str">
        <f t="shared" si="3"/>
        <v/>
      </c>
      <c r="S53" s="5"/>
      <c r="T53" s="80"/>
      <c r="U53" s="80" t="str">
        <f>서식선택_출력!B53</f>
        <v>F-049</v>
      </c>
      <c r="V53" s="80" t="str">
        <f>서식선택_출력!C53</f>
        <v>만족도 설문조사 실시</v>
      </c>
      <c r="W53" s="80"/>
      <c r="X53" s="5"/>
    </row>
    <row r="54" spans="2:24" s="77" customFormat="1" x14ac:dyDescent="0.4">
      <c r="T54" s="80"/>
      <c r="U54" s="80" t="str">
        <f>서식선택_출력!B54</f>
        <v>F-050</v>
      </c>
      <c r="V54" s="80" t="str">
        <f>서식선택_출력!C54</f>
        <v>만족도 조사 설문지</v>
      </c>
      <c r="W54" s="80"/>
    </row>
    <row r="55" spans="2:24" s="77" customFormat="1" x14ac:dyDescent="0.4">
      <c r="T55" s="80"/>
      <c r="U55" s="80" t="str">
        <f>서식선택_출력!B55</f>
        <v>F-051</v>
      </c>
      <c r="V55" s="80" t="str">
        <f>서식선택_출력!C55</f>
        <v>만족도 설문조사 결과</v>
      </c>
      <c r="W55" s="80"/>
    </row>
    <row r="56" spans="2:24" s="77" customFormat="1" x14ac:dyDescent="0.4">
      <c r="B56" s="78" t="s">
        <v>71</v>
      </c>
      <c r="T56" s="80"/>
      <c r="U56" s="80" t="str">
        <f>서식선택_출력!B56</f>
        <v>F-052</v>
      </c>
      <c r="V56" s="80" t="str">
        <f>서식선택_출력!C56</f>
        <v>만족도 조사 설문 결과 서식</v>
      </c>
      <c r="W56" s="80"/>
    </row>
    <row r="57" spans="2:24" s="77" customFormat="1" x14ac:dyDescent="0.4">
      <c r="B57" s="78" t="s">
        <v>72</v>
      </c>
      <c r="C57" s="78" t="s">
        <v>73</v>
      </c>
    </row>
    <row r="58" spans="2:24" s="77" customFormat="1" x14ac:dyDescent="0.4">
      <c r="B58" s="5"/>
    </row>
    <row r="59" spans="2:24" s="77" customFormat="1" x14ac:dyDescent="0.4">
      <c r="B59" s="5"/>
    </row>
    <row r="60" spans="2:24" s="77" customFormat="1" x14ac:dyDescent="0.4">
      <c r="B60" s="5"/>
    </row>
    <row r="61" spans="2:24" s="77" customFormat="1" x14ac:dyDescent="0.4">
      <c r="B61" s="5"/>
    </row>
    <row r="62" spans="2:24" s="77" customFormat="1" x14ac:dyDescent="0.4">
      <c r="B62" s="5"/>
    </row>
    <row r="63" spans="2:24" s="77" customFormat="1" x14ac:dyDescent="0.4">
      <c r="B63" s="5"/>
    </row>
    <row r="64" spans="2:24" s="77" customFormat="1" x14ac:dyDescent="0.4">
      <c r="B64" s="5"/>
    </row>
    <row r="65" spans="2:5" s="77" customFormat="1" x14ac:dyDescent="0.4">
      <c r="B65" s="5"/>
    </row>
    <row r="66" spans="2:5" s="77" customFormat="1" x14ac:dyDescent="0.4">
      <c r="B66" s="5"/>
    </row>
    <row r="67" spans="2:5" s="77" customFormat="1" x14ac:dyDescent="0.4">
      <c r="B67" s="5"/>
    </row>
    <row r="70" spans="2:5" x14ac:dyDescent="0.4">
      <c r="B70" s="1" t="s">
        <v>74</v>
      </c>
    </row>
    <row r="71" spans="2:5" x14ac:dyDescent="0.4">
      <c r="B71" s="1" t="s">
        <v>75</v>
      </c>
      <c r="C71" s="1" t="s">
        <v>76</v>
      </c>
      <c r="D71" s="1" t="s">
        <v>77</v>
      </c>
      <c r="E71" s="1" t="s">
        <v>78</v>
      </c>
    </row>
    <row r="72" spans="2:5" x14ac:dyDescent="0.4">
      <c r="B72" s="5"/>
      <c r="C72" s="10"/>
      <c r="E72" t="str">
        <f t="shared" ref="E72:E81" si="4">IF(AND(B72&lt;&gt;"",C72&lt;&gt;"",D72&lt;&gt;""),IF(AND(ISNUMBER(C72),ISNUMBER(D72),C72&gt;=0,D72&gt;=0,D72&lt;=C72),"정상","점수/배점 확인"),"")</f>
        <v/>
      </c>
    </row>
    <row r="73" spans="2:5" x14ac:dyDescent="0.4">
      <c r="B73" s="5"/>
      <c r="C73" s="10"/>
      <c r="E73" t="str">
        <f t="shared" si="4"/>
        <v/>
      </c>
    </row>
    <row r="74" spans="2:5" x14ac:dyDescent="0.4">
      <c r="B74" s="5"/>
      <c r="C74" s="10"/>
      <c r="E74" t="str">
        <f t="shared" si="4"/>
        <v/>
      </c>
    </row>
    <row r="75" spans="2:5" x14ac:dyDescent="0.4">
      <c r="B75" s="5"/>
      <c r="C75" s="10"/>
      <c r="E75" t="str">
        <f t="shared" si="4"/>
        <v/>
      </c>
    </row>
    <row r="76" spans="2:5" x14ac:dyDescent="0.4">
      <c r="B76" s="5"/>
      <c r="C76" s="10"/>
      <c r="E76" t="str">
        <f t="shared" si="4"/>
        <v/>
      </c>
    </row>
    <row r="77" spans="2:5" x14ac:dyDescent="0.4">
      <c r="B77" s="5"/>
      <c r="C77" s="10"/>
      <c r="E77" t="str">
        <f t="shared" si="4"/>
        <v/>
      </c>
    </row>
    <row r="78" spans="2:5" x14ac:dyDescent="0.4">
      <c r="B78" s="5"/>
      <c r="C78" s="10"/>
      <c r="E78" t="str">
        <f t="shared" si="4"/>
        <v/>
      </c>
    </row>
    <row r="79" spans="2:5" x14ac:dyDescent="0.4">
      <c r="B79" s="5"/>
      <c r="C79" s="10"/>
      <c r="E79" t="str">
        <f t="shared" si="4"/>
        <v/>
      </c>
    </row>
    <row r="80" spans="2:5" x14ac:dyDescent="0.4">
      <c r="B80" s="5"/>
      <c r="C80" s="10"/>
      <c r="E80" t="str">
        <f t="shared" si="4"/>
        <v/>
      </c>
    </row>
    <row r="81" spans="2:5" x14ac:dyDescent="0.4">
      <c r="B81" s="5"/>
      <c r="C81" s="10"/>
      <c r="E81" t="str">
        <f t="shared" si="4"/>
        <v/>
      </c>
    </row>
    <row r="82" spans="2:5" x14ac:dyDescent="0.4">
      <c r="B82" s="1" t="s">
        <v>79</v>
      </c>
      <c r="D82" s="11">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EEF8FDF5-11E1-49C4-B71B-7D0FD713BB49}">
      <formula1>"탁월,우수,보통,미흡,불량"</formula1>
    </dataValidation>
    <dataValidation type="list" allowBlank="1" showInputMessage="1" showErrorMessage="1" sqref="C4" xr:uid="{4B365E7D-2572-4822-B059-17DFAEF254FD}">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utton 110">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utton 11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eck Box 11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utton 11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eck Box 11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utton 11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eck Box 11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utton 11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eck Box 11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utton 12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eck Box 12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utton 12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eck Box 12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utton 12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eck Box 12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utton 12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eck Box 12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utton 12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eck Box 12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utton 13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eck Box 13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utton 13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eck Box 13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eck Box 13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utton 13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eck Box 13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utton 13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eck Box 13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utton 13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eck Box 14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utton 14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eck Box 14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utton 14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eck Box 14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utton 14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eck Box 14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utton 14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eck Box 14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utton 14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eck Box 15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utton 15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eck Box 15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utton 15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eck Box 15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utton 15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eck Box 15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utton 15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eck Box 15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eck Box 15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utton 16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eck Box 16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eck Box 16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utton 16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eck Box 16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utton 16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eck Box 16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utton 16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eck Box 16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utton 16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eck Box 17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utton 17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eck Box 17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utton 17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eck Box 17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utton 17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eck Box 17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utton 17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eck Box 17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utton 17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eck Box 18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utton 18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eck Box 18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utton 18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eck Box 18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utton 18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eck Box 18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utton 18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eck Box 18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utton 18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eck Box 19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utton 19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eck Box 192">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utton 193">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eck Box 194">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utton 19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eck Box 19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utton 197">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eck Box 198">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utton 199">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eck Box 200">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utton 201">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eck Box 202">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utton 203">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eck Box 204">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utton 205">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eck Box 206">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eck Box 207">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5E81D4C-5B5C-4D8C-89BB-2CC6B5ECD7AC}">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429E5-B068-4985-8796-1811C4B4E5A9}">
  <sheetPr codeName="Sheet3">
    <pageSetUpPr fitToPage="1"/>
  </sheetPr>
  <dimension ref="A1:E10"/>
  <sheetViews>
    <sheetView tabSelected="1"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1310</v>
      </c>
    </row>
    <row r="2" spans="1:5" ht="270" customHeight="1" x14ac:dyDescent="0.4"/>
    <row r="3" spans="1:5" ht="30" hidden="1" customHeight="1" x14ac:dyDescent="0.4">
      <c r="A3" s="90" t="s">
        <v>1311</v>
      </c>
      <c r="B3" s="91"/>
      <c r="C3" s="91"/>
      <c r="D3" s="91"/>
      <c r="E3" s="91"/>
    </row>
    <row r="4" spans="1:5" hidden="1" x14ac:dyDescent="0.4">
      <c r="A4" s="66" t="s">
        <v>1312</v>
      </c>
      <c r="B4" s="66" t="s">
        <v>1313</v>
      </c>
      <c r="C4" s="66" t="s">
        <v>1314</v>
      </c>
    </row>
    <row r="5" spans="1:5" ht="42" hidden="1" customHeight="1" x14ac:dyDescent="0.4">
      <c r="A5" s="74" t="s">
        <v>1315</v>
      </c>
      <c r="B5" s="76" t="s">
        <v>1341</v>
      </c>
      <c r="C5" s="75" t="s">
        <v>1319</v>
      </c>
    </row>
    <row r="6" spans="1:5" ht="34.049999999999997" hidden="1" customHeight="1" x14ac:dyDescent="0.4">
      <c r="A6" s="74" t="s">
        <v>1316</v>
      </c>
      <c r="B6" s="74" t="s">
        <v>1318</v>
      </c>
      <c r="C6" s="75" t="str">
        <f>IF(B5="2단계 입찰(규격·가격 동시)","규격·가격 동시입찰: 규격(적격) 심사 후 가격 개찰",IF(OR(B5="1인견적 수의계약",B5="2인견적 수의계약"),"견적서와 수의계약 사유를 확인",IF(B5="일반경쟁입찰","공고·입찰·개찰·계약 절차를 확인","")))</f>
        <v>공고·입찰·개찰·계약 절차를 확인</v>
      </c>
    </row>
    <row r="7" spans="1:5" hidden="1" x14ac:dyDescent="0.4">
      <c r="A7" s="74" t="s">
        <v>1317</v>
      </c>
      <c r="B7" s="74" t="str">
        <f>IF(B5&lt;&gt;"",B5,"")</f>
        <v>일반경쟁입찰</v>
      </c>
      <c r="C7" s="75" t="str">
        <f>IF(B7&lt;&gt;"","현재 기초자료(B-03): "&amp;B7,"아직 선택하지 않았습니다")</f>
        <v>현재 기초자료(B-03): 일반경쟁입찰</v>
      </c>
    </row>
    <row r="8" spans="1:5" hidden="1" x14ac:dyDescent="0.4"/>
    <row r="9" spans="1:5" hidden="1" x14ac:dyDescent="0.4">
      <c r="A9" s="1" t="s">
        <v>1320</v>
      </c>
    </row>
    <row r="10" spans="1:5" ht="48" hidden="1" customHeight="1" x14ac:dyDescent="0.4">
      <c r="A10" s="91" t="s">
        <v>1321</v>
      </c>
      <c r="B10" s="91"/>
      <c r="C10" s="91"/>
      <c r="D10" s="91"/>
      <c r="E10" s="91"/>
    </row>
  </sheetData>
  <mergeCells count="2">
    <mergeCell ref="A3:E3"/>
    <mergeCell ref="A10:E10"/>
  </mergeCells>
  <phoneticPr fontId="6" type="noConversion"/>
  <dataValidations count="1">
    <dataValidation type="list" allowBlank="1" showInputMessage="1" showErrorMessage="1" sqref="B5" xr:uid="{4C2FB16D-ED61-4C5E-AA9C-C48896BCEE7F}">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2</xdr:row>
                    <xdr:rowOff>38100</xdr:rowOff>
                  </from>
                  <to>
                    <xdr:col>2</xdr:col>
                    <xdr:colOff>4465320</xdr:colOff>
                    <xdr:row>2</xdr:row>
                    <xdr:rowOff>342900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1</xdr:col>
                    <xdr:colOff>1379220</xdr:colOff>
                    <xdr:row>0</xdr:row>
                    <xdr:rowOff>228600</xdr:rowOff>
                  </from>
                  <to>
                    <xdr:col>2</xdr:col>
                    <xdr:colOff>784860</xdr:colOff>
                    <xdr:row>0</xdr:row>
                    <xdr:rowOff>510540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883920</xdr:colOff>
                    <xdr:row>0</xdr:row>
                    <xdr:rowOff>228600</xdr:rowOff>
                  </from>
                  <to>
                    <xdr:col>2</xdr:col>
                    <xdr:colOff>2560320</xdr:colOff>
                    <xdr:row>0</xdr:row>
                    <xdr:rowOff>510540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6C2D7-1231-4C3F-8B78-9F5DF42E77E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6" t="s">
        <v>1279</v>
      </c>
    </row>
    <row r="2" spans="1:4" x14ac:dyDescent="0.4">
      <c r="A2" t="s">
        <v>1280</v>
      </c>
    </row>
    <row r="4" spans="1:4" x14ac:dyDescent="0.4">
      <c r="A4" s="14" t="s">
        <v>1281</v>
      </c>
      <c r="B4" s="14" t="s">
        <v>1282</v>
      </c>
      <c r="C4" s="14" t="s">
        <v>1283</v>
      </c>
      <c r="D4" s="14" t="s">
        <v>1284</v>
      </c>
    </row>
    <row r="5" spans="1:4" x14ac:dyDescent="0.4">
      <c r="A5" s="73" t="s">
        <v>1285</v>
      </c>
      <c r="B5" s="75" t="s">
        <v>1286</v>
      </c>
      <c r="C5" s="75" t="s">
        <v>1287</v>
      </c>
      <c r="D5" s="73" t="s">
        <v>130</v>
      </c>
    </row>
    <row r="6" spans="1:4" x14ac:dyDescent="0.4">
      <c r="A6" s="73" t="s">
        <v>1288</v>
      </c>
      <c r="B6" s="75" t="s">
        <v>1289</v>
      </c>
      <c r="C6" s="75" t="s">
        <v>147</v>
      </c>
      <c r="D6" s="73" t="s">
        <v>147</v>
      </c>
    </row>
    <row r="7" spans="1:4" x14ac:dyDescent="0.4">
      <c r="A7" s="73" t="s">
        <v>1290</v>
      </c>
      <c r="B7" s="75" t="s">
        <v>1291</v>
      </c>
      <c r="C7" s="75" t="s">
        <v>1292</v>
      </c>
      <c r="D7" s="73" t="s">
        <v>150</v>
      </c>
    </row>
    <row r="8" spans="1:4" x14ac:dyDescent="0.4">
      <c r="A8" s="73" t="s">
        <v>1293</v>
      </c>
      <c r="B8" s="75" t="s">
        <v>1294</v>
      </c>
      <c r="C8" s="75" t="s">
        <v>1295</v>
      </c>
      <c r="D8" s="73" t="s">
        <v>163</v>
      </c>
    </row>
    <row r="9" spans="1:4" x14ac:dyDescent="0.4">
      <c r="A9" s="73" t="s">
        <v>1296</v>
      </c>
      <c r="B9" s="75" t="s">
        <v>1297</v>
      </c>
      <c r="C9" s="75" t="s">
        <v>1298</v>
      </c>
      <c r="D9" s="73" t="s">
        <v>183</v>
      </c>
    </row>
    <row r="10" spans="1:4" x14ac:dyDescent="0.4">
      <c r="A10" s="73" t="s">
        <v>1299</v>
      </c>
      <c r="B10" s="75" t="s">
        <v>1300</v>
      </c>
      <c r="C10" s="75" t="s">
        <v>1301</v>
      </c>
      <c r="D10" s="73" t="s">
        <v>173</v>
      </c>
    </row>
    <row r="11" spans="1:4" x14ac:dyDescent="0.4">
      <c r="A11" s="73" t="s">
        <v>1302</v>
      </c>
      <c r="B11" s="75" t="s">
        <v>1303</v>
      </c>
      <c r="C11" s="75" t="s">
        <v>1304</v>
      </c>
      <c r="D11" s="73" t="s">
        <v>253</v>
      </c>
    </row>
    <row r="12" spans="1:4" x14ac:dyDescent="0.4">
      <c r="A12" s="73" t="s">
        <v>1305</v>
      </c>
      <c r="B12" s="75" t="s">
        <v>1306</v>
      </c>
      <c r="C12" s="75" t="s">
        <v>260</v>
      </c>
      <c r="D12" s="73" t="s">
        <v>260</v>
      </c>
    </row>
    <row r="13" spans="1:4" x14ac:dyDescent="0.4">
      <c r="A13" s="73" t="s">
        <v>1307</v>
      </c>
      <c r="B13" s="75" t="s">
        <v>1308</v>
      </c>
      <c r="C13" s="75" t="s">
        <v>1309</v>
      </c>
      <c r="D13" s="73" t="s">
        <v>263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89802-BEE8-49D3-B1A7-56455F2E5B25}">
  <sheetPr codeName="Sheet5"/>
  <dimension ref="A1:I56"/>
  <sheetViews>
    <sheetView topLeftCell="B1" workbookViewId="0"/>
  </sheetViews>
  <sheetFormatPr defaultRowHeight="17.399999999999999" x14ac:dyDescent="0.4"/>
  <cols>
    <col min="1" max="1" width="8.69921875" hidden="1" customWidth="1"/>
    <col min="2" max="2" width="10.69921875" customWidth="1"/>
    <col min="3" max="3" width="32.69921875" customWidth="1"/>
    <col min="4" max="5" width="10.69921875" customWidth="1"/>
    <col min="6" max="6" width="26.69921875" customWidth="1"/>
    <col min="7" max="9" width="11.69921875" customWidth="1"/>
  </cols>
  <sheetData>
    <row r="1" spans="1:9" ht="20.399999999999999" x14ac:dyDescent="0.4">
      <c r="A1" s="16" t="s">
        <v>122</v>
      </c>
    </row>
    <row r="2" spans="1:9" x14ac:dyDescent="0.4">
      <c r="A2" t="s">
        <v>123</v>
      </c>
    </row>
    <row r="4" spans="1:9" x14ac:dyDescent="0.4">
      <c r="A4" s="14" t="s">
        <v>81</v>
      </c>
      <c r="B4" s="14" t="s">
        <v>82</v>
      </c>
      <c r="C4" s="14" t="s">
        <v>83</v>
      </c>
      <c r="D4" s="14" t="s">
        <v>124</v>
      </c>
      <c r="E4" s="14" t="s">
        <v>125</v>
      </c>
      <c r="F4" s="14" t="s">
        <v>126</v>
      </c>
      <c r="G4" s="14" t="s">
        <v>127</v>
      </c>
      <c r="H4" s="14" t="s">
        <v>128</v>
      </c>
      <c r="I4" s="14" t="s">
        <v>129</v>
      </c>
    </row>
    <row r="5" spans="1:9" ht="18" customHeight="1" x14ac:dyDescent="0.4">
      <c r="A5" s="17" t="b">
        <v>0</v>
      </c>
      <c r="B5" s="15" t="s">
        <v>130</v>
      </c>
      <c r="C5" s="15" t="s">
        <v>131</v>
      </c>
      <c r="D5" s="15" t="s">
        <v>132</v>
      </c>
      <c r="E5" s="15" t="s">
        <v>133</v>
      </c>
      <c r="F5" s="15" t="s">
        <v>134</v>
      </c>
      <c r="G5" s="15"/>
      <c r="H5" s="15"/>
      <c r="I5" s="15"/>
    </row>
    <row r="6" spans="1:9" ht="18" customHeight="1" x14ac:dyDescent="0.4">
      <c r="A6" s="17" t="b">
        <v>0</v>
      </c>
      <c r="B6" s="15" t="s">
        <v>135</v>
      </c>
      <c r="C6" s="15" t="s">
        <v>136</v>
      </c>
      <c r="D6" s="15" t="s">
        <v>132</v>
      </c>
      <c r="E6" s="15" t="s">
        <v>133</v>
      </c>
      <c r="F6" s="15" t="s">
        <v>137</v>
      </c>
      <c r="G6" s="15"/>
      <c r="H6" s="15"/>
      <c r="I6" s="15"/>
    </row>
    <row r="7" spans="1:9" ht="18" customHeight="1" x14ac:dyDescent="0.4">
      <c r="A7" s="17" t="b">
        <v>0</v>
      </c>
      <c r="B7" s="15" t="s">
        <v>138</v>
      </c>
      <c r="C7" s="15" t="s">
        <v>139</v>
      </c>
      <c r="D7" s="15" t="s">
        <v>132</v>
      </c>
      <c r="E7" s="15" t="s">
        <v>133</v>
      </c>
      <c r="F7" s="15" t="s">
        <v>140</v>
      </c>
      <c r="G7" s="15"/>
      <c r="H7" s="15"/>
      <c r="I7" s="15"/>
    </row>
    <row r="8" spans="1:9" ht="18" customHeight="1" x14ac:dyDescent="0.4">
      <c r="A8" s="17" t="b">
        <v>0</v>
      </c>
      <c r="B8" s="15" t="s">
        <v>141</v>
      </c>
      <c r="C8" s="15" t="s">
        <v>142</v>
      </c>
      <c r="D8" s="15" t="s">
        <v>132</v>
      </c>
      <c r="E8" s="15" t="s">
        <v>133</v>
      </c>
      <c r="F8" s="15" t="s">
        <v>143</v>
      </c>
      <c r="G8" s="15"/>
      <c r="H8" s="15"/>
      <c r="I8" s="15"/>
    </row>
    <row r="9" spans="1:9" ht="18" customHeight="1" x14ac:dyDescent="0.4">
      <c r="A9" s="17" t="b">
        <v>0</v>
      </c>
      <c r="B9" s="15" t="s">
        <v>144</v>
      </c>
      <c r="C9" s="15" t="s">
        <v>145</v>
      </c>
      <c r="D9" s="15" t="s">
        <v>132</v>
      </c>
      <c r="E9" s="15" t="s">
        <v>133</v>
      </c>
      <c r="F9" s="15" t="s">
        <v>146</v>
      </c>
      <c r="G9" s="15"/>
      <c r="H9" s="15"/>
      <c r="I9" s="15"/>
    </row>
    <row r="10" spans="1:9" ht="18" customHeight="1" x14ac:dyDescent="0.4">
      <c r="A10" s="17" t="b">
        <v>0</v>
      </c>
      <c r="B10" s="15" t="s">
        <v>147</v>
      </c>
      <c r="C10" s="15" t="s">
        <v>148</v>
      </c>
      <c r="D10" s="15" t="s">
        <v>132</v>
      </c>
      <c r="E10" s="15" t="s">
        <v>133</v>
      </c>
      <c r="F10" s="15" t="s">
        <v>149</v>
      </c>
      <c r="G10" s="15"/>
      <c r="H10" s="15"/>
      <c r="I10" s="15"/>
    </row>
    <row r="11" spans="1:9" ht="18" customHeight="1" x14ac:dyDescent="0.4">
      <c r="A11" s="17" t="b">
        <v>0</v>
      </c>
      <c r="B11" s="15" t="s">
        <v>150</v>
      </c>
      <c r="C11" s="15" t="s">
        <v>151</v>
      </c>
      <c r="D11" s="15" t="s">
        <v>152</v>
      </c>
      <c r="E11" s="15" t="s">
        <v>133</v>
      </c>
      <c r="F11" s="15" t="s">
        <v>153</v>
      </c>
      <c r="G11" s="15"/>
      <c r="H11" s="15"/>
      <c r="I11" s="15"/>
    </row>
    <row r="12" spans="1:9" ht="18" customHeight="1" x14ac:dyDescent="0.4">
      <c r="A12" s="17" t="b">
        <v>0</v>
      </c>
      <c r="B12" s="15" t="s">
        <v>154</v>
      </c>
      <c r="C12" s="15" t="s">
        <v>155</v>
      </c>
      <c r="D12" s="15" t="s">
        <v>152</v>
      </c>
      <c r="E12" s="15" t="s">
        <v>133</v>
      </c>
      <c r="F12" s="15" t="s">
        <v>156</v>
      </c>
      <c r="G12" s="15"/>
      <c r="H12" s="15"/>
      <c r="I12" s="15"/>
    </row>
    <row r="13" spans="1:9" ht="18" customHeight="1" x14ac:dyDescent="0.4">
      <c r="A13" s="17" t="b">
        <v>0</v>
      </c>
      <c r="B13" s="15" t="s">
        <v>157</v>
      </c>
      <c r="C13" s="15" t="s">
        <v>158</v>
      </c>
      <c r="D13" s="15" t="s">
        <v>152</v>
      </c>
      <c r="E13" s="15" t="s">
        <v>133</v>
      </c>
      <c r="F13" s="15" t="s">
        <v>159</v>
      </c>
      <c r="G13" s="15"/>
      <c r="H13" s="15"/>
      <c r="I13" s="15"/>
    </row>
    <row r="14" spans="1:9" ht="18" customHeight="1" x14ac:dyDescent="0.4">
      <c r="A14" s="17" t="b">
        <v>0</v>
      </c>
      <c r="B14" s="15" t="s">
        <v>160</v>
      </c>
      <c r="C14" s="15" t="s">
        <v>161</v>
      </c>
      <c r="D14" s="15" t="s">
        <v>152</v>
      </c>
      <c r="E14" s="15" t="s">
        <v>133</v>
      </c>
      <c r="F14" s="15" t="s">
        <v>162</v>
      </c>
      <c r="G14" s="15"/>
      <c r="H14" s="15"/>
      <c r="I14" s="15"/>
    </row>
    <row r="15" spans="1:9" ht="18" customHeight="1" x14ac:dyDescent="0.4">
      <c r="A15" s="17" t="b">
        <v>0</v>
      </c>
      <c r="B15" s="15" t="s">
        <v>163</v>
      </c>
      <c r="C15" s="15" t="s">
        <v>164</v>
      </c>
      <c r="D15" s="15" t="s">
        <v>152</v>
      </c>
      <c r="E15" s="15" t="s">
        <v>133</v>
      </c>
      <c r="F15" s="15" t="s">
        <v>165</v>
      </c>
      <c r="G15" s="15"/>
      <c r="H15" s="15"/>
      <c r="I15" s="15"/>
    </row>
    <row r="16" spans="1:9" ht="18" customHeight="1" x14ac:dyDescent="0.4">
      <c r="A16" s="17" t="b">
        <v>0</v>
      </c>
      <c r="B16" s="15" t="s">
        <v>166</v>
      </c>
      <c r="C16" s="15" t="s">
        <v>167</v>
      </c>
      <c r="D16" s="15" t="s">
        <v>152</v>
      </c>
      <c r="E16" s="15" t="s">
        <v>133</v>
      </c>
      <c r="F16" s="15" t="s">
        <v>168</v>
      </c>
      <c r="G16" s="15"/>
      <c r="H16" s="15"/>
      <c r="I16" s="15"/>
    </row>
    <row r="17" spans="1:9" ht="18" customHeight="1" x14ac:dyDescent="0.4">
      <c r="A17" s="17" t="b">
        <v>0</v>
      </c>
      <c r="B17" s="15" t="s">
        <v>169</v>
      </c>
      <c r="C17" s="15" t="s">
        <v>170</v>
      </c>
      <c r="D17" s="15" t="s">
        <v>152</v>
      </c>
      <c r="E17" s="15" t="s">
        <v>171</v>
      </c>
      <c r="F17" s="15" t="s">
        <v>172</v>
      </c>
      <c r="G17" s="15"/>
      <c r="H17" s="15"/>
      <c r="I17" s="15"/>
    </row>
    <row r="18" spans="1:9" ht="18" customHeight="1" x14ac:dyDescent="0.4">
      <c r="A18" s="17" t="b">
        <v>0</v>
      </c>
      <c r="B18" s="15" t="s">
        <v>173</v>
      </c>
      <c r="C18" s="15" t="s">
        <v>174</v>
      </c>
      <c r="D18" s="15" t="s">
        <v>175</v>
      </c>
      <c r="E18" s="15" t="s">
        <v>133</v>
      </c>
      <c r="F18" s="15" t="s">
        <v>176</v>
      </c>
      <c r="G18" s="15"/>
      <c r="H18" s="15"/>
      <c r="I18" s="15"/>
    </row>
    <row r="19" spans="1:9" ht="18" customHeight="1" x14ac:dyDescent="0.4">
      <c r="A19" s="17" t="b">
        <v>0</v>
      </c>
      <c r="B19" s="15" t="s">
        <v>177</v>
      </c>
      <c r="C19" s="15" t="s">
        <v>178</v>
      </c>
      <c r="D19" s="15" t="s">
        <v>175</v>
      </c>
      <c r="E19" s="15" t="s">
        <v>133</v>
      </c>
      <c r="F19" s="15" t="s">
        <v>179</v>
      </c>
      <c r="G19" s="15"/>
      <c r="H19" s="15"/>
      <c r="I19" s="15"/>
    </row>
    <row r="20" spans="1:9" ht="18" customHeight="1" x14ac:dyDescent="0.4">
      <c r="A20" s="17" t="b">
        <v>0</v>
      </c>
      <c r="B20" s="15" t="s">
        <v>180</v>
      </c>
      <c r="C20" s="15" t="s">
        <v>181</v>
      </c>
      <c r="D20" s="15" t="s">
        <v>175</v>
      </c>
      <c r="E20" s="15" t="s">
        <v>133</v>
      </c>
      <c r="F20" s="15" t="s">
        <v>182</v>
      </c>
      <c r="G20" s="15"/>
      <c r="H20" s="15"/>
      <c r="I20" s="15"/>
    </row>
    <row r="21" spans="1:9" ht="18" customHeight="1" x14ac:dyDescent="0.4">
      <c r="A21" s="17" t="b">
        <v>0</v>
      </c>
      <c r="B21" s="15" t="s">
        <v>183</v>
      </c>
      <c r="C21" s="15" t="s">
        <v>184</v>
      </c>
      <c r="D21" s="15" t="s">
        <v>152</v>
      </c>
      <c r="E21" s="15" t="s">
        <v>133</v>
      </c>
      <c r="F21" s="15" t="s">
        <v>185</v>
      </c>
      <c r="G21" s="15"/>
      <c r="H21" s="15"/>
      <c r="I21" s="15"/>
    </row>
    <row r="22" spans="1:9" ht="18" customHeight="1" x14ac:dyDescent="0.4">
      <c r="A22" s="17" t="b">
        <v>0</v>
      </c>
      <c r="B22" s="15" t="s">
        <v>186</v>
      </c>
      <c r="C22" s="15" t="s">
        <v>187</v>
      </c>
      <c r="D22" s="15" t="s">
        <v>152</v>
      </c>
      <c r="E22" s="15" t="s">
        <v>133</v>
      </c>
      <c r="F22" s="15" t="s">
        <v>188</v>
      </c>
      <c r="G22" s="15"/>
      <c r="H22" s="15"/>
      <c r="I22" s="15"/>
    </row>
    <row r="23" spans="1:9" ht="18" customHeight="1" x14ac:dyDescent="0.4">
      <c r="A23" s="17" t="b">
        <v>0</v>
      </c>
      <c r="B23" s="15" t="s">
        <v>189</v>
      </c>
      <c r="C23" s="15" t="s">
        <v>190</v>
      </c>
      <c r="D23" s="15" t="s">
        <v>152</v>
      </c>
      <c r="E23" s="15" t="s">
        <v>133</v>
      </c>
      <c r="F23" s="15" t="s">
        <v>191</v>
      </c>
      <c r="G23" s="15"/>
      <c r="H23" s="15"/>
      <c r="I23" s="15"/>
    </row>
    <row r="24" spans="1:9" ht="18" customHeight="1" x14ac:dyDescent="0.4">
      <c r="A24" s="17" t="b">
        <v>0</v>
      </c>
      <c r="B24" s="15" t="s">
        <v>192</v>
      </c>
      <c r="C24" s="15" t="s">
        <v>193</v>
      </c>
      <c r="D24" s="15" t="s">
        <v>152</v>
      </c>
      <c r="E24" s="15" t="s">
        <v>133</v>
      </c>
      <c r="F24" s="15" t="s">
        <v>194</v>
      </c>
      <c r="G24" s="15"/>
      <c r="H24" s="15"/>
      <c r="I24" s="15"/>
    </row>
    <row r="25" spans="1:9" ht="18" customHeight="1" x14ac:dyDescent="0.4">
      <c r="A25" s="17" t="b">
        <v>0</v>
      </c>
      <c r="B25" s="15" t="s">
        <v>195</v>
      </c>
      <c r="C25" s="15" t="s">
        <v>196</v>
      </c>
      <c r="D25" s="15" t="s">
        <v>152</v>
      </c>
      <c r="E25" s="15" t="s">
        <v>133</v>
      </c>
      <c r="F25" s="15" t="s">
        <v>197</v>
      </c>
      <c r="G25" s="15"/>
      <c r="H25" s="15"/>
      <c r="I25" s="15"/>
    </row>
    <row r="26" spans="1:9" ht="18" customHeight="1" x14ac:dyDescent="0.4">
      <c r="A26" s="17" t="b">
        <v>0</v>
      </c>
      <c r="B26" s="15" t="s">
        <v>198</v>
      </c>
      <c r="C26" s="15" t="s">
        <v>199</v>
      </c>
      <c r="D26" s="15" t="s">
        <v>152</v>
      </c>
      <c r="E26" s="15" t="s">
        <v>133</v>
      </c>
      <c r="F26" s="15" t="s">
        <v>200</v>
      </c>
      <c r="G26" s="15"/>
      <c r="H26" s="15"/>
      <c r="I26" s="15"/>
    </row>
    <row r="27" spans="1:9" ht="18" customHeight="1" x14ac:dyDescent="0.4">
      <c r="A27" s="17" t="b">
        <v>0</v>
      </c>
      <c r="B27" s="15" t="s">
        <v>201</v>
      </c>
      <c r="C27" s="15" t="s">
        <v>202</v>
      </c>
      <c r="D27" s="15" t="s">
        <v>152</v>
      </c>
      <c r="E27" s="15" t="s">
        <v>133</v>
      </c>
      <c r="F27" s="15" t="s">
        <v>203</v>
      </c>
      <c r="G27" s="15"/>
      <c r="H27" s="15"/>
      <c r="I27" s="15"/>
    </row>
    <row r="28" spans="1:9" ht="18" customHeight="1" x14ac:dyDescent="0.4">
      <c r="A28" s="17" t="b">
        <v>0</v>
      </c>
      <c r="B28" s="15" t="s">
        <v>204</v>
      </c>
      <c r="C28" s="15" t="s">
        <v>205</v>
      </c>
      <c r="D28" s="15" t="s">
        <v>152</v>
      </c>
      <c r="E28" s="15" t="s">
        <v>133</v>
      </c>
      <c r="F28" s="15" t="s">
        <v>206</v>
      </c>
      <c r="G28" s="15"/>
      <c r="H28" s="15"/>
      <c r="I28" s="15"/>
    </row>
    <row r="29" spans="1:9" ht="18" customHeight="1" x14ac:dyDescent="0.4">
      <c r="A29" s="17" t="b">
        <v>0</v>
      </c>
      <c r="B29" s="15" t="s">
        <v>207</v>
      </c>
      <c r="C29" s="15" t="s">
        <v>208</v>
      </c>
      <c r="D29" s="15" t="s">
        <v>152</v>
      </c>
      <c r="E29" s="15" t="s">
        <v>133</v>
      </c>
      <c r="F29" s="15" t="s">
        <v>209</v>
      </c>
      <c r="G29" s="15"/>
      <c r="H29" s="15"/>
      <c r="I29" s="15"/>
    </row>
    <row r="30" spans="1:9" ht="18" customHeight="1" x14ac:dyDescent="0.4">
      <c r="A30" s="17" t="b">
        <v>0</v>
      </c>
      <c r="B30" s="15" t="s">
        <v>210</v>
      </c>
      <c r="C30" s="15" t="s">
        <v>211</v>
      </c>
      <c r="D30" s="15" t="s">
        <v>152</v>
      </c>
      <c r="E30" s="15" t="s">
        <v>212</v>
      </c>
      <c r="F30" s="15"/>
      <c r="G30" s="15"/>
      <c r="H30" s="15"/>
      <c r="I30" s="15"/>
    </row>
    <row r="31" spans="1:9" ht="18" customHeight="1" x14ac:dyDescent="0.4">
      <c r="A31" s="17" t="b">
        <v>0</v>
      </c>
      <c r="B31" s="15" t="s">
        <v>213</v>
      </c>
      <c r="C31" s="15" t="s">
        <v>214</v>
      </c>
      <c r="D31" s="15" t="s">
        <v>152</v>
      </c>
      <c r="E31" s="15" t="s">
        <v>133</v>
      </c>
      <c r="F31" s="15" t="s">
        <v>215</v>
      </c>
      <c r="G31" s="15"/>
      <c r="H31" s="15"/>
      <c r="I31" s="15"/>
    </row>
    <row r="32" spans="1:9" ht="18" customHeight="1" x14ac:dyDescent="0.4">
      <c r="A32" s="17" t="b">
        <v>0</v>
      </c>
      <c r="B32" s="15" t="s">
        <v>216</v>
      </c>
      <c r="C32" s="15" t="s">
        <v>217</v>
      </c>
      <c r="D32" s="15" t="s">
        <v>152</v>
      </c>
      <c r="E32" s="15" t="s">
        <v>212</v>
      </c>
      <c r="F32" s="15"/>
      <c r="G32" s="15"/>
      <c r="H32" s="15"/>
      <c r="I32" s="15"/>
    </row>
    <row r="33" spans="1:9" ht="18" customHeight="1" x14ac:dyDescent="0.4">
      <c r="A33" s="17" t="b">
        <v>0</v>
      </c>
      <c r="B33" s="15" t="s">
        <v>218</v>
      </c>
      <c r="C33" s="15" t="s">
        <v>219</v>
      </c>
      <c r="D33" s="15" t="s">
        <v>152</v>
      </c>
      <c r="E33" s="15" t="s">
        <v>133</v>
      </c>
      <c r="F33" s="15" t="s">
        <v>220</v>
      </c>
      <c r="G33" s="15"/>
      <c r="H33" s="15"/>
      <c r="I33" s="15"/>
    </row>
    <row r="34" spans="1:9" ht="18" customHeight="1" x14ac:dyDescent="0.4">
      <c r="A34" s="17" t="b">
        <v>0</v>
      </c>
      <c r="B34" s="15" t="s">
        <v>221</v>
      </c>
      <c r="C34" s="15" t="s">
        <v>222</v>
      </c>
      <c r="D34" s="15" t="s">
        <v>152</v>
      </c>
      <c r="E34" s="15" t="s">
        <v>133</v>
      </c>
      <c r="F34" s="15" t="s">
        <v>223</v>
      </c>
      <c r="G34" s="15"/>
      <c r="H34" s="15"/>
      <c r="I34" s="15"/>
    </row>
    <row r="35" spans="1:9" ht="18" customHeight="1" x14ac:dyDescent="0.4">
      <c r="A35" s="17" t="b">
        <v>0</v>
      </c>
      <c r="B35" s="15" t="s">
        <v>224</v>
      </c>
      <c r="C35" s="15" t="s">
        <v>225</v>
      </c>
      <c r="D35" s="15" t="s">
        <v>152</v>
      </c>
      <c r="E35" s="15" t="s">
        <v>133</v>
      </c>
      <c r="F35" s="15" t="s">
        <v>226</v>
      </c>
      <c r="G35" s="15"/>
      <c r="H35" s="15"/>
      <c r="I35" s="15"/>
    </row>
    <row r="36" spans="1:9" ht="18" customHeight="1" x14ac:dyDescent="0.4">
      <c r="A36" s="17" t="b">
        <v>0</v>
      </c>
      <c r="B36" s="15" t="s">
        <v>227</v>
      </c>
      <c r="C36" s="15" t="s">
        <v>228</v>
      </c>
      <c r="D36" s="15" t="s">
        <v>175</v>
      </c>
      <c r="E36" s="15" t="s">
        <v>133</v>
      </c>
      <c r="F36" s="15" t="s">
        <v>229</v>
      </c>
      <c r="G36" s="15"/>
      <c r="H36" s="15"/>
      <c r="I36" s="15"/>
    </row>
    <row r="37" spans="1:9" ht="18" customHeight="1" x14ac:dyDescent="0.4">
      <c r="A37" s="17" t="b">
        <v>0</v>
      </c>
      <c r="B37" s="15" t="s">
        <v>230</v>
      </c>
      <c r="C37" s="15" t="s">
        <v>231</v>
      </c>
      <c r="D37" s="15" t="s">
        <v>175</v>
      </c>
      <c r="E37" s="15" t="s">
        <v>133</v>
      </c>
      <c r="F37" s="15" t="s">
        <v>232</v>
      </c>
      <c r="G37" s="15"/>
      <c r="H37" s="15"/>
      <c r="I37" s="15"/>
    </row>
    <row r="38" spans="1:9" ht="18" customHeight="1" x14ac:dyDescent="0.4">
      <c r="A38" s="17" t="b">
        <v>0</v>
      </c>
      <c r="B38" s="15" t="s">
        <v>233</v>
      </c>
      <c r="C38" s="15" t="s">
        <v>234</v>
      </c>
      <c r="D38" s="15" t="s">
        <v>175</v>
      </c>
      <c r="E38" s="15" t="s">
        <v>133</v>
      </c>
      <c r="F38" s="15" t="s">
        <v>235</v>
      </c>
      <c r="G38" s="15"/>
      <c r="H38" s="15"/>
      <c r="I38" s="15"/>
    </row>
    <row r="39" spans="1:9" ht="18" customHeight="1" x14ac:dyDescent="0.4">
      <c r="A39" s="17" t="b">
        <v>0</v>
      </c>
      <c r="B39" s="15" t="s">
        <v>236</v>
      </c>
      <c r="C39" s="15" t="s">
        <v>237</v>
      </c>
      <c r="D39" s="15" t="s">
        <v>175</v>
      </c>
      <c r="E39" s="15" t="s">
        <v>133</v>
      </c>
      <c r="F39" s="15" t="s">
        <v>238</v>
      </c>
      <c r="G39" s="15"/>
      <c r="H39" s="15"/>
      <c r="I39" s="15"/>
    </row>
    <row r="40" spans="1:9" ht="18" customHeight="1" x14ac:dyDescent="0.4">
      <c r="A40" s="17" t="b">
        <v>0</v>
      </c>
      <c r="B40" s="15" t="s">
        <v>239</v>
      </c>
      <c r="C40" s="15" t="s">
        <v>240</v>
      </c>
      <c r="D40" s="15" t="s">
        <v>175</v>
      </c>
      <c r="E40" s="15" t="s">
        <v>133</v>
      </c>
      <c r="F40" s="15" t="s">
        <v>241</v>
      </c>
      <c r="G40" s="15"/>
      <c r="H40" s="15"/>
      <c r="I40" s="15"/>
    </row>
    <row r="41" spans="1:9" ht="18" customHeight="1" x14ac:dyDescent="0.4">
      <c r="A41" s="17" t="b">
        <v>0</v>
      </c>
      <c r="B41" s="15" t="s">
        <v>242</v>
      </c>
      <c r="C41" s="15" t="s">
        <v>243</v>
      </c>
      <c r="D41" s="15" t="s">
        <v>175</v>
      </c>
      <c r="E41" s="15" t="s">
        <v>133</v>
      </c>
      <c r="F41" s="15" t="s">
        <v>244</v>
      </c>
      <c r="G41" s="15"/>
      <c r="H41" s="15"/>
      <c r="I41" s="15"/>
    </row>
    <row r="42" spans="1:9" ht="18" customHeight="1" x14ac:dyDescent="0.4">
      <c r="A42" s="17" t="b">
        <v>0</v>
      </c>
      <c r="B42" s="15" t="s">
        <v>245</v>
      </c>
      <c r="C42" s="15" t="s">
        <v>246</v>
      </c>
      <c r="D42" s="15" t="s">
        <v>175</v>
      </c>
      <c r="E42" s="15" t="s">
        <v>133</v>
      </c>
      <c r="F42" s="15" t="s">
        <v>247</v>
      </c>
      <c r="G42" s="15"/>
      <c r="H42" s="15"/>
      <c r="I42" s="15"/>
    </row>
    <row r="43" spans="1:9" ht="18" customHeight="1" x14ac:dyDescent="0.4">
      <c r="A43" s="17" t="b">
        <v>0</v>
      </c>
      <c r="B43" s="15" t="s">
        <v>248</v>
      </c>
      <c r="C43" s="15" t="s">
        <v>249</v>
      </c>
      <c r="D43" s="15" t="s">
        <v>175</v>
      </c>
      <c r="E43" s="15" t="s">
        <v>133</v>
      </c>
      <c r="F43" s="15" t="s">
        <v>250</v>
      </c>
      <c r="G43" s="15"/>
      <c r="H43" s="15"/>
      <c r="I43" s="15"/>
    </row>
    <row r="44" spans="1:9" ht="18" customHeight="1" x14ac:dyDescent="0.4">
      <c r="A44" s="17" t="b">
        <v>0</v>
      </c>
      <c r="B44" s="15" t="s">
        <v>251</v>
      </c>
      <c r="C44" s="15" t="s">
        <v>139</v>
      </c>
      <c r="D44" s="15" t="s">
        <v>175</v>
      </c>
      <c r="E44" s="15" t="s">
        <v>133</v>
      </c>
      <c r="F44" s="15" t="s">
        <v>252</v>
      </c>
      <c r="G44" s="15"/>
      <c r="H44" s="15"/>
      <c r="I44" s="15"/>
    </row>
    <row r="45" spans="1:9" ht="18" customHeight="1" x14ac:dyDescent="0.4">
      <c r="A45" s="17" t="b">
        <v>0</v>
      </c>
      <c r="B45" s="15" t="s">
        <v>253</v>
      </c>
      <c r="C45" s="15" t="s">
        <v>254</v>
      </c>
      <c r="D45" s="15" t="s">
        <v>255</v>
      </c>
      <c r="E45" s="15" t="s">
        <v>133</v>
      </c>
      <c r="F45" s="15" t="s">
        <v>256</v>
      </c>
      <c r="G45" s="15"/>
      <c r="H45" s="15"/>
      <c r="I45" s="15"/>
    </row>
    <row r="46" spans="1:9" ht="18" customHeight="1" x14ac:dyDescent="0.4">
      <c r="A46" s="17" t="b">
        <v>0</v>
      </c>
      <c r="B46" s="15" t="s">
        <v>257</v>
      </c>
      <c r="C46" s="15" t="s">
        <v>258</v>
      </c>
      <c r="D46" s="15" t="s">
        <v>255</v>
      </c>
      <c r="E46" s="15" t="s">
        <v>133</v>
      </c>
      <c r="F46" s="15" t="s">
        <v>259</v>
      </c>
      <c r="G46" s="15"/>
      <c r="H46" s="15"/>
      <c r="I46" s="15"/>
    </row>
    <row r="47" spans="1:9" ht="18" customHeight="1" x14ac:dyDescent="0.4">
      <c r="A47" s="17" t="b">
        <v>0</v>
      </c>
      <c r="B47" s="15" t="s">
        <v>260</v>
      </c>
      <c r="C47" s="15" t="s">
        <v>261</v>
      </c>
      <c r="D47" s="15" t="s">
        <v>255</v>
      </c>
      <c r="E47" s="15" t="s">
        <v>133</v>
      </c>
      <c r="F47" s="15" t="s">
        <v>262</v>
      </c>
      <c r="G47" s="15"/>
      <c r="H47" s="15"/>
      <c r="I47" s="15"/>
    </row>
    <row r="48" spans="1:9" ht="18" customHeight="1" x14ac:dyDescent="0.4">
      <c r="A48" s="17" t="b">
        <v>0</v>
      </c>
      <c r="B48" s="15" t="s">
        <v>263</v>
      </c>
      <c r="C48" s="15" t="s">
        <v>264</v>
      </c>
      <c r="D48" s="15" t="s">
        <v>265</v>
      </c>
      <c r="E48" s="15" t="s">
        <v>133</v>
      </c>
      <c r="F48" s="15" t="s">
        <v>266</v>
      </c>
      <c r="G48" s="15"/>
      <c r="H48" s="15"/>
      <c r="I48" s="15"/>
    </row>
    <row r="49" spans="1:9" ht="18" customHeight="1" x14ac:dyDescent="0.4">
      <c r="A49" s="17" t="b">
        <v>0</v>
      </c>
      <c r="B49" s="15" t="s">
        <v>267</v>
      </c>
      <c r="C49" s="15" t="s">
        <v>268</v>
      </c>
      <c r="D49" s="15" t="s">
        <v>265</v>
      </c>
      <c r="E49" s="15" t="s">
        <v>133</v>
      </c>
      <c r="F49" s="15" t="s">
        <v>269</v>
      </c>
      <c r="G49" s="15"/>
      <c r="H49" s="15"/>
      <c r="I49" s="15"/>
    </row>
    <row r="50" spans="1:9" ht="18" customHeight="1" x14ac:dyDescent="0.4">
      <c r="A50" s="17" t="b">
        <v>0</v>
      </c>
      <c r="B50" s="15" t="s">
        <v>270</v>
      </c>
      <c r="C50" s="15" t="s">
        <v>271</v>
      </c>
      <c r="D50" s="15" t="s">
        <v>265</v>
      </c>
      <c r="E50" s="15" t="s">
        <v>133</v>
      </c>
      <c r="F50" s="15" t="s">
        <v>272</v>
      </c>
      <c r="G50" s="15"/>
      <c r="H50" s="15"/>
      <c r="I50" s="15"/>
    </row>
    <row r="51" spans="1:9" ht="18" customHeight="1" x14ac:dyDescent="0.4">
      <c r="A51" s="17" t="b">
        <v>0</v>
      </c>
      <c r="B51" s="15" t="s">
        <v>273</v>
      </c>
      <c r="C51" s="15" t="s">
        <v>274</v>
      </c>
      <c r="D51" s="15" t="s">
        <v>265</v>
      </c>
      <c r="E51" s="15" t="s">
        <v>133</v>
      </c>
      <c r="F51" s="15" t="s">
        <v>275</v>
      </c>
      <c r="G51" s="15"/>
      <c r="H51" s="15"/>
      <c r="I51" s="15"/>
    </row>
    <row r="52" spans="1:9" ht="18" customHeight="1" x14ac:dyDescent="0.4">
      <c r="A52" s="17" t="b">
        <v>0</v>
      </c>
      <c r="B52" s="15" t="s">
        <v>276</v>
      </c>
      <c r="C52" s="15" t="s">
        <v>277</v>
      </c>
      <c r="D52" s="15" t="s">
        <v>265</v>
      </c>
      <c r="E52" s="15" t="s">
        <v>133</v>
      </c>
      <c r="F52" s="15" t="s">
        <v>278</v>
      </c>
      <c r="G52" s="15"/>
      <c r="H52" s="15"/>
      <c r="I52" s="15"/>
    </row>
    <row r="53" spans="1:9" ht="18" customHeight="1" x14ac:dyDescent="0.4">
      <c r="A53" s="17" t="b">
        <v>0</v>
      </c>
      <c r="B53" s="15" t="s">
        <v>279</v>
      </c>
      <c r="C53" s="15" t="s">
        <v>280</v>
      </c>
      <c r="D53" s="15" t="s">
        <v>281</v>
      </c>
      <c r="E53" s="15" t="s">
        <v>133</v>
      </c>
      <c r="F53" s="15" t="s">
        <v>282</v>
      </c>
      <c r="G53" s="15"/>
      <c r="H53" s="15"/>
      <c r="I53" s="15"/>
    </row>
    <row r="54" spans="1:9" ht="18" customHeight="1" x14ac:dyDescent="0.4">
      <c r="A54" s="17" t="b">
        <v>0</v>
      </c>
      <c r="B54" s="15" t="s">
        <v>283</v>
      </c>
      <c r="C54" s="15" t="s">
        <v>284</v>
      </c>
      <c r="D54" s="15" t="s">
        <v>281</v>
      </c>
      <c r="E54" s="15" t="s">
        <v>133</v>
      </c>
      <c r="F54" s="15" t="s">
        <v>285</v>
      </c>
      <c r="G54" s="15"/>
      <c r="H54" s="15"/>
      <c r="I54" s="15"/>
    </row>
    <row r="55" spans="1:9" ht="18" customHeight="1" x14ac:dyDescent="0.4">
      <c r="A55" s="17" t="b">
        <v>0</v>
      </c>
      <c r="B55" s="15" t="s">
        <v>286</v>
      </c>
      <c r="C55" s="15" t="s">
        <v>287</v>
      </c>
      <c r="D55" s="15" t="s">
        <v>281</v>
      </c>
      <c r="E55" s="15" t="s">
        <v>212</v>
      </c>
      <c r="F55" s="15"/>
      <c r="G55" s="15"/>
      <c r="H55" s="15"/>
      <c r="I55" s="15"/>
    </row>
    <row r="56" spans="1:9" ht="18" customHeight="1" x14ac:dyDescent="0.4">
      <c r="A56" s="17" t="b">
        <v>0</v>
      </c>
      <c r="B56" s="15" t="s">
        <v>288</v>
      </c>
      <c r="C56" s="15" t="s">
        <v>289</v>
      </c>
      <c r="D56" s="15" t="s">
        <v>281</v>
      </c>
      <c r="E56" s="15" t="s">
        <v>212</v>
      </c>
      <c r="F56" s="15"/>
      <c r="G56" s="15"/>
      <c r="H56" s="15"/>
      <c r="I56" s="15"/>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4"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5"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6"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7" r:id="rId6"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8" r:id="rId7"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9" r:id="rId8"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30" r:id="rId9"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1" r:id="rId10"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2" r:id="rId11"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3" r:id="rId12"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3"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4"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5"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7" r:id="rId16"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8" r:id="rId17"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39" r:id="rId18"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0" r:id="rId19"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1" r:id="rId20"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2" r:id="rId21"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3" r:id="rId22"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4" r:id="rId23"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5" r:id="rId24"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46" r:id="rId25"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47" r:id="rId26"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48" r:id="rId27"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49" r:id="rId28"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0" r:id="rId29"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1" r:id="rId30"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2" r:id="rId31"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3" r:id="rId32"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54" r:id="rId3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55" r:id="rId3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56" r:id="rId3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57" r:id="rId36"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58" r:id="rId37"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59" r:id="rId38"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0" r:id="rId39"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61" r:id="rId40"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62" r:id="rId41"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63" r:id="rId42"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64" r:id="rId43"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65" r:id="rId44"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66" r:id="rId45"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67" r:id="rId46"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68" r:id="rId47"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69" r:id="rId48"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70" r:id="rId49"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71" r:id="rId50"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72" r:id="rId51"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73" r:id="rId52"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74" r:id="rId53"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75" r:id="rId54"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76" r:id="rId55"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77" r:id="rId56"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78" r:id="rId57"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79" r:id="rId58"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80" r:id="rId59"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81" r:id="rId60"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82" r:id="rId61"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83" r:id="rId62"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184" r:id="rId6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185" r:id="rId6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186" r:id="rId6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187" r:id="rId66"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188" r:id="rId67"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189" r:id="rId68"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190" r:id="rId69"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191" r:id="rId70"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192" r:id="rId71"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193" r:id="rId72"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194" r:id="rId73"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195" r:id="rId74"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196" r:id="rId75"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197" r:id="rId76"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198" r:id="rId77"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199" r:id="rId78"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00" r:id="rId79"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01" r:id="rId80"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02" r:id="rId81"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03" r:id="rId82"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04" r:id="rId83"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05" r:id="rId84"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06" r:id="rId85"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07" r:id="rId86"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08" r:id="rId87"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09" r:id="rId88"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10" r:id="rId89"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11" r:id="rId90"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12" r:id="rId91"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13" r:id="rId92"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14" r:id="rId9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15" r:id="rId9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16" r:id="rId9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17" r:id="rId96"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18" r:id="rId97"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19" r:id="rId98"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20" r:id="rId99"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21" r:id="rId100"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22" r:id="rId101"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23" r:id="rId102"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24" r:id="rId103"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25" r:id="rId104"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26" r:id="rId105"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27" r:id="rId106"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28" r:id="rId107"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29" r:id="rId108"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30" r:id="rId109"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31" r:id="rId110"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32" r:id="rId111"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33" r:id="rId112"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34" r:id="rId113"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35" r:id="rId114"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36" r:id="rId115"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37" r:id="rId116"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38" r:id="rId117"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39" r:id="rId118"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40" r:id="rId119"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41" r:id="rId120"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42" r:id="rId121"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43" r:id="rId122"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44" r:id="rId12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45" r:id="rId12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46" r:id="rId12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47" r:id="rId126"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48" r:id="rId127"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49" r:id="rId128"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50" r:id="rId129"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51" r:id="rId130"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52" r:id="rId131"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53" r:id="rId132"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54" r:id="rId133"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55" r:id="rId134"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56" r:id="rId135"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57" r:id="rId136"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58" r:id="rId137"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259" r:id="rId138"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260" r:id="rId139"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261" r:id="rId140"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262" r:id="rId141"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263" r:id="rId142"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264" r:id="rId143"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6E480-1E15-40D0-93AF-61278B802A6A}">
  <sheetPr codeName="Sheet6"/>
  <dimension ref="A1:F12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6" t="s">
        <v>1277</v>
      </c>
    </row>
    <row r="2" spans="1:6" x14ac:dyDescent="0.4">
      <c r="A2" t="s">
        <v>1278</v>
      </c>
    </row>
    <row r="3" spans="1:6" x14ac:dyDescent="0.4">
      <c r="A3" t="s">
        <v>86</v>
      </c>
      <c r="B3" s="5"/>
      <c r="C3" t="s">
        <v>911</v>
      </c>
      <c r="D3" s="5"/>
      <c r="E3" t="s">
        <v>912</v>
      </c>
      <c r="F3" s="5"/>
    </row>
    <row r="6" spans="1:6" x14ac:dyDescent="0.4">
      <c r="A6" s="66" t="s">
        <v>859</v>
      </c>
      <c r="B6" s="66" t="s">
        <v>911</v>
      </c>
      <c r="C6" s="66" t="s">
        <v>912</v>
      </c>
      <c r="D6" s="66" t="s">
        <v>86</v>
      </c>
      <c r="E6" s="66" t="s">
        <v>308</v>
      </c>
      <c r="F6" s="66" t="s">
        <v>378</v>
      </c>
    </row>
    <row r="7" spans="1:6" x14ac:dyDescent="0.4">
      <c r="A7" s="15"/>
      <c r="B7" s="15"/>
      <c r="C7" s="15"/>
      <c r="D7" s="15"/>
      <c r="E7" s="15"/>
      <c r="F7" s="15"/>
    </row>
    <row r="8" spans="1:6" x14ac:dyDescent="0.4">
      <c r="A8" s="15"/>
      <c r="B8" s="15"/>
      <c r="C8" s="15"/>
      <c r="D8" s="15"/>
      <c r="E8" s="15"/>
      <c r="F8" s="15"/>
    </row>
    <row r="9" spans="1:6" x14ac:dyDescent="0.4">
      <c r="A9" s="15"/>
      <c r="B9" s="15"/>
      <c r="C9" s="15"/>
      <c r="D9" s="15"/>
      <c r="E9" s="15"/>
      <c r="F9" s="15"/>
    </row>
    <row r="10" spans="1:6" x14ac:dyDescent="0.4">
      <c r="A10" s="15"/>
      <c r="B10" s="15"/>
      <c r="C10" s="15"/>
      <c r="D10" s="15"/>
      <c r="E10" s="15"/>
      <c r="F10" s="15"/>
    </row>
    <row r="11" spans="1:6" x14ac:dyDescent="0.4">
      <c r="A11" s="15"/>
      <c r="B11" s="15"/>
      <c r="C11" s="15"/>
      <c r="D11" s="15"/>
      <c r="E11" s="15"/>
      <c r="F11" s="15"/>
    </row>
    <row r="12" spans="1:6" x14ac:dyDescent="0.4">
      <c r="A12" s="15"/>
      <c r="B12" s="15"/>
      <c r="C12" s="15"/>
      <c r="D12" s="15"/>
      <c r="E12" s="15"/>
      <c r="F12" s="15"/>
    </row>
    <row r="13" spans="1:6" x14ac:dyDescent="0.4">
      <c r="A13" s="15"/>
      <c r="B13" s="15"/>
      <c r="C13" s="15"/>
      <c r="D13" s="15"/>
      <c r="E13" s="15"/>
      <c r="F13" s="15"/>
    </row>
    <row r="14" spans="1:6" x14ac:dyDescent="0.4">
      <c r="A14" s="15"/>
      <c r="B14" s="15"/>
      <c r="C14" s="15"/>
      <c r="D14" s="15"/>
      <c r="E14" s="15"/>
      <c r="F14" s="15"/>
    </row>
    <row r="15" spans="1:6" x14ac:dyDescent="0.4">
      <c r="A15" s="15"/>
      <c r="B15" s="15"/>
      <c r="C15" s="15"/>
      <c r="D15" s="15"/>
      <c r="E15" s="15"/>
      <c r="F15" s="15"/>
    </row>
    <row r="16" spans="1:6" x14ac:dyDescent="0.4">
      <c r="A16" s="15"/>
      <c r="B16" s="15"/>
      <c r="C16" s="15"/>
      <c r="D16" s="15"/>
      <c r="E16" s="15"/>
      <c r="F16" s="15"/>
    </row>
    <row r="17" spans="1:6" x14ac:dyDescent="0.4">
      <c r="A17" s="15"/>
      <c r="B17" s="15"/>
      <c r="C17" s="15"/>
      <c r="D17" s="15"/>
      <c r="E17" s="15"/>
      <c r="F17" s="15"/>
    </row>
    <row r="18" spans="1:6" x14ac:dyDescent="0.4">
      <c r="A18" s="15"/>
      <c r="B18" s="15"/>
      <c r="C18" s="15"/>
      <c r="D18" s="15"/>
      <c r="E18" s="15"/>
      <c r="F18" s="15"/>
    </row>
    <row r="19" spans="1:6" x14ac:dyDescent="0.4">
      <c r="A19" s="15"/>
      <c r="B19" s="15"/>
      <c r="C19" s="15"/>
      <c r="D19" s="15"/>
      <c r="E19" s="15"/>
      <c r="F19" s="15"/>
    </row>
    <row r="20" spans="1:6" x14ac:dyDescent="0.4">
      <c r="A20" s="15"/>
      <c r="B20" s="15"/>
      <c r="C20" s="15"/>
      <c r="D20" s="15"/>
      <c r="E20" s="15"/>
      <c r="F20" s="15"/>
    </row>
    <row r="21" spans="1:6" x14ac:dyDescent="0.4">
      <c r="A21" s="15"/>
      <c r="B21" s="15"/>
      <c r="C21" s="15"/>
      <c r="D21" s="15"/>
      <c r="E21" s="15"/>
      <c r="F21" s="15"/>
    </row>
    <row r="22" spans="1:6" x14ac:dyDescent="0.4">
      <c r="A22" s="15"/>
      <c r="B22" s="15"/>
      <c r="C22" s="15"/>
      <c r="D22" s="15"/>
      <c r="E22" s="15"/>
      <c r="F22" s="15"/>
    </row>
    <row r="23" spans="1:6" x14ac:dyDescent="0.4">
      <c r="A23" s="15"/>
      <c r="B23" s="15"/>
      <c r="C23" s="15"/>
      <c r="D23" s="15"/>
      <c r="E23" s="15"/>
      <c r="F23" s="15"/>
    </row>
    <row r="24" spans="1:6" x14ac:dyDescent="0.4">
      <c r="A24" s="15"/>
      <c r="B24" s="15"/>
      <c r="C24" s="15"/>
      <c r="D24" s="15"/>
      <c r="E24" s="15"/>
      <c r="F24" s="15"/>
    </row>
    <row r="25" spans="1:6" x14ac:dyDescent="0.4">
      <c r="A25" s="15"/>
      <c r="B25" s="15"/>
      <c r="C25" s="15"/>
      <c r="D25" s="15"/>
      <c r="E25" s="15"/>
      <c r="F25" s="15"/>
    </row>
    <row r="26" spans="1:6" x14ac:dyDescent="0.4">
      <c r="A26" s="15"/>
      <c r="B26" s="15"/>
      <c r="C26" s="15"/>
      <c r="D26" s="15"/>
      <c r="E26" s="15"/>
      <c r="F26" s="15"/>
    </row>
    <row r="27" spans="1:6" x14ac:dyDescent="0.4">
      <c r="A27" s="15"/>
      <c r="B27" s="15"/>
      <c r="C27" s="15"/>
      <c r="D27" s="15"/>
      <c r="E27" s="15"/>
      <c r="F27" s="15"/>
    </row>
    <row r="28" spans="1:6" x14ac:dyDescent="0.4">
      <c r="A28" s="15"/>
      <c r="B28" s="15"/>
      <c r="C28" s="15"/>
      <c r="D28" s="15"/>
      <c r="E28" s="15"/>
      <c r="F28" s="15"/>
    </row>
    <row r="29" spans="1:6" x14ac:dyDescent="0.4">
      <c r="A29" s="15"/>
      <c r="B29" s="15"/>
      <c r="C29" s="15"/>
      <c r="D29" s="15"/>
      <c r="E29" s="15"/>
      <c r="F29" s="15"/>
    </row>
    <row r="30" spans="1:6" x14ac:dyDescent="0.4">
      <c r="A30" s="15"/>
      <c r="B30" s="15"/>
      <c r="C30" s="15"/>
      <c r="D30" s="15"/>
      <c r="E30" s="15"/>
      <c r="F30" s="15"/>
    </row>
    <row r="31" spans="1:6" x14ac:dyDescent="0.4">
      <c r="A31" s="15"/>
      <c r="B31" s="15"/>
      <c r="C31" s="15"/>
      <c r="D31" s="15"/>
      <c r="E31" s="15"/>
      <c r="F31" s="15"/>
    </row>
    <row r="32" spans="1:6" x14ac:dyDescent="0.4">
      <c r="A32" s="15"/>
      <c r="B32" s="15"/>
      <c r="C32" s="15"/>
      <c r="D32" s="15"/>
      <c r="E32" s="15"/>
      <c r="F32" s="15"/>
    </row>
    <row r="33" spans="1:6" x14ac:dyDescent="0.4">
      <c r="A33" s="15"/>
      <c r="B33" s="15"/>
      <c r="C33" s="15"/>
      <c r="D33" s="15"/>
      <c r="E33" s="15"/>
      <c r="F33" s="15"/>
    </row>
    <row r="34" spans="1:6" x14ac:dyDescent="0.4">
      <c r="A34" s="15"/>
      <c r="B34" s="15"/>
      <c r="C34" s="15"/>
      <c r="D34" s="15"/>
      <c r="E34" s="15"/>
      <c r="F34" s="15"/>
    </row>
    <row r="35" spans="1:6" x14ac:dyDescent="0.4">
      <c r="A35" s="15"/>
      <c r="B35" s="15"/>
      <c r="C35" s="15"/>
      <c r="D35" s="15"/>
      <c r="E35" s="15"/>
      <c r="F35" s="15"/>
    </row>
    <row r="36" spans="1:6" x14ac:dyDescent="0.4">
      <c r="A36" s="15"/>
      <c r="B36" s="15"/>
      <c r="C36" s="15"/>
      <c r="D36" s="15"/>
      <c r="E36" s="15"/>
      <c r="F36" s="15"/>
    </row>
    <row r="37" spans="1:6" x14ac:dyDescent="0.4">
      <c r="A37" s="15"/>
      <c r="B37" s="15"/>
      <c r="C37" s="15"/>
      <c r="D37" s="15"/>
      <c r="E37" s="15"/>
      <c r="F37" s="15"/>
    </row>
    <row r="38" spans="1:6" x14ac:dyDescent="0.4">
      <c r="A38" s="15"/>
      <c r="B38" s="15"/>
      <c r="C38" s="15"/>
      <c r="D38" s="15"/>
      <c r="E38" s="15"/>
      <c r="F38" s="15"/>
    </row>
    <row r="39" spans="1:6" x14ac:dyDescent="0.4">
      <c r="A39" s="15"/>
      <c r="B39" s="15"/>
      <c r="C39" s="15"/>
      <c r="D39" s="15"/>
      <c r="E39" s="15"/>
      <c r="F39" s="15"/>
    </row>
    <row r="40" spans="1:6" x14ac:dyDescent="0.4">
      <c r="A40" s="15"/>
      <c r="B40" s="15"/>
      <c r="C40" s="15"/>
      <c r="D40" s="15"/>
      <c r="E40" s="15"/>
      <c r="F40" s="15"/>
    </row>
    <row r="41" spans="1:6" x14ac:dyDescent="0.4">
      <c r="A41" s="15"/>
      <c r="B41" s="15"/>
      <c r="C41" s="15"/>
      <c r="D41" s="15"/>
      <c r="E41" s="15"/>
      <c r="F41" s="15"/>
    </row>
    <row r="42" spans="1:6" x14ac:dyDescent="0.4">
      <c r="A42" s="15"/>
      <c r="B42" s="15"/>
      <c r="C42" s="15"/>
      <c r="D42" s="15"/>
      <c r="E42" s="15"/>
      <c r="F42" s="15"/>
    </row>
    <row r="43" spans="1:6" x14ac:dyDescent="0.4">
      <c r="A43" s="15"/>
      <c r="B43" s="15"/>
      <c r="C43" s="15"/>
      <c r="D43" s="15"/>
      <c r="E43" s="15"/>
      <c r="F43" s="15"/>
    </row>
    <row r="44" spans="1:6" x14ac:dyDescent="0.4">
      <c r="A44" s="15"/>
      <c r="B44" s="15"/>
      <c r="C44" s="15"/>
      <c r="D44" s="15"/>
      <c r="E44" s="15"/>
      <c r="F44" s="15"/>
    </row>
    <row r="45" spans="1:6" x14ac:dyDescent="0.4">
      <c r="A45" s="15"/>
      <c r="B45" s="15"/>
      <c r="C45" s="15"/>
      <c r="D45" s="15"/>
      <c r="E45" s="15"/>
      <c r="F45" s="15"/>
    </row>
    <row r="46" spans="1:6" x14ac:dyDescent="0.4">
      <c r="A46" s="15"/>
      <c r="B46" s="15"/>
      <c r="C46" s="15"/>
      <c r="D46" s="15"/>
      <c r="E46" s="15"/>
      <c r="F46" s="15"/>
    </row>
    <row r="47" spans="1:6" x14ac:dyDescent="0.4">
      <c r="A47" s="15"/>
      <c r="B47" s="15"/>
      <c r="C47" s="15"/>
      <c r="D47" s="15"/>
      <c r="E47" s="15"/>
      <c r="F47" s="15"/>
    </row>
    <row r="48" spans="1:6" x14ac:dyDescent="0.4">
      <c r="A48" s="15"/>
      <c r="B48" s="15"/>
      <c r="C48" s="15"/>
      <c r="D48" s="15"/>
      <c r="E48" s="15"/>
      <c r="F48" s="15"/>
    </row>
    <row r="49" spans="1:6" x14ac:dyDescent="0.4">
      <c r="A49" s="15"/>
      <c r="B49" s="15"/>
      <c r="C49" s="15"/>
      <c r="D49" s="15"/>
      <c r="E49" s="15"/>
      <c r="F49" s="15"/>
    </row>
    <row r="50" spans="1:6" x14ac:dyDescent="0.4">
      <c r="A50" s="15"/>
      <c r="B50" s="15"/>
      <c r="C50" s="15"/>
      <c r="D50" s="15"/>
      <c r="E50" s="15"/>
      <c r="F50" s="15"/>
    </row>
    <row r="51" spans="1:6" x14ac:dyDescent="0.4">
      <c r="A51" s="15"/>
      <c r="B51" s="15"/>
      <c r="C51" s="15"/>
      <c r="D51" s="15"/>
      <c r="E51" s="15"/>
      <c r="F51" s="15"/>
    </row>
    <row r="52" spans="1:6" x14ac:dyDescent="0.4">
      <c r="A52" s="15"/>
      <c r="B52" s="15"/>
      <c r="C52" s="15"/>
      <c r="D52" s="15"/>
      <c r="E52" s="15"/>
      <c r="F52" s="15"/>
    </row>
    <row r="53" spans="1:6" x14ac:dyDescent="0.4">
      <c r="A53" s="15"/>
      <c r="B53" s="15"/>
      <c r="C53" s="15"/>
      <c r="D53" s="15"/>
      <c r="E53" s="15"/>
      <c r="F53" s="15"/>
    </row>
    <row r="54" spans="1:6" x14ac:dyDescent="0.4">
      <c r="A54" s="15"/>
      <c r="B54" s="15"/>
      <c r="C54" s="15"/>
      <c r="D54" s="15"/>
      <c r="E54" s="15"/>
      <c r="F54" s="15"/>
    </row>
    <row r="55" spans="1:6" x14ac:dyDescent="0.4">
      <c r="A55" s="15"/>
      <c r="B55" s="15"/>
      <c r="C55" s="15"/>
      <c r="D55" s="15"/>
      <c r="E55" s="15"/>
      <c r="F55" s="15"/>
    </row>
    <row r="56" spans="1:6" x14ac:dyDescent="0.4">
      <c r="A56" s="15"/>
      <c r="B56" s="15"/>
      <c r="C56" s="15"/>
      <c r="D56" s="15"/>
      <c r="E56" s="15"/>
      <c r="F56" s="15"/>
    </row>
    <row r="57" spans="1:6" x14ac:dyDescent="0.4">
      <c r="A57" s="15"/>
      <c r="B57" s="15"/>
      <c r="C57" s="15"/>
      <c r="D57" s="15"/>
      <c r="E57" s="15"/>
      <c r="F57" s="15"/>
    </row>
    <row r="58" spans="1:6" x14ac:dyDescent="0.4">
      <c r="A58" s="15"/>
      <c r="B58" s="15"/>
      <c r="C58" s="15"/>
      <c r="D58" s="15"/>
      <c r="E58" s="15"/>
      <c r="F58" s="15"/>
    </row>
    <row r="59" spans="1:6" x14ac:dyDescent="0.4">
      <c r="A59" s="15"/>
      <c r="B59" s="15"/>
      <c r="C59" s="15"/>
      <c r="D59" s="15"/>
      <c r="E59" s="15"/>
      <c r="F59" s="15"/>
    </row>
    <row r="60" spans="1:6" x14ac:dyDescent="0.4">
      <c r="A60" s="15"/>
      <c r="B60" s="15"/>
      <c r="C60" s="15"/>
      <c r="D60" s="15"/>
      <c r="E60" s="15"/>
      <c r="F60" s="15"/>
    </row>
    <row r="61" spans="1:6" x14ac:dyDescent="0.4">
      <c r="A61" s="15"/>
      <c r="B61" s="15"/>
      <c r="C61" s="15"/>
      <c r="D61" s="15"/>
      <c r="E61" s="15"/>
      <c r="F61" s="15"/>
    </row>
    <row r="62" spans="1:6" x14ac:dyDescent="0.4">
      <c r="A62" s="15"/>
      <c r="B62" s="15"/>
      <c r="C62" s="15"/>
      <c r="D62" s="15"/>
      <c r="E62" s="15"/>
      <c r="F62" s="15"/>
    </row>
    <row r="63" spans="1:6" x14ac:dyDescent="0.4">
      <c r="A63" s="15"/>
      <c r="B63" s="15"/>
      <c r="C63" s="15"/>
      <c r="D63" s="15"/>
      <c r="E63" s="15"/>
      <c r="F63" s="15"/>
    </row>
    <row r="64" spans="1:6" x14ac:dyDescent="0.4">
      <c r="A64" s="15"/>
      <c r="B64" s="15"/>
      <c r="C64" s="15"/>
      <c r="D64" s="15"/>
      <c r="E64" s="15"/>
      <c r="F64" s="15"/>
    </row>
    <row r="65" spans="1:6" x14ac:dyDescent="0.4">
      <c r="A65" s="15"/>
      <c r="B65" s="15"/>
      <c r="C65" s="15"/>
      <c r="D65" s="15"/>
      <c r="E65" s="15"/>
      <c r="F65" s="15"/>
    </row>
    <row r="66" spans="1:6" x14ac:dyDescent="0.4">
      <c r="A66" s="15"/>
      <c r="B66" s="15"/>
      <c r="C66" s="15"/>
      <c r="D66" s="15"/>
      <c r="E66" s="15"/>
      <c r="F66" s="15"/>
    </row>
    <row r="67" spans="1:6" x14ac:dyDescent="0.4">
      <c r="A67" s="15"/>
      <c r="B67" s="15"/>
      <c r="C67" s="15"/>
      <c r="D67" s="15"/>
      <c r="E67" s="15"/>
      <c r="F67" s="15"/>
    </row>
    <row r="68" spans="1:6" x14ac:dyDescent="0.4">
      <c r="A68" s="15"/>
      <c r="B68" s="15"/>
      <c r="C68" s="15"/>
      <c r="D68" s="15"/>
      <c r="E68" s="15"/>
      <c r="F68" s="15"/>
    </row>
    <row r="69" spans="1:6" x14ac:dyDescent="0.4">
      <c r="A69" s="15"/>
      <c r="B69" s="15"/>
      <c r="C69" s="15"/>
      <c r="D69" s="15"/>
      <c r="E69" s="15"/>
      <c r="F69" s="15"/>
    </row>
    <row r="70" spans="1:6" x14ac:dyDescent="0.4">
      <c r="A70" s="15"/>
      <c r="B70" s="15"/>
      <c r="C70" s="15"/>
      <c r="D70" s="15"/>
      <c r="E70" s="15"/>
      <c r="F70" s="15"/>
    </row>
    <row r="71" spans="1:6" x14ac:dyDescent="0.4">
      <c r="A71" s="15"/>
      <c r="B71" s="15"/>
      <c r="C71" s="15"/>
      <c r="D71" s="15"/>
      <c r="E71" s="15"/>
      <c r="F71" s="15"/>
    </row>
    <row r="72" spans="1:6" x14ac:dyDescent="0.4">
      <c r="A72" s="15"/>
      <c r="B72" s="15"/>
      <c r="C72" s="15"/>
      <c r="D72" s="15"/>
      <c r="E72" s="15"/>
      <c r="F72" s="15"/>
    </row>
    <row r="73" spans="1:6" x14ac:dyDescent="0.4">
      <c r="A73" s="15"/>
      <c r="B73" s="15"/>
      <c r="C73" s="15"/>
      <c r="D73" s="15"/>
      <c r="E73" s="15"/>
      <c r="F73" s="15"/>
    </row>
    <row r="74" spans="1:6" x14ac:dyDescent="0.4">
      <c r="A74" s="15"/>
      <c r="B74" s="15"/>
      <c r="C74" s="15"/>
      <c r="D74" s="15"/>
      <c r="E74" s="15"/>
      <c r="F74" s="15"/>
    </row>
    <row r="75" spans="1:6" x14ac:dyDescent="0.4">
      <c r="A75" s="15"/>
      <c r="B75" s="15"/>
      <c r="C75" s="15"/>
      <c r="D75" s="15"/>
      <c r="E75" s="15"/>
      <c r="F75" s="15"/>
    </row>
    <row r="76" spans="1:6" x14ac:dyDescent="0.4">
      <c r="A76" s="15"/>
      <c r="B76" s="15"/>
      <c r="C76" s="15"/>
      <c r="D76" s="15"/>
      <c r="E76" s="15"/>
      <c r="F76" s="15"/>
    </row>
    <row r="77" spans="1:6" x14ac:dyDescent="0.4">
      <c r="A77" s="15"/>
      <c r="B77" s="15"/>
      <c r="C77" s="15"/>
      <c r="D77" s="15"/>
      <c r="E77" s="15"/>
      <c r="F77" s="15"/>
    </row>
    <row r="78" spans="1:6" x14ac:dyDescent="0.4">
      <c r="A78" s="15"/>
      <c r="B78" s="15"/>
      <c r="C78" s="15"/>
      <c r="D78" s="15"/>
      <c r="E78" s="15"/>
      <c r="F78" s="15"/>
    </row>
    <row r="79" spans="1:6" x14ac:dyDescent="0.4">
      <c r="A79" s="15"/>
      <c r="B79" s="15"/>
      <c r="C79" s="15"/>
      <c r="D79" s="15"/>
      <c r="E79" s="15"/>
      <c r="F79" s="15"/>
    </row>
    <row r="80" spans="1:6" x14ac:dyDescent="0.4">
      <c r="A80" s="15"/>
      <c r="B80" s="15"/>
      <c r="C80" s="15"/>
      <c r="D80" s="15"/>
      <c r="E80" s="15"/>
      <c r="F80" s="15"/>
    </row>
    <row r="81" spans="1:6" x14ac:dyDescent="0.4">
      <c r="A81" s="15"/>
      <c r="B81" s="15"/>
      <c r="C81" s="15"/>
      <c r="D81" s="15"/>
      <c r="E81" s="15"/>
      <c r="F81" s="15"/>
    </row>
    <row r="82" spans="1:6" x14ac:dyDescent="0.4">
      <c r="A82" s="15"/>
      <c r="B82" s="15"/>
      <c r="C82" s="15"/>
      <c r="D82" s="15"/>
      <c r="E82" s="15"/>
      <c r="F82" s="15"/>
    </row>
    <row r="83" spans="1:6" x14ac:dyDescent="0.4">
      <c r="A83" s="15"/>
      <c r="B83" s="15"/>
      <c r="C83" s="15"/>
      <c r="D83" s="15"/>
      <c r="E83" s="15"/>
      <c r="F83" s="15"/>
    </row>
    <row r="84" spans="1:6" x14ac:dyDescent="0.4">
      <c r="A84" s="15"/>
      <c r="B84" s="15"/>
      <c r="C84" s="15"/>
      <c r="D84" s="15"/>
      <c r="E84" s="15"/>
      <c r="F84" s="15"/>
    </row>
    <row r="85" spans="1:6" x14ac:dyDescent="0.4">
      <c r="A85" s="15"/>
      <c r="B85" s="15"/>
      <c r="C85" s="15"/>
      <c r="D85" s="15"/>
      <c r="E85" s="15"/>
      <c r="F85" s="15"/>
    </row>
    <row r="86" spans="1:6" x14ac:dyDescent="0.4">
      <c r="A86" s="15"/>
      <c r="B86" s="15"/>
      <c r="C86" s="15"/>
      <c r="D86" s="15"/>
      <c r="E86" s="15"/>
      <c r="F86" s="15"/>
    </row>
    <row r="87" spans="1:6" x14ac:dyDescent="0.4">
      <c r="A87" s="15"/>
      <c r="B87" s="15"/>
      <c r="C87" s="15"/>
      <c r="D87" s="15"/>
      <c r="E87" s="15"/>
      <c r="F87" s="15"/>
    </row>
    <row r="88" spans="1:6" x14ac:dyDescent="0.4">
      <c r="A88" s="15"/>
      <c r="B88" s="15"/>
      <c r="C88" s="15"/>
      <c r="D88" s="15"/>
      <c r="E88" s="15"/>
      <c r="F88" s="15"/>
    </row>
    <row r="89" spans="1:6" x14ac:dyDescent="0.4">
      <c r="A89" s="15"/>
      <c r="B89" s="15"/>
      <c r="C89" s="15"/>
      <c r="D89" s="15"/>
      <c r="E89" s="15"/>
      <c r="F89" s="15"/>
    </row>
    <row r="90" spans="1:6" x14ac:dyDescent="0.4">
      <c r="A90" s="15"/>
      <c r="B90" s="15"/>
      <c r="C90" s="15"/>
      <c r="D90" s="15"/>
      <c r="E90" s="15"/>
      <c r="F90" s="15"/>
    </row>
    <row r="91" spans="1:6" x14ac:dyDescent="0.4">
      <c r="A91" s="15"/>
      <c r="B91" s="15"/>
      <c r="C91" s="15"/>
      <c r="D91" s="15"/>
      <c r="E91" s="15"/>
      <c r="F91" s="15"/>
    </row>
    <row r="92" spans="1:6" x14ac:dyDescent="0.4">
      <c r="A92" s="15"/>
      <c r="B92" s="15"/>
      <c r="C92" s="15"/>
      <c r="D92" s="15"/>
      <c r="E92" s="15"/>
      <c r="F92" s="15"/>
    </row>
    <row r="93" spans="1:6" x14ac:dyDescent="0.4">
      <c r="A93" s="15"/>
      <c r="B93" s="15"/>
      <c r="C93" s="15"/>
      <c r="D93" s="15"/>
      <c r="E93" s="15"/>
      <c r="F93" s="15"/>
    </row>
    <row r="94" spans="1:6" x14ac:dyDescent="0.4">
      <c r="A94" s="15"/>
      <c r="B94" s="15"/>
      <c r="C94" s="15"/>
      <c r="D94" s="15"/>
      <c r="E94" s="15"/>
      <c r="F94" s="15"/>
    </row>
    <row r="95" spans="1:6" x14ac:dyDescent="0.4">
      <c r="A95" s="15"/>
      <c r="B95" s="15"/>
      <c r="C95" s="15"/>
      <c r="D95" s="15"/>
      <c r="E95" s="15"/>
      <c r="F95" s="15"/>
    </row>
    <row r="96" spans="1:6" x14ac:dyDescent="0.4">
      <c r="A96" s="15"/>
      <c r="B96" s="15"/>
      <c r="C96" s="15"/>
      <c r="D96" s="15"/>
      <c r="E96" s="15"/>
      <c r="F96" s="15"/>
    </row>
    <row r="97" spans="1:6" x14ac:dyDescent="0.4">
      <c r="A97" s="15"/>
      <c r="B97" s="15"/>
      <c r="C97" s="15"/>
      <c r="D97" s="15"/>
      <c r="E97" s="15"/>
      <c r="F97" s="15"/>
    </row>
    <row r="98" spans="1:6" x14ac:dyDescent="0.4">
      <c r="A98" s="15"/>
      <c r="B98" s="15"/>
      <c r="C98" s="15"/>
      <c r="D98" s="15"/>
      <c r="E98" s="15"/>
      <c r="F98" s="15"/>
    </row>
    <row r="99" spans="1:6" x14ac:dyDescent="0.4">
      <c r="A99" s="15"/>
      <c r="B99" s="15"/>
      <c r="C99" s="15"/>
      <c r="D99" s="15"/>
      <c r="E99" s="15"/>
      <c r="F99" s="15"/>
    </row>
    <row r="100" spans="1:6" x14ac:dyDescent="0.4">
      <c r="A100" s="15"/>
      <c r="B100" s="15"/>
      <c r="C100" s="15"/>
      <c r="D100" s="15"/>
      <c r="E100" s="15"/>
      <c r="F100" s="15"/>
    </row>
    <row r="101" spans="1:6" x14ac:dyDescent="0.4">
      <c r="A101" s="15"/>
      <c r="B101" s="15"/>
      <c r="C101" s="15"/>
      <c r="D101" s="15"/>
      <c r="E101" s="15"/>
      <c r="F101" s="15"/>
    </row>
    <row r="102" spans="1:6" x14ac:dyDescent="0.4">
      <c r="A102" s="15"/>
      <c r="B102" s="15"/>
      <c r="C102" s="15"/>
      <c r="D102" s="15"/>
      <c r="E102" s="15"/>
      <c r="F102" s="15"/>
    </row>
    <row r="103" spans="1:6" x14ac:dyDescent="0.4">
      <c r="A103" s="15"/>
      <c r="B103" s="15"/>
      <c r="C103" s="15"/>
      <c r="D103" s="15"/>
      <c r="E103" s="15"/>
      <c r="F103" s="15"/>
    </row>
    <row r="104" spans="1:6" x14ac:dyDescent="0.4">
      <c r="A104" s="15"/>
      <c r="B104" s="15"/>
      <c r="C104" s="15"/>
      <c r="D104" s="15"/>
      <c r="E104" s="15"/>
      <c r="F104" s="15"/>
    </row>
    <row r="105" spans="1:6" x14ac:dyDescent="0.4">
      <c r="A105" s="15"/>
      <c r="B105" s="15"/>
      <c r="C105" s="15"/>
      <c r="D105" s="15"/>
      <c r="E105" s="15"/>
      <c r="F105" s="15"/>
    </row>
    <row r="106" spans="1:6" x14ac:dyDescent="0.4">
      <c r="A106" s="15"/>
      <c r="B106" s="15"/>
      <c r="C106" s="15"/>
      <c r="D106" s="15"/>
      <c r="E106" s="15"/>
      <c r="F106" s="15"/>
    </row>
    <row r="107" spans="1:6" x14ac:dyDescent="0.4">
      <c r="A107" s="15"/>
      <c r="B107" s="15"/>
      <c r="C107" s="15"/>
      <c r="D107" s="15"/>
      <c r="E107" s="15"/>
      <c r="F107" s="15"/>
    </row>
    <row r="108" spans="1:6" x14ac:dyDescent="0.4">
      <c r="A108" s="15"/>
      <c r="B108" s="15"/>
      <c r="C108" s="15"/>
      <c r="D108" s="15"/>
      <c r="E108" s="15"/>
      <c r="F108" s="15"/>
    </row>
    <row r="109" spans="1:6" x14ac:dyDescent="0.4">
      <c r="A109" s="15"/>
      <c r="B109" s="15"/>
      <c r="C109" s="15"/>
      <c r="D109" s="15"/>
      <c r="E109" s="15"/>
      <c r="F109" s="15"/>
    </row>
    <row r="110" spans="1:6" x14ac:dyDescent="0.4">
      <c r="A110" s="15"/>
      <c r="B110" s="15"/>
      <c r="C110" s="15"/>
      <c r="D110" s="15"/>
      <c r="E110" s="15"/>
      <c r="F110" s="15"/>
    </row>
    <row r="111" spans="1:6" x14ac:dyDescent="0.4">
      <c r="A111" s="15"/>
      <c r="B111" s="15"/>
      <c r="C111" s="15"/>
      <c r="D111" s="15"/>
      <c r="E111" s="15"/>
      <c r="F111" s="15"/>
    </row>
    <row r="112" spans="1:6" x14ac:dyDescent="0.4">
      <c r="A112" s="15"/>
      <c r="B112" s="15"/>
      <c r="C112" s="15"/>
      <c r="D112" s="15"/>
      <c r="E112" s="15"/>
      <c r="F112" s="15"/>
    </row>
    <row r="113" spans="1:6" x14ac:dyDescent="0.4">
      <c r="A113" s="15"/>
      <c r="B113" s="15"/>
      <c r="C113" s="15"/>
      <c r="D113" s="15"/>
      <c r="E113" s="15"/>
      <c r="F113" s="15"/>
    </row>
    <row r="114" spans="1:6" x14ac:dyDescent="0.4">
      <c r="A114" s="15"/>
      <c r="B114" s="15"/>
      <c r="C114" s="15"/>
      <c r="D114" s="15"/>
      <c r="E114" s="15"/>
      <c r="F114" s="15"/>
    </row>
    <row r="115" spans="1:6" x14ac:dyDescent="0.4">
      <c r="A115" s="15"/>
      <c r="B115" s="15"/>
      <c r="C115" s="15"/>
      <c r="D115" s="15"/>
      <c r="E115" s="15"/>
      <c r="F115" s="15"/>
    </row>
    <row r="116" spans="1:6" x14ac:dyDescent="0.4">
      <c r="A116" s="15"/>
      <c r="B116" s="15"/>
      <c r="C116" s="15"/>
      <c r="D116" s="15"/>
      <c r="E116" s="15"/>
      <c r="F116" s="15"/>
    </row>
    <row r="117" spans="1:6" x14ac:dyDescent="0.4">
      <c r="A117" s="15"/>
      <c r="B117" s="15"/>
      <c r="C117" s="15"/>
      <c r="D117" s="15"/>
      <c r="E117" s="15"/>
      <c r="F117" s="15"/>
    </row>
    <row r="118" spans="1:6" x14ac:dyDescent="0.4">
      <c r="A118" s="15"/>
      <c r="B118" s="15"/>
      <c r="C118" s="15"/>
      <c r="D118" s="15"/>
      <c r="E118" s="15"/>
      <c r="F118" s="15"/>
    </row>
    <row r="119" spans="1:6" x14ac:dyDescent="0.4">
      <c r="A119" s="15"/>
      <c r="B119" s="15"/>
      <c r="C119" s="15"/>
      <c r="D119" s="15"/>
      <c r="E119" s="15"/>
      <c r="F119" s="15"/>
    </row>
    <row r="120" spans="1:6" x14ac:dyDescent="0.4">
      <c r="A120" s="15"/>
      <c r="B120" s="15"/>
      <c r="C120" s="15"/>
      <c r="D120" s="15"/>
      <c r="E120" s="15"/>
      <c r="F120" s="15"/>
    </row>
    <row r="121" spans="1:6" x14ac:dyDescent="0.4">
      <c r="A121" s="15"/>
      <c r="B121" s="15"/>
      <c r="C121" s="15"/>
      <c r="D121" s="15"/>
      <c r="E121" s="15"/>
      <c r="F121" s="15"/>
    </row>
    <row r="122" spans="1:6" x14ac:dyDescent="0.4">
      <c r="A122" s="15"/>
      <c r="B122" s="15"/>
      <c r="C122" s="15"/>
      <c r="D122" s="15"/>
      <c r="E122" s="15"/>
      <c r="F122" s="15"/>
    </row>
    <row r="123" spans="1:6" x14ac:dyDescent="0.4">
      <c r="A123" s="15"/>
      <c r="B123" s="15"/>
      <c r="C123" s="15"/>
      <c r="D123" s="15"/>
      <c r="E123" s="15"/>
      <c r="F123" s="15"/>
    </row>
    <row r="124" spans="1:6" x14ac:dyDescent="0.4">
      <c r="A124" s="15"/>
      <c r="B124" s="15"/>
      <c r="C124" s="15"/>
      <c r="D124" s="15"/>
      <c r="E124" s="15"/>
      <c r="F124" s="15"/>
    </row>
    <row r="125" spans="1:6" x14ac:dyDescent="0.4">
      <c r="A125" s="15"/>
      <c r="B125" s="15"/>
      <c r="C125" s="15"/>
      <c r="D125" s="15"/>
      <c r="E125" s="15"/>
      <c r="F125" s="15"/>
    </row>
    <row r="126" spans="1:6" x14ac:dyDescent="0.4">
      <c r="A126" s="15"/>
      <c r="B126" s="15"/>
      <c r="C126" s="15"/>
      <c r="D126" s="15"/>
      <c r="E126" s="15"/>
      <c r="F126" s="15"/>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4"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8693F-84E6-42B1-A227-513C66F91FC1}">
  <sheetPr codeName="Sheet7"/>
  <dimension ref="A1:G12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1" customFormat="1" x14ac:dyDescent="0.4">
      <c r="A1" s="1" t="s">
        <v>859</v>
      </c>
      <c r="B1" s="1" t="s">
        <v>911</v>
      </c>
      <c r="C1" s="1" t="s">
        <v>912</v>
      </c>
      <c r="D1" s="1" t="s">
        <v>913</v>
      </c>
      <c r="E1" s="1" t="s">
        <v>86</v>
      </c>
      <c r="F1" s="1" t="s">
        <v>308</v>
      </c>
      <c r="G1" s="1" t="s">
        <v>378</v>
      </c>
    </row>
    <row r="2" spans="1:7" x14ac:dyDescent="0.4">
      <c r="A2">
        <v>808</v>
      </c>
      <c r="B2" t="s">
        <v>914</v>
      </c>
      <c r="C2" t="s">
        <v>915</v>
      </c>
      <c r="D2" t="s">
        <v>916</v>
      </c>
      <c r="E2" t="s">
        <v>917</v>
      </c>
      <c r="F2" t="s">
        <v>918</v>
      </c>
      <c r="G2" t="s">
        <v>919</v>
      </c>
    </row>
    <row r="3" spans="1:7" x14ac:dyDescent="0.4">
      <c r="A3">
        <v>807</v>
      </c>
      <c r="B3" t="s">
        <v>914</v>
      </c>
      <c r="C3" t="s">
        <v>920</v>
      </c>
      <c r="D3" t="s">
        <v>921</v>
      </c>
      <c r="E3" t="s">
        <v>922</v>
      </c>
      <c r="F3" t="s">
        <v>923</v>
      </c>
      <c r="G3" t="s">
        <v>924</v>
      </c>
    </row>
    <row r="4" spans="1:7" x14ac:dyDescent="0.4">
      <c r="A4">
        <v>806</v>
      </c>
      <c r="B4" t="s">
        <v>914</v>
      </c>
      <c r="C4" t="s">
        <v>915</v>
      </c>
      <c r="D4" t="s">
        <v>921</v>
      </c>
      <c r="E4" t="s">
        <v>925</v>
      </c>
      <c r="F4" t="s">
        <v>926</v>
      </c>
      <c r="G4" t="s">
        <v>927</v>
      </c>
    </row>
    <row r="5" spans="1:7" x14ac:dyDescent="0.4">
      <c r="A5">
        <v>805</v>
      </c>
      <c r="B5" t="s">
        <v>914</v>
      </c>
      <c r="C5" t="s">
        <v>915</v>
      </c>
      <c r="D5" t="s">
        <v>916</v>
      </c>
      <c r="E5" t="s">
        <v>928</v>
      </c>
      <c r="F5" t="s">
        <v>929</v>
      </c>
      <c r="G5" t="s">
        <v>930</v>
      </c>
    </row>
    <row r="6" spans="1:7" x14ac:dyDescent="0.4">
      <c r="A6">
        <v>804</v>
      </c>
      <c r="B6" t="s">
        <v>914</v>
      </c>
      <c r="C6" t="s">
        <v>915</v>
      </c>
      <c r="D6" t="s">
        <v>916</v>
      </c>
      <c r="E6" t="s">
        <v>931</v>
      </c>
      <c r="F6" t="s">
        <v>932</v>
      </c>
      <c r="G6" t="s">
        <v>933</v>
      </c>
    </row>
    <row r="7" spans="1:7" x14ac:dyDescent="0.4">
      <c r="A7">
        <v>803</v>
      </c>
      <c r="B7" t="s">
        <v>914</v>
      </c>
      <c r="C7" t="s">
        <v>920</v>
      </c>
      <c r="D7" t="s">
        <v>916</v>
      </c>
      <c r="E7" t="s">
        <v>934</v>
      </c>
      <c r="F7" t="s">
        <v>932</v>
      </c>
      <c r="G7" t="s">
        <v>935</v>
      </c>
    </row>
    <row r="8" spans="1:7" x14ac:dyDescent="0.4">
      <c r="A8">
        <v>802</v>
      </c>
      <c r="B8" t="s">
        <v>914</v>
      </c>
      <c r="C8" t="s">
        <v>915</v>
      </c>
      <c r="D8" t="s">
        <v>916</v>
      </c>
      <c r="E8" t="s">
        <v>936</v>
      </c>
      <c r="F8" t="s">
        <v>937</v>
      </c>
      <c r="G8" t="s">
        <v>938</v>
      </c>
    </row>
    <row r="9" spans="1:7" x14ac:dyDescent="0.4">
      <c r="A9">
        <v>801</v>
      </c>
      <c r="B9" t="s">
        <v>914</v>
      </c>
      <c r="C9" t="s">
        <v>915</v>
      </c>
      <c r="D9" t="s">
        <v>916</v>
      </c>
      <c r="E9" t="s">
        <v>939</v>
      </c>
      <c r="F9" t="s">
        <v>940</v>
      </c>
      <c r="G9" t="s">
        <v>941</v>
      </c>
    </row>
    <row r="10" spans="1:7" x14ac:dyDescent="0.4">
      <c r="A10">
        <v>800</v>
      </c>
      <c r="B10" t="s">
        <v>914</v>
      </c>
      <c r="C10" t="s">
        <v>915</v>
      </c>
      <c r="D10" t="s">
        <v>921</v>
      </c>
      <c r="E10" t="s">
        <v>942</v>
      </c>
      <c r="F10" t="s">
        <v>943</v>
      </c>
      <c r="G10" t="s">
        <v>944</v>
      </c>
    </row>
    <row r="11" spans="1:7" x14ac:dyDescent="0.4">
      <c r="A11">
        <v>799</v>
      </c>
      <c r="B11" t="s">
        <v>914</v>
      </c>
      <c r="C11" t="s">
        <v>920</v>
      </c>
      <c r="D11" t="s">
        <v>921</v>
      </c>
      <c r="E11" t="s">
        <v>945</v>
      </c>
      <c r="F11" t="s">
        <v>946</v>
      </c>
      <c r="G11" t="s">
        <v>947</v>
      </c>
    </row>
    <row r="12" spans="1:7" x14ac:dyDescent="0.4">
      <c r="A12">
        <v>798</v>
      </c>
      <c r="B12" t="s">
        <v>914</v>
      </c>
      <c r="C12" t="s">
        <v>915</v>
      </c>
      <c r="D12" t="s">
        <v>948</v>
      </c>
      <c r="E12" t="s">
        <v>949</v>
      </c>
      <c r="F12" t="s">
        <v>950</v>
      </c>
      <c r="G12" t="s">
        <v>951</v>
      </c>
    </row>
    <row r="13" spans="1:7" x14ac:dyDescent="0.4">
      <c r="A13">
        <v>797</v>
      </c>
      <c r="B13" t="s">
        <v>914</v>
      </c>
      <c r="C13" t="s">
        <v>915</v>
      </c>
      <c r="D13" t="s">
        <v>916</v>
      </c>
      <c r="E13" t="s">
        <v>952</v>
      </c>
      <c r="F13" t="s">
        <v>953</v>
      </c>
      <c r="G13" t="s">
        <v>954</v>
      </c>
    </row>
    <row r="14" spans="1:7" x14ac:dyDescent="0.4">
      <c r="A14">
        <v>796</v>
      </c>
      <c r="B14" t="s">
        <v>914</v>
      </c>
      <c r="C14" t="s">
        <v>920</v>
      </c>
      <c r="D14" t="s">
        <v>916</v>
      </c>
      <c r="E14" t="s">
        <v>955</v>
      </c>
      <c r="F14" t="s">
        <v>937</v>
      </c>
      <c r="G14" t="s">
        <v>956</v>
      </c>
    </row>
    <row r="15" spans="1:7" x14ac:dyDescent="0.4">
      <c r="A15">
        <v>795</v>
      </c>
      <c r="B15" t="s">
        <v>914</v>
      </c>
      <c r="C15" t="s">
        <v>915</v>
      </c>
      <c r="D15" t="s">
        <v>916</v>
      </c>
      <c r="E15" t="s">
        <v>957</v>
      </c>
      <c r="F15" t="s">
        <v>958</v>
      </c>
      <c r="G15" t="s">
        <v>959</v>
      </c>
    </row>
    <row r="16" spans="1:7" x14ac:dyDescent="0.4">
      <c r="A16">
        <v>794</v>
      </c>
      <c r="B16" t="s">
        <v>914</v>
      </c>
      <c r="C16" t="s">
        <v>920</v>
      </c>
      <c r="D16" t="s">
        <v>921</v>
      </c>
      <c r="E16" t="s">
        <v>960</v>
      </c>
      <c r="F16" t="s">
        <v>961</v>
      </c>
      <c r="G16" t="s">
        <v>962</v>
      </c>
    </row>
    <row r="17" spans="1:7" x14ac:dyDescent="0.4">
      <c r="A17">
        <v>793</v>
      </c>
      <c r="B17" t="s">
        <v>914</v>
      </c>
      <c r="C17" t="s">
        <v>915</v>
      </c>
      <c r="D17" t="s">
        <v>921</v>
      </c>
      <c r="E17" t="s">
        <v>963</v>
      </c>
      <c r="F17" t="s">
        <v>964</v>
      </c>
      <c r="G17" t="s">
        <v>965</v>
      </c>
    </row>
    <row r="18" spans="1:7" x14ac:dyDescent="0.4">
      <c r="A18">
        <v>792</v>
      </c>
      <c r="B18" t="s">
        <v>914</v>
      </c>
      <c r="C18" t="s">
        <v>920</v>
      </c>
      <c r="D18" t="s">
        <v>921</v>
      </c>
      <c r="E18" t="s">
        <v>966</v>
      </c>
      <c r="F18" t="s">
        <v>967</v>
      </c>
      <c r="G18" t="s">
        <v>968</v>
      </c>
    </row>
    <row r="19" spans="1:7" x14ac:dyDescent="0.4">
      <c r="A19">
        <v>791</v>
      </c>
      <c r="B19" t="s">
        <v>914</v>
      </c>
      <c r="C19" t="s">
        <v>915</v>
      </c>
      <c r="D19" t="s">
        <v>921</v>
      </c>
      <c r="E19" t="s">
        <v>969</v>
      </c>
      <c r="F19" t="s">
        <v>970</v>
      </c>
      <c r="G19" t="s">
        <v>971</v>
      </c>
    </row>
    <row r="20" spans="1:7" x14ac:dyDescent="0.4">
      <c r="A20">
        <v>790</v>
      </c>
      <c r="B20" t="s">
        <v>914</v>
      </c>
      <c r="C20" t="s">
        <v>972</v>
      </c>
      <c r="D20" t="s">
        <v>948</v>
      </c>
      <c r="E20" t="s">
        <v>973</v>
      </c>
      <c r="F20" t="s">
        <v>974</v>
      </c>
      <c r="G20" t="s">
        <v>975</v>
      </c>
    </row>
    <row r="21" spans="1:7" x14ac:dyDescent="0.4">
      <c r="A21">
        <v>789</v>
      </c>
      <c r="B21" t="s">
        <v>914</v>
      </c>
      <c r="C21" t="s">
        <v>915</v>
      </c>
      <c r="D21" t="s">
        <v>916</v>
      </c>
      <c r="E21" t="s">
        <v>976</v>
      </c>
      <c r="F21" t="s">
        <v>977</v>
      </c>
      <c r="G21" t="s">
        <v>978</v>
      </c>
    </row>
    <row r="22" spans="1:7" x14ac:dyDescent="0.4">
      <c r="A22">
        <v>788</v>
      </c>
      <c r="B22" t="s">
        <v>914</v>
      </c>
      <c r="C22" t="s">
        <v>920</v>
      </c>
      <c r="D22" t="s">
        <v>916</v>
      </c>
      <c r="E22" t="s">
        <v>979</v>
      </c>
      <c r="F22" t="s">
        <v>977</v>
      </c>
      <c r="G22" t="s">
        <v>980</v>
      </c>
    </row>
    <row r="23" spans="1:7" x14ac:dyDescent="0.4">
      <c r="A23">
        <v>787</v>
      </c>
      <c r="B23" t="s">
        <v>914</v>
      </c>
      <c r="C23" t="s">
        <v>972</v>
      </c>
      <c r="D23" t="s">
        <v>921</v>
      </c>
      <c r="E23" t="s">
        <v>981</v>
      </c>
      <c r="F23" t="s">
        <v>982</v>
      </c>
      <c r="G23" t="s">
        <v>983</v>
      </c>
    </row>
    <row r="24" spans="1:7" x14ac:dyDescent="0.4">
      <c r="A24">
        <v>786</v>
      </c>
      <c r="B24" t="s">
        <v>914</v>
      </c>
      <c r="C24" t="s">
        <v>972</v>
      </c>
      <c r="D24" t="s">
        <v>921</v>
      </c>
      <c r="E24" t="s">
        <v>984</v>
      </c>
      <c r="F24" t="s">
        <v>985</v>
      </c>
      <c r="G24" t="s">
        <v>986</v>
      </c>
    </row>
    <row r="25" spans="1:7" x14ac:dyDescent="0.4">
      <c r="A25">
        <v>785</v>
      </c>
      <c r="B25" t="s">
        <v>914</v>
      </c>
      <c r="C25" t="s">
        <v>920</v>
      </c>
      <c r="D25" t="s">
        <v>921</v>
      </c>
      <c r="E25" t="s">
        <v>987</v>
      </c>
      <c r="F25" t="s">
        <v>988</v>
      </c>
      <c r="G25" t="s">
        <v>989</v>
      </c>
    </row>
    <row r="26" spans="1:7" x14ac:dyDescent="0.4">
      <c r="A26">
        <v>784</v>
      </c>
      <c r="B26" t="s">
        <v>914</v>
      </c>
      <c r="C26" t="s">
        <v>972</v>
      </c>
      <c r="D26" t="s">
        <v>921</v>
      </c>
      <c r="E26" t="s">
        <v>990</v>
      </c>
      <c r="F26" t="s">
        <v>991</v>
      </c>
      <c r="G26" t="s">
        <v>992</v>
      </c>
    </row>
    <row r="27" spans="1:7" x14ac:dyDescent="0.4">
      <c r="A27">
        <v>783</v>
      </c>
      <c r="B27" t="s">
        <v>914</v>
      </c>
      <c r="C27" t="s">
        <v>915</v>
      </c>
      <c r="D27" t="s">
        <v>916</v>
      </c>
      <c r="E27" t="s">
        <v>993</v>
      </c>
      <c r="F27" t="s">
        <v>994</v>
      </c>
      <c r="G27" t="s">
        <v>995</v>
      </c>
    </row>
    <row r="28" spans="1:7" x14ac:dyDescent="0.4">
      <c r="A28">
        <v>782</v>
      </c>
      <c r="B28" t="s">
        <v>914</v>
      </c>
      <c r="C28" t="s">
        <v>920</v>
      </c>
      <c r="D28" t="s">
        <v>916</v>
      </c>
      <c r="E28" t="s">
        <v>996</v>
      </c>
      <c r="F28" t="s">
        <v>994</v>
      </c>
      <c r="G28" t="s">
        <v>997</v>
      </c>
    </row>
    <row r="29" spans="1:7" x14ac:dyDescent="0.4">
      <c r="A29">
        <v>781</v>
      </c>
      <c r="B29" t="s">
        <v>914</v>
      </c>
      <c r="C29" t="s">
        <v>920</v>
      </c>
      <c r="D29" t="s">
        <v>921</v>
      </c>
      <c r="E29" t="s">
        <v>998</v>
      </c>
      <c r="F29" t="s">
        <v>999</v>
      </c>
      <c r="G29" t="s">
        <v>1000</v>
      </c>
    </row>
    <row r="30" spans="1:7" x14ac:dyDescent="0.4">
      <c r="A30">
        <v>780</v>
      </c>
      <c r="B30" t="s">
        <v>914</v>
      </c>
      <c r="C30" t="s">
        <v>972</v>
      </c>
      <c r="D30" t="s">
        <v>921</v>
      </c>
      <c r="E30" t="s">
        <v>1001</v>
      </c>
      <c r="F30" t="s">
        <v>1002</v>
      </c>
      <c r="G30" t="s">
        <v>1003</v>
      </c>
    </row>
    <row r="31" spans="1:7" x14ac:dyDescent="0.4">
      <c r="A31">
        <v>779</v>
      </c>
      <c r="B31" t="s">
        <v>914</v>
      </c>
      <c r="C31" t="s">
        <v>972</v>
      </c>
      <c r="D31" t="s">
        <v>921</v>
      </c>
      <c r="E31" t="s">
        <v>1004</v>
      </c>
      <c r="F31" t="s">
        <v>1005</v>
      </c>
      <c r="G31" t="s">
        <v>1006</v>
      </c>
    </row>
    <row r="32" spans="1:7" x14ac:dyDescent="0.4">
      <c r="A32">
        <v>778</v>
      </c>
      <c r="B32" t="s">
        <v>914</v>
      </c>
      <c r="C32" t="s">
        <v>972</v>
      </c>
      <c r="D32" t="s">
        <v>921</v>
      </c>
      <c r="E32" t="s">
        <v>1007</v>
      </c>
      <c r="F32" t="s">
        <v>1008</v>
      </c>
      <c r="G32" t="s">
        <v>1009</v>
      </c>
    </row>
    <row r="33" spans="1:7" x14ac:dyDescent="0.4">
      <c r="A33">
        <v>777</v>
      </c>
      <c r="B33" t="s">
        <v>914</v>
      </c>
      <c r="C33" t="s">
        <v>915</v>
      </c>
      <c r="D33" t="s">
        <v>916</v>
      </c>
      <c r="E33" t="s">
        <v>1010</v>
      </c>
      <c r="F33" t="s">
        <v>1011</v>
      </c>
      <c r="G33" t="s">
        <v>1012</v>
      </c>
    </row>
    <row r="34" spans="1:7" x14ac:dyDescent="0.4">
      <c r="A34">
        <v>776</v>
      </c>
      <c r="B34" t="s">
        <v>914</v>
      </c>
      <c r="C34" t="s">
        <v>920</v>
      </c>
      <c r="D34" t="s">
        <v>921</v>
      </c>
      <c r="E34" t="s">
        <v>1013</v>
      </c>
      <c r="F34" t="s">
        <v>1014</v>
      </c>
      <c r="G34" t="s">
        <v>1015</v>
      </c>
    </row>
    <row r="35" spans="1:7" x14ac:dyDescent="0.4">
      <c r="A35">
        <v>775</v>
      </c>
      <c r="B35" t="s">
        <v>914</v>
      </c>
      <c r="C35" t="s">
        <v>972</v>
      </c>
      <c r="D35" t="s">
        <v>921</v>
      </c>
      <c r="E35" t="s">
        <v>1016</v>
      </c>
      <c r="F35" t="s">
        <v>1017</v>
      </c>
      <c r="G35" t="s">
        <v>1018</v>
      </c>
    </row>
    <row r="36" spans="1:7" x14ac:dyDescent="0.4">
      <c r="A36">
        <v>774</v>
      </c>
      <c r="B36" t="s">
        <v>914</v>
      </c>
      <c r="C36" t="s">
        <v>920</v>
      </c>
      <c r="D36" t="s">
        <v>916</v>
      </c>
      <c r="E36" t="s">
        <v>1019</v>
      </c>
      <c r="F36" t="s">
        <v>1020</v>
      </c>
      <c r="G36" t="s">
        <v>1021</v>
      </c>
    </row>
    <row r="37" spans="1:7" x14ac:dyDescent="0.4">
      <c r="A37">
        <v>773</v>
      </c>
      <c r="B37" t="s">
        <v>914</v>
      </c>
      <c r="C37" t="s">
        <v>972</v>
      </c>
      <c r="D37" t="s">
        <v>921</v>
      </c>
      <c r="E37" t="s">
        <v>1022</v>
      </c>
      <c r="F37" t="s">
        <v>1023</v>
      </c>
      <c r="G37" t="s">
        <v>1024</v>
      </c>
    </row>
    <row r="38" spans="1:7" x14ac:dyDescent="0.4">
      <c r="A38">
        <v>772</v>
      </c>
      <c r="B38" t="s">
        <v>914</v>
      </c>
      <c r="C38" t="s">
        <v>972</v>
      </c>
      <c r="D38" t="s">
        <v>921</v>
      </c>
      <c r="E38" t="s">
        <v>1025</v>
      </c>
      <c r="F38" t="s">
        <v>1026</v>
      </c>
      <c r="G38" t="s">
        <v>1027</v>
      </c>
    </row>
    <row r="39" spans="1:7" x14ac:dyDescent="0.4">
      <c r="A39">
        <v>771</v>
      </c>
      <c r="B39" t="s">
        <v>914</v>
      </c>
      <c r="C39" t="s">
        <v>972</v>
      </c>
      <c r="D39" t="s">
        <v>921</v>
      </c>
      <c r="E39" t="s">
        <v>1028</v>
      </c>
      <c r="F39" t="s">
        <v>1029</v>
      </c>
      <c r="G39" t="s">
        <v>1030</v>
      </c>
    </row>
    <row r="40" spans="1:7" x14ac:dyDescent="0.4">
      <c r="A40">
        <v>770</v>
      </c>
      <c r="B40" t="s">
        <v>914</v>
      </c>
      <c r="C40" t="s">
        <v>920</v>
      </c>
      <c r="D40" t="s">
        <v>921</v>
      </c>
      <c r="E40" t="s">
        <v>1031</v>
      </c>
      <c r="F40" t="s">
        <v>1032</v>
      </c>
      <c r="G40" t="s">
        <v>1033</v>
      </c>
    </row>
    <row r="41" spans="1:7" x14ac:dyDescent="0.4">
      <c r="A41">
        <v>769</v>
      </c>
      <c r="B41" t="s">
        <v>914</v>
      </c>
      <c r="C41" t="s">
        <v>972</v>
      </c>
      <c r="D41" t="s">
        <v>921</v>
      </c>
      <c r="E41" t="s">
        <v>1034</v>
      </c>
      <c r="F41" t="s">
        <v>1035</v>
      </c>
      <c r="G41" t="s">
        <v>1036</v>
      </c>
    </row>
    <row r="42" spans="1:7" x14ac:dyDescent="0.4">
      <c r="A42">
        <v>768</v>
      </c>
      <c r="B42" t="s">
        <v>914</v>
      </c>
      <c r="C42" t="s">
        <v>920</v>
      </c>
      <c r="D42" t="s">
        <v>921</v>
      </c>
      <c r="E42" t="s">
        <v>1037</v>
      </c>
      <c r="F42" t="s">
        <v>1038</v>
      </c>
      <c r="G42" t="s">
        <v>1039</v>
      </c>
    </row>
    <row r="43" spans="1:7" x14ac:dyDescent="0.4">
      <c r="A43">
        <v>767</v>
      </c>
      <c r="B43" t="s">
        <v>914</v>
      </c>
      <c r="C43" t="s">
        <v>972</v>
      </c>
      <c r="D43" t="s">
        <v>921</v>
      </c>
      <c r="E43" t="s">
        <v>1040</v>
      </c>
      <c r="F43" t="s">
        <v>1041</v>
      </c>
      <c r="G43" t="s">
        <v>1042</v>
      </c>
    </row>
    <row r="44" spans="1:7" x14ac:dyDescent="0.4">
      <c r="A44">
        <v>766</v>
      </c>
      <c r="B44" t="s">
        <v>914</v>
      </c>
      <c r="C44" t="s">
        <v>972</v>
      </c>
      <c r="D44" t="s">
        <v>921</v>
      </c>
      <c r="E44" t="s">
        <v>1043</v>
      </c>
      <c r="F44" t="s">
        <v>1044</v>
      </c>
      <c r="G44" t="s">
        <v>1045</v>
      </c>
    </row>
    <row r="45" spans="1:7" x14ac:dyDescent="0.4">
      <c r="A45">
        <v>765</v>
      </c>
      <c r="B45" t="s">
        <v>914</v>
      </c>
      <c r="C45" t="s">
        <v>972</v>
      </c>
      <c r="D45" t="s">
        <v>921</v>
      </c>
      <c r="E45" t="s">
        <v>1046</v>
      </c>
      <c r="F45" t="s">
        <v>1047</v>
      </c>
      <c r="G45" t="s">
        <v>1048</v>
      </c>
    </row>
    <row r="46" spans="1:7" x14ac:dyDescent="0.4">
      <c r="A46">
        <v>764</v>
      </c>
      <c r="B46" t="s">
        <v>914</v>
      </c>
      <c r="C46" t="s">
        <v>972</v>
      </c>
      <c r="D46" t="s">
        <v>921</v>
      </c>
      <c r="E46" t="s">
        <v>1049</v>
      </c>
      <c r="F46" t="s">
        <v>1050</v>
      </c>
      <c r="G46" t="s">
        <v>1051</v>
      </c>
    </row>
    <row r="47" spans="1:7" x14ac:dyDescent="0.4">
      <c r="A47">
        <v>763</v>
      </c>
      <c r="B47" t="s">
        <v>914</v>
      </c>
      <c r="C47" t="s">
        <v>972</v>
      </c>
      <c r="D47" t="s">
        <v>921</v>
      </c>
      <c r="E47" t="s">
        <v>1052</v>
      </c>
      <c r="F47" t="s">
        <v>1053</v>
      </c>
      <c r="G47" t="s">
        <v>1054</v>
      </c>
    </row>
    <row r="48" spans="1:7" x14ac:dyDescent="0.4">
      <c r="A48">
        <v>762</v>
      </c>
      <c r="B48" t="s">
        <v>914</v>
      </c>
      <c r="C48" t="s">
        <v>972</v>
      </c>
      <c r="D48" t="s">
        <v>921</v>
      </c>
      <c r="E48" t="s">
        <v>1055</v>
      </c>
      <c r="F48" t="s">
        <v>1056</v>
      </c>
      <c r="G48" t="s">
        <v>1057</v>
      </c>
    </row>
    <row r="49" spans="1:7" x14ac:dyDescent="0.4">
      <c r="A49">
        <v>761</v>
      </c>
      <c r="B49" t="s">
        <v>914</v>
      </c>
      <c r="C49" t="s">
        <v>972</v>
      </c>
      <c r="D49" t="s">
        <v>921</v>
      </c>
      <c r="E49" t="s">
        <v>1058</v>
      </c>
      <c r="F49" t="s">
        <v>1059</v>
      </c>
      <c r="G49" t="s">
        <v>1060</v>
      </c>
    </row>
    <row r="50" spans="1:7" x14ac:dyDescent="0.4">
      <c r="A50">
        <v>760</v>
      </c>
      <c r="B50" t="s">
        <v>914</v>
      </c>
      <c r="C50" t="s">
        <v>972</v>
      </c>
      <c r="D50" t="s">
        <v>921</v>
      </c>
      <c r="E50" t="s">
        <v>1061</v>
      </c>
      <c r="F50" t="s">
        <v>1062</v>
      </c>
      <c r="G50" t="s">
        <v>1063</v>
      </c>
    </row>
    <row r="51" spans="1:7" x14ac:dyDescent="0.4">
      <c r="A51">
        <v>759</v>
      </c>
      <c r="B51" t="s">
        <v>914</v>
      </c>
      <c r="C51" t="s">
        <v>972</v>
      </c>
      <c r="D51" t="s">
        <v>921</v>
      </c>
      <c r="E51" t="s">
        <v>1064</v>
      </c>
      <c r="F51" t="s">
        <v>1065</v>
      </c>
      <c r="G51" t="s">
        <v>1066</v>
      </c>
    </row>
    <row r="52" spans="1:7" x14ac:dyDescent="0.4">
      <c r="A52">
        <v>758</v>
      </c>
      <c r="B52" t="s">
        <v>914</v>
      </c>
      <c r="C52" t="s">
        <v>972</v>
      </c>
      <c r="D52" t="s">
        <v>921</v>
      </c>
      <c r="E52" t="s">
        <v>1067</v>
      </c>
      <c r="F52" t="s">
        <v>1068</v>
      </c>
      <c r="G52" t="s">
        <v>1069</v>
      </c>
    </row>
    <row r="53" spans="1:7" x14ac:dyDescent="0.4">
      <c r="A53">
        <v>757</v>
      </c>
      <c r="B53" t="s">
        <v>914</v>
      </c>
      <c r="C53" t="s">
        <v>915</v>
      </c>
      <c r="D53" t="s">
        <v>921</v>
      </c>
      <c r="E53" t="s">
        <v>1070</v>
      </c>
      <c r="F53" t="s">
        <v>1071</v>
      </c>
      <c r="G53" t="s">
        <v>1072</v>
      </c>
    </row>
    <row r="54" spans="1:7" x14ac:dyDescent="0.4">
      <c r="A54">
        <v>756</v>
      </c>
      <c r="B54" t="s">
        <v>914</v>
      </c>
      <c r="C54" t="s">
        <v>1073</v>
      </c>
      <c r="D54" t="s">
        <v>921</v>
      </c>
      <c r="E54" t="s">
        <v>1074</v>
      </c>
      <c r="F54" t="s">
        <v>1075</v>
      </c>
      <c r="G54" t="s">
        <v>1076</v>
      </c>
    </row>
    <row r="55" spans="1:7" x14ac:dyDescent="0.4">
      <c r="A55">
        <v>755</v>
      </c>
      <c r="B55" t="s">
        <v>914</v>
      </c>
      <c r="C55" t="s">
        <v>1073</v>
      </c>
      <c r="D55" t="s">
        <v>921</v>
      </c>
      <c r="E55" t="s">
        <v>1077</v>
      </c>
      <c r="F55" t="s">
        <v>1078</v>
      </c>
      <c r="G55" t="s">
        <v>1079</v>
      </c>
    </row>
    <row r="56" spans="1:7" x14ac:dyDescent="0.4">
      <c r="A56">
        <v>754</v>
      </c>
      <c r="B56" t="s">
        <v>914</v>
      </c>
      <c r="C56" t="s">
        <v>972</v>
      </c>
      <c r="D56" t="s">
        <v>921</v>
      </c>
      <c r="E56" t="s">
        <v>1080</v>
      </c>
      <c r="F56" t="s">
        <v>1081</v>
      </c>
      <c r="G56" t="s">
        <v>1082</v>
      </c>
    </row>
    <row r="57" spans="1:7" x14ac:dyDescent="0.4">
      <c r="A57">
        <v>753</v>
      </c>
      <c r="B57" t="s">
        <v>914</v>
      </c>
      <c r="C57" t="s">
        <v>915</v>
      </c>
      <c r="D57" t="s">
        <v>921</v>
      </c>
      <c r="E57" t="s">
        <v>1083</v>
      </c>
      <c r="F57" t="s">
        <v>1084</v>
      </c>
      <c r="G57" t="s">
        <v>1085</v>
      </c>
    </row>
    <row r="58" spans="1:7" x14ac:dyDescent="0.4">
      <c r="A58">
        <v>752</v>
      </c>
      <c r="B58" t="s">
        <v>914</v>
      </c>
      <c r="C58" t="s">
        <v>920</v>
      </c>
      <c r="D58" t="s">
        <v>921</v>
      </c>
      <c r="E58" t="s">
        <v>1086</v>
      </c>
      <c r="F58" t="s">
        <v>1087</v>
      </c>
      <c r="G58" t="s">
        <v>1088</v>
      </c>
    </row>
    <row r="59" spans="1:7" x14ac:dyDescent="0.4">
      <c r="A59">
        <v>751</v>
      </c>
      <c r="B59" t="s">
        <v>914</v>
      </c>
      <c r="C59" t="s">
        <v>972</v>
      </c>
      <c r="D59" t="s">
        <v>921</v>
      </c>
      <c r="E59" t="s">
        <v>1089</v>
      </c>
      <c r="F59" t="s">
        <v>1090</v>
      </c>
      <c r="G59" t="s">
        <v>1091</v>
      </c>
    </row>
    <row r="60" spans="1:7" x14ac:dyDescent="0.4">
      <c r="A60">
        <v>750</v>
      </c>
      <c r="B60" t="s">
        <v>914</v>
      </c>
      <c r="C60" t="s">
        <v>972</v>
      </c>
      <c r="D60" t="s">
        <v>921</v>
      </c>
      <c r="E60" t="s">
        <v>1092</v>
      </c>
      <c r="F60" t="s">
        <v>1093</v>
      </c>
      <c r="G60" t="s">
        <v>1094</v>
      </c>
    </row>
    <row r="61" spans="1:7" x14ac:dyDescent="0.4">
      <c r="A61">
        <v>749</v>
      </c>
      <c r="B61" t="s">
        <v>914</v>
      </c>
      <c r="C61" t="s">
        <v>920</v>
      </c>
      <c r="D61" t="s">
        <v>921</v>
      </c>
      <c r="E61" t="s">
        <v>1095</v>
      </c>
      <c r="F61" t="s">
        <v>1096</v>
      </c>
      <c r="G61" t="s">
        <v>1097</v>
      </c>
    </row>
    <row r="62" spans="1:7" x14ac:dyDescent="0.4">
      <c r="A62">
        <v>748</v>
      </c>
      <c r="B62" t="s">
        <v>914</v>
      </c>
      <c r="C62" t="s">
        <v>972</v>
      </c>
      <c r="D62" t="s">
        <v>921</v>
      </c>
      <c r="E62" t="s">
        <v>1098</v>
      </c>
      <c r="F62" t="s">
        <v>1099</v>
      </c>
      <c r="G62" t="s">
        <v>1100</v>
      </c>
    </row>
    <row r="63" spans="1:7" x14ac:dyDescent="0.4">
      <c r="A63">
        <v>747</v>
      </c>
      <c r="B63" t="s">
        <v>914</v>
      </c>
      <c r="C63" t="s">
        <v>972</v>
      </c>
      <c r="D63" t="s">
        <v>921</v>
      </c>
      <c r="E63" t="s">
        <v>1101</v>
      </c>
      <c r="F63" t="s">
        <v>1102</v>
      </c>
      <c r="G63" t="s">
        <v>1103</v>
      </c>
    </row>
    <row r="64" spans="1:7" x14ac:dyDescent="0.4">
      <c r="A64">
        <v>746</v>
      </c>
      <c r="B64" t="s">
        <v>914</v>
      </c>
      <c r="C64" t="s">
        <v>972</v>
      </c>
      <c r="D64" t="s">
        <v>921</v>
      </c>
      <c r="E64" t="s">
        <v>1104</v>
      </c>
      <c r="F64" t="s">
        <v>1105</v>
      </c>
      <c r="G64" t="s">
        <v>1106</v>
      </c>
    </row>
    <row r="65" spans="1:7" x14ac:dyDescent="0.4">
      <c r="A65">
        <v>745</v>
      </c>
      <c r="B65" t="s">
        <v>914</v>
      </c>
      <c r="C65" t="s">
        <v>920</v>
      </c>
      <c r="D65" t="s">
        <v>921</v>
      </c>
      <c r="E65" t="s">
        <v>1107</v>
      </c>
      <c r="F65" t="s">
        <v>1108</v>
      </c>
      <c r="G65" t="s">
        <v>1109</v>
      </c>
    </row>
    <row r="66" spans="1:7" x14ac:dyDescent="0.4">
      <c r="A66">
        <v>744</v>
      </c>
      <c r="B66" t="s">
        <v>914</v>
      </c>
      <c r="C66" t="s">
        <v>972</v>
      </c>
      <c r="D66" t="s">
        <v>921</v>
      </c>
      <c r="E66" t="s">
        <v>1110</v>
      </c>
      <c r="F66" t="s">
        <v>1111</v>
      </c>
      <c r="G66" t="s">
        <v>1112</v>
      </c>
    </row>
    <row r="67" spans="1:7" x14ac:dyDescent="0.4">
      <c r="A67">
        <v>743</v>
      </c>
      <c r="B67" t="s">
        <v>914</v>
      </c>
      <c r="C67" t="s">
        <v>1113</v>
      </c>
      <c r="D67" t="s">
        <v>921</v>
      </c>
      <c r="E67" t="s">
        <v>1114</v>
      </c>
      <c r="F67" t="s">
        <v>1115</v>
      </c>
      <c r="G67" t="s">
        <v>1116</v>
      </c>
    </row>
    <row r="68" spans="1:7" x14ac:dyDescent="0.4">
      <c r="A68">
        <v>742</v>
      </c>
      <c r="B68" t="s">
        <v>914</v>
      </c>
      <c r="C68" t="s">
        <v>915</v>
      </c>
      <c r="D68" t="s">
        <v>916</v>
      </c>
      <c r="E68" t="s">
        <v>1117</v>
      </c>
      <c r="F68" t="s">
        <v>1118</v>
      </c>
      <c r="G68" t="s">
        <v>1119</v>
      </c>
    </row>
    <row r="69" spans="1:7" x14ac:dyDescent="0.4">
      <c r="A69">
        <v>741</v>
      </c>
      <c r="B69" t="s">
        <v>914</v>
      </c>
      <c r="C69" t="s">
        <v>920</v>
      </c>
      <c r="D69" t="s">
        <v>916</v>
      </c>
      <c r="E69" t="s">
        <v>1120</v>
      </c>
      <c r="F69" t="s">
        <v>1118</v>
      </c>
      <c r="G69" t="s">
        <v>1121</v>
      </c>
    </row>
    <row r="70" spans="1:7" x14ac:dyDescent="0.4">
      <c r="A70">
        <v>740</v>
      </c>
      <c r="B70" t="s">
        <v>914</v>
      </c>
      <c r="C70" t="s">
        <v>1073</v>
      </c>
      <c r="D70" t="s">
        <v>921</v>
      </c>
      <c r="E70" t="s">
        <v>1122</v>
      </c>
      <c r="F70" t="s">
        <v>1123</v>
      </c>
      <c r="G70" t="s">
        <v>1124</v>
      </c>
    </row>
    <row r="71" spans="1:7" x14ac:dyDescent="0.4">
      <c r="A71">
        <v>739</v>
      </c>
      <c r="B71" t="s">
        <v>914</v>
      </c>
      <c r="C71" t="s">
        <v>915</v>
      </c>
      <c r="D71" t="s">
        <v>921</v>
      </c>
      <c r="E71" t="s">
        <v>1125</v>
      </c>
      <c r="F71" t="s">
        <v>1126</v>
      </c>
      <c r="G71" t="s">
        <v>1127</v>
      </c>
    </row>
    <row r="72" spans="1:7" x14ac:dyDescent="0.4">
      <c r="A72">
        <v>738</v>
      </c>
      <c r="B72" t="s">
        <v>914</v>
      </c>
      <c r="C72" t="s">
        <v>920</v>
      </c>
      <c r="D72" t="s">
        <v>921</v>
      </c>
      <c r="E72" t="s">
        <v>1128</v>
      </c>
      <c r="F72" t="s">
        <v>1129</v>
      </c>
      <c r="G72" t="s">
        <v>1130</v>
      </c>
    </row>
    <row r="73" spans="1:7" x14ac:dyDescent="0.4">
      <c r="A73">
        <v>737</v>
      </c>
      <c r="B73" t="s">
        <v>914</v>
      </c>
      <c r="C73" t="s">
        <v>972</v>
      </c>
      <c r="D73" t="s">
        <v>921</v>
      </c>
      <c r="E73" t="s">
        <v>1131</v>
      </c>
      <c r="F73" t="s">
        <v>1132</v>
      </c>
      <c r="G73" t="s">
        <v>1133</v>
      </c>
    </row>
    <row r="74" spans="1:7" x14ac:dyDescent="0.4">
      <c r="A74">
        <v>736</v>
      </c>
      <c r="B74" t="s">
        <v>914</v>
      </c>
      <c r="C74" t="s">
        <v>972</v>
      </c>
      <c r="D74" t="s">
        <v>921</v>
      </c>
      <c r="E74" t="s">
        <v>1134</v>
      </c>
      <c r="F74" t="s">
        <v>1135</v>
      </c>
      <c r="G74" t="s">
        <v>1136</v>
      </c>
    </row>
    <row r="75" spans="1:7" x14ac:dyDescent="0.4">
      <c r="A75">
        <v>735</v>
      </c>
      <c r="B75" t="s">
        <v>914</v>
      </c>
      <c r="C75" t="s">
        <v>972</v>
      </c>
      <c r="D75" t="s">
        <v>921</v>
      </c>
      <c r="E75" t="s">
        <v>1137</v>
      </c>
      <c r="F75" t="s">
        <v>1138</v>
      </c>
      <c r="G75" t="s">
        <v>1139</v>
      </c>
    </row>
    <row r="76" spans="1:7" x14ac:dyDescent="0.4">
      <c r="A76">
        <v>734</v>
      </c>
      <c r="B76" t="s">
        <v>914</v>
      </c>
      <c r="C76" t="s">
        <v>972</v>
      </c>
      <c r="D76" t="s">
        <v>921</v>
      </c>
      <c r="E76" t="s">
        <v>1140</v>
      </c>
      <c r="F76" t="s">
        <v>1141</v>
      </c>
      <c r="G76" t="s">
        <v>1142</v>
      </c>
    </row>
    <row r="77" spans="1:7" x14ac:dyDescent="0.4">
      <c r="A77">
        <v>733</v>
      </c>
      <c r="B77" t="s">
        <v>914</v>
      </c>
      <c r="C77" t="s">
        <v>972</v>
      </c>
      <c r="D77" t="s">
        <v>921</v>
      </c>
      <c r="E77" t="s">
        <v>1143</v>
      </c>
      <c r="F77" t="s">
        <v>1144</v>
      </c>
      <c r="G77" t="s">
        <v>1145</v>
      </c>
    </row>
    <row r="78" spans="1:7" x14ac:dyDescent="0.4">
      <c r="A78">
        <v>732</v>
      </c>
      <c r="B78" t="s">
        <v>914</v>
      </c>
      <c r="C78" t="s">
        <v>920</v>
      </c>
      <c r="D78" t="s">
        <v>921</v>
      </c>
      <c r="E78" t="s">
        <v>1146</v>
      </c>
      <c r="F78" t="s">
        <v>1147</v>
      </c>
      <c r="G78" t="s">
        <v>1148</v>
      </c>
    </row>
    <row r="79" spans="1:7" x14ac:dyDescent="0.4">
      <c r="A79">
        <v>731</v>
      </c>
      <c r="B79" t="s">
        <v>914</v>
      </c>
      <c r="C79" t="s">
        <v>915</v>
      </c>
      <c r="D79" t="s">
        <v>916</v>
      </c>
      <c r="E79" t="s">
        <v>1149</v>
      </c>
      <c r="F79" t="s">
        <v>1150</v>
      </c>
      <c r="G79" t="s">
        <v>1151</v>
      </c>
    </row>
    <row r="80" spans="1:7" x14ac:dyDescent="0.4">
      <c r="A80">
        <v>730</v>
      </c>
      <c r="B80" t="s">
        <v>914</v>
      </c>
      <c r="C80" t="s">
        <v>920</v>
      </c>
      <c r="D80" t="s">
        <v>916</v>
      </c>
      <c r="E80" t="s">
        <v>1152</v>
      </c>
      <c r="F80" t="s">
        <v>1150</v>
      </c>
      <c r="G80" t="s">
        <v>1153</v>
      </c>
    </row>
    <row r="81" spans="1:7" x14ac:dyDescent="0.4">
      <c r="A81">
        <v>729</v>
      </c>
      <c r="B81" t="s">
        <v>914</v>
      </c>
      <c r="C81" t="s">
        <v>1073</v>
      </c>
      <c r="D81" t="s">
        <v>921</v>
      </c>
      <c r="E81" t="s">
        <v>1154</v>
      </c>
      <c r="F81" t="s">
        <v>1155</v>
      </c>
      <c r="G81" t="s">
        <v>1156</v>
      </c>
    </row>
    <row r="82" spans="1:7" x14ac:dyDescent="0.4">
      <c r="A82">
        <v>728</v>
      </c>
      <c r="B82" t="s">
        <v>914</v>
      </c>
      <c r="C82" t="s">
        <v>920</v>
      </c>
      <c r="D82" t="s">
        <v>921</v>
      </c>
      <c r="E82" t="s">
        <v>1157</v>
      </c>
      <c r="F82" t="s">
        <v>1158</v>
      </c>
      <c r="G82" t="s">
        <v>1159</v>
      </c>
    </row>
    <row r="83" spans="1:7" x14ac:dyDescent="0.4">
      <c r="A83">
        <v>727</v>
      </c>
      <c r="B83" t="s">
        <v>914</v>
      </c>
      <c r="C83" t="s">
        <v>972</v>
      </c>
      <c r="D83" t="s">
        <v>921</v>
      </c>
      <c r="E83" t="s">
        <v>1160</v>
      </c>
      <c r="F83" t="s">
        <v>1161</v>
      </c>
      <c r="G83" t="s">
        <v>1162</v>
      </c>
    </row>
    <row r="84" spans="1:7" x14ac:dyDescent="0.4">
      <c r="A84">
        <v>726</v>
      </c>
      <c r="B84" t="s">
        <v>914</v>
      </c>
      <c r="C84" t="s">
        <v>920</v>
      </c>
      <c r="D84" t="s">
        <v>921</v>
      </c>
      <c r="E84" t="s">
        <v>1163</v>
      </c>
      <c r="F84" t="s">
        <v>1164</v>
      </c>
      <c r="G84" t="s">
        <v>1165</v>
      </c>
    </row>
    <row r="85" spans="1:7" x14ac:dyDescent="0.4">
      <c r="A85">
        <v>725</v>
      </c>
      <c r="B85" t="s">
        <v>914</v>
      </c>
      <c r="C85" t="s">
        <v>972</v>
      </c>
      <c r="D85" t="s">
        <v>921</v>
      </c>
      <c r="E85" t="s">
        <v>1166</v>
      </c>
      <c r="F85" t="s">
        <v>1167</v>
      </c>
      <c r="G85" t="s">
        <v>1168</v>
      </c>
    </row>
    <row r="86" spans="1:7" x14ac:dyDescent="0.4">
      <c r="A86">
        <v>724</v>
      </c>
      <c r="B86" t="s">
        <v>914</v>
      </c>
      <c r="C86" t="s">
        <v>920</v>
      </c>
      <c r="D86" t="s">
        <v>921</v>
      </c>
      <c r="E86" t="s">
        <v>1169</v>
      </c>
      <c r="F86" t="s">
        <v>1170</v>
      </c>
      <c r="G86" t="s">
        <v>1171</v>
      </c>
    </row>
    <row r="87" spans="1:7" x14ac:dyDescent="0.4">
      <c r="A87">
        <v>723</v>
      </c>
      <c r="B87" t="s">
        <v>914</v>
      </c>
      <c r="C87" t="s">
        <v>972</v>
      </c>
      <c r="D87" t="s">
        <v>921</v>
      </c>
      <c r="E87" t="s">
        <v>1172</v>
      </c>
      <c r="F87" t="s">
        <v>1173</v>
      </c>
      <c r="G87" t="s">
        <v>1174</v>
      </c>
    </row>
    <row r="88" spans="1:7" x14ac:dyDescent="0.4">
      <c r="A88">
        <v>722</v>
      </c>
      <c r="B88" t="s">
        <v>914</v>
      </c>
      <c r="C88" t="s">
        <v>972</v>
      </c>
      <c r="D88" t="s">
        <v>921</v>
      </c>
      <c r="E88" t="s">
        <v>1175</v>
      </c>
      <c r="F88" t="s">
        <v>1176</v>
      </c>
      <c r="G88" t="s">
        <v>1177</v>
      </c>
    </row>
    <row r="89" spans="1:7" x14ac:dyDescent="0.4">
      <c r="A89">
        <v>721</v>
      </c>
      <c r="B89" t="s">
        <v>914</v>
      </c>
      <c r="C89" t="s">
        <v>915</v>
      </c>
      <c r="D89" t="s">
        <v>921</v>
      </c>
      <c r="E89" t="s">
        <v>1178</v>
      </c>
      <c r="F89" t="s">
        <v>1179</v>
      </c>
      <c r="G89" t="s">
        <v>1180</v>
      </c>
    </row>
    <row r="90" spans="1:7" x14ac:dyDescent="0.4">
      <c r="A90">
        <v>720</v>
      </c>
      <c r="B90" t="s">
        <v>914</v>
      </c>
      <c r="C90" t="s">
        <v>915</v>
      </c>
      <c r="D90" t="s">
        <v>916</v>
      </c>
      <c r="E90" t="s">
        <v>1181</v>
      </c>
      <c r="F90" t="s">
        <v>1182</v>
      </c>
      <c r="G90" t="s">
        <v>1183</v>
      </c>
    </row>
    <row r="91" spans="1:7" x14ac:dyDescent="0.4">
      <c r="A91">
        <v>719</v>
      </c>
      <c r="B91" t="s">
        <v>914</v>
      </c>
      <c r="C91" t="s">
        <v>920</v>
      </c>
      <c r="D91" t="s">
        <v>921</v>
      </c>
      <c r="E91" t="s">
        <v>1184</v>
      </c>
      <c r="F91" t="s">
        <v>1185</v>
      </c>
      <c r="G91" t="s">
        <v>1186</v>
      </c>
    </row>
    <row r="92" spans="1:7" x14ac:dyDescent="0.4">
      <c r="A92">
        <v>718</v>
      </c>
      <c r="B92" t="s">
        <v>914</v>
      </c>
      <c r="C92" t="s">
        <v>972</v>
      </c>
      <c r="D92" t="s">
        <v>921</v>
      </c>
      <c r="E92" t="s">
        <v>1187</v>
      </c>
      <c r="F92" t="s">
        <v>1188</v>
      </c>
      <c r="G92" t="s">
        <v>1189</v>
      </c>
    </row>
    <row r="93" spans="1:7" x14ac:dyDescent="0.4">
      <c r="A93">
        <v>717</v>
      </c>
      <c r="B93" t="s">
        <v>914</v>
      </c>
      <c r="C93" t="s">
        <v>920</v>
      </c>
      <c r="D93" t="s">
        <v>921</v>
      </c>
      <c r="E93" t="s">
        <v>1190</v>
      </c>
      <c r="F93" t="s">
        <v>1191</v>
      </c>
      <c r="G93" t="s">
        <v>1192</v>
      </c>
    </row>
    <row r="94" spans="1:7" x14ac:dyDescent="0.4">
      <c r="A94">
        <v>716</v>
      </c>
      <c r="B94" t="s">
        <v>914</v>
      </c>
      <c r="C94" t="s">
        <v>920</v>
      </c>
      <c r="D94" t="s">
        <v>921</v>
      </c>
      <c r="E94" t="s">
        <v>1193</v>
      </c>
      <c r="F94" t="s">
        <v>1194</v>
      </c>
      <c r="G94" t="s">
        <v>1195</v>
      </c>
    </row>
    <row r="95" spans="1:7" x14ac:dyDescent="0.4">
      <c r="A95">
        <v>715</v>
      </c>
      <c r="B95" t="s">
        <v>914</v>
      </c>
      <c r="C95" t="s">
        <v>972</v>
      </c>
      <c r="D95" t="s">
        <v>921</v>
      </c>
      <c r="E95" t="s">
        <v>1196</v>
      </c>
      <c r="F95" t="s">
        <v>1197</v>
      </c>
      <c r="G95" t="s">
        <v>1198</v>
      </c>
    </row>
    <row r="96" spans="1:7" x14ac:dyDescent="0.4">
      <c r="A96">
        <v>714</v>
      </c>
      <c r="B96" t="s">
        <v>914</v>
      </c>
      <c r="C96" t="s">
        <v>1073</v>
      </c>
      <c r="D96" t="s">
        <v>921</v>
      </c>
      <c r="E96" t="s">
        <v>1199</v>
      </c>
      <c r="F96" t="s">
        <v>1200</v>
      </c>
      <c r="G96" t="s">
        <v>1201</v>
      </c>
    </row>
    <row r="97" spans="1:7" x14ac:dyDescent="0.4">
      <c r="A97">
        <v>713</v>
      </c>
      <c r="B97" t="s">
        <v>914</v>
      </c>
      <c r="C97" t="s">
        <v>972</v>
      </c>
      <c r="D97" t="s">
        <v>921</v>
      </c>
      <c r="E97" t="s">
        <v>1202</v>
      </c>
      <c r="F97" t="s">
        <v>1203</v>
      </c>
      <c r="G97" t="s">
        <v>1204</v>
      </c>
    </row>
    <row r="98" spans="1:7" x14ac:dyDescent="0.4">
      <c r="A98">
        <v>712</v>
      </c>
      <c r="B98" t="s">
        <v>914</v>
      </c>
      <c r="C98" t="s">
        <v>972</v>
      </c>
      <c r="D98" t="s">
        <v>921</v>
      </c>
      <c r="E98" t="s">
        <v>1205</v>
      </c>
      <c r="F98" t="s">
        <v>967</v>
      </c>
      <c r="G98" t="s">
        <v>1206</v>
      </c>
    </row>
    <row r="99" spans="1:7" x14ac:dyDescent="0.4">
      <c r="A99">
        <v>711</v>
      </c>
      <c r="B99" t="s">
        <v>914</v>
      </c>
      <c r="C99" t="s">
        <v>972</v>
      </c>
      <c r="D99" t="s">
        <v>921</v>
      </c>
      <c r="E99" t="s">
        <v>1207</v>
      </c>
      <c r="F99" t="s">
        <v>1208</v>
      </c>
      <c r="G99" t="s">
        <v>1209</v>
      </c>
    </row>
    <row r="100" spans="1:7" x14ac:dyDescent="0.4">
      <c r="A100">
        <v>710</v>
      </c>
      <c r="B100" t="s">
        <v>914</v>
      </c>
      <c r="C100" t="s">
        <v>920</v>
      </c>
      <c r="D100" t="s">
        <v>921</v>
      </c>
      <c r="E100" t="s">
        <v>1210</v>
      </c>
      <c r="F100" t="s">
        <v>1211</v>
      </c>
      <c r="G100" t="s">
        <v>1212</v>
      </c>
    </row>
    <row r="101" spans="1:7" x14ac:dyDescent="0.4">
      <c r="A101">
        <v>709</v>
      </c>
      <c r="B101" t="s">
        <v>914</v>
      </c>
      <c r="C101" t="s">
        <v>972</v>
      </c>
      <c r="D101" t="s">
        <v>921</v>
      </c>
      <c r="E101" t="s">
        <v>1213</v>
      </c>
      <c r="F101" t="s">
        <v>1214</v>
      </c>
      <c r="G101" t="s">
        <v>1215</v>
      </c>
    </row>
    <row r="102" spans="1:7" x14ac:dyDescent="0.4">
      <c r="A102">
        <v>708</v>
      </c>
      <c r="B102" t="s">
        <v>914</v>
      </c>
      <c r="C102" t="s">
        <v>972</v>
      </c>
      <c r="D102" t="s">
        <v>921</v>
      </c>
      <c r="E102" t="s">
        <v>1216</v>
      </c>
      <c r="F102" t="s">
        <v>1217</v>
      </c>
      <c r="G102" t="s">
        <v>1218</v>
      </c>
    </row>
    <row r="103" spans="1:7" x14ac:dyDescent="0.4">
      <c r="A103">
        <v>707</v>
      </c>
      <c r="B103" t="s">
        <v>914</v>
      </c>
      <c r="C103" t="s">
        <v>920</v>
      </c>
      <c r="D103" t="s">
        <v>921</v>
      </c>
      <c r="E103" t="s">
        <v>1219</v>
      </c>
      <c r="F103" t="s">
        <v>1220</v>
      </c>
      <c r="G103" t="s">
        <v>1221</v>
      </c>
    </row>
    <row r="104" spans="1:7" x14ac:dyDescent="0.4">
      <c r="A104">
        <v>706</v>
      </c>
      <c r="B104" t="s">
        <v>914</v>
      </c>
      <c r="C104" t="s">
        <v>972</v>
      </c>
      <c r="D104" t="s">
        <v>921</v>
      </c>
      <c r="E104" t="s">
        <v>1222</v>
      </c>
      <c r="F104" t="s">
        <v>1223</v>
      </c>
      <c r="G104" t="s">
        <v>1224</v>
      </c>
    </row>
    <row r="105" spans="1:7" x14ac:dyDescent="0.4">
      <c r="A105">
        <v>705</v>
      </c>
      <c r="B105" t="s">
        <v>914</v>
      </c>
      <c r="C105" t="s">
        <v>920</v>
      </c>
      <c r="D105" t="s">
        <v>921</v>
      </c>
      <c r="E105" t="s">
        <v>1225</v>
      </c>
      <c r="F105" t="s">
        <v>1226</v>
      </c>
      <c r="G105" t="s">
        <v>1227</v>
      </c>
    </row>
    <row r="106" spans="1:7" x14ac:dyDescent="0.4">
      <c r="A106">
        <v>704</v>
      </c>
      <c r="B106" t="s">
        <v>914</v>
      </c>
      <c r="C106" t="s">
        <v>972</v>
      </c>
      <c r="D106" t="s">
        <v>921</v>
      </c>
      <c r="E106" t="s">
        <v>1228</v>
      </c>
      <c r="F106" t="s">
        <v>1229</v>
      </c>
      <c r="G106" t="s">
        <v>1230</v>
      </c>
    </row>
    <row r="107" spans="1:7" x14ac:dyDescent="0.4">
      <c r="A107">
        <v>703</v>
      </c>
      <c r="B107" t="s">
        <v>914</v>
      </c>
      <c r="C107" t="s">
        <v>920</v>
      </c>
      <c r="D107" t="s">
        <v>921</v>
      </c>
      <c r="E107" t="s">
        <v>1231</v>
      </c>
      <c r="F107" t="s">
        <v>1232</v>
      </c>
      <c r="G107" t="s">
        <v>1233</v>
      </c>
    </row>
    <row r="108" spans="1:7" x14ac:dyDescent="0.4">
      <c r="A108">
        <v>702</v>
      </c>
      <c r="B108" t="s">
        <v>914</v>
      </c>
      <c r="C108" t="s">
        <v>920</v>
      </c>
      <c r="D108" t="s">
        <v>921</v>
      </c>
      <c r="E108" t="s">
        <v>1234</v>
      </c>
      <c r="F108" t="s">
        <v>1235</v>
      </c>
      <c r="G108" t="s">
        <v>1236</v>
      </c>
    </row>
    <row r="109" spans="1:7" x14ac:dyDescent="0.4">
      <c r="A109">
        <v>701</v>
      </c>
      <c r="B109" t="s">
        <v>914</v>
      </c>
      <c r="C109" t="s">
        <v>972</v>
      </c>
      <c r="D109" t="s">
        <v>921</v>
      </c>
      <c r="E109" t="s">
        <v>1237</v>
      </c>
      <c r="F109" t="s">
        <v>1238</v>
      </c>
      <c r="G109" t="s">
        <v>1239</v>
      </c>
    </row>
    <row r="110" spans="1:7" x14ac:dyDescent="0.4">
      <c r="A110">
        <v>700</v>
      </c>
      <c r="B110" t="s">
        <v>914</v>
      </c>
      <c r="C110" t="s">
        <v>972</v>
      </c>
      <c r="D110" t="s">
        <v>921</v>
      </c>
      <c r="E110" t="s">
        <v>1240</v>
      </c>
      <c r="F110" t="s">
        <v>1241</v>
      </c>
      <c r="G110" t="s">
        <v>1242</v>
      </c>
    </row>
    <row r="111" spans="1:7" x14ac:dyDescent="0.4">
      <c r="A111">
        <v>699</v>
      </c>
      <c r="B111" t="s">
        <v>914</v>
      </c>
      <c r="C111" t="s">
        <v>1073</v>
      </c>
      <c r="D111" t="s">
        <v>921</v>
      </c>
      <c r="E111" t="s">
        <v>1243</v>
      </c>
      <c r="F111" t="s">
        <v>1244</v>
      </c>
      <c r="G111" t="s">
        <v>1245</v>
      </c>
    </row>
    <row r="112" spans="1:7" x14ac:dyDescent="0.4">
      <c r="A112">
        <v>698</v>
      </c>
      <c r="B112" t="s">
        <v>914</v>
      </c>
      <c r="C112" t="s">
        <v>1113</v>
      </c>
      <c r="D112" t="s">
        <v>921</v>
      </c>
      <c r="E112" t="s">
        <v>1246</v>
      </c>
      <c r="F112" t="s">
        <v>1247</v>
      </c>
      <c r="G112" t="s">
        <v>1248</v>
      </c>
    </row>
    <row r="113" spans="1:7" x14ac:dyDescent="0.4">
      <c r="A113">
        <v>697</v>
      </c>
      <c r="B113" t="s">
        <v>914</v>
      </c>
      <c r="C113" t="s">
        <v>1113</v>
      </c>
      <c r="D113" t="s">
        <v>921</v>
      </c>
      <c r="E113" t="s">
        <v>1249</v>
      </c>
      <c r="F113" t="s">
        <v>1250</v>
      </c>
      <c r="G113" t="s">
        <v>1251</v>
      </c>
    </row>
    <row r="114" spans="1:7" x14ac:dyDescent="0.4">
      <c r="A114">
        <v>696</v>
      </c>
      <c r="B114" t="s">
        <v>914</v>
      </c>
      <c r="C114" t="s">
        <v>972</v>
      </c>
      <c r="D114" t="s">
        <v>921</v>
      </c>
      <c r="E114" t="s">
        <v>1252</v>
      </c>
      <c r="F114" t="s">
        <v>1253</v>
      </c>
      <c r="G114" t="s">
        <v>1254</v>
      </c>
    </row>
    <row r="115" spans="1:7" x14ac:dyDescent="0.4">
      <c r="A115">
        <v>695</v>
      </c>
      <c r="B115" t="s">
        <v>914</v>
      </c>
      <c r="C115" t="s">
        <v>972</v>
      </c>
      <c r="D115" t="s">
        <v>921</v>
      </c>
      <c r="E115" t="s">
        <v>1255</v>
      </c>
      <c r="F115" t="s">
        <v>1256</v>
      </c>
      <c r="G115" t="s">
        <v>1257</v>
      </c>
    </row>
    <row r="116" spans="1:7" x14ac:dyDescent="0.4">
      <c r="A116">
        <v>694</v>
      </c>
      <c r="B116" t="s">
        <v>914</v>
      </c>
      <c r="C116" t="s">
        <v>972</v>
      </c>
      <c r="D116" t="s">
        <v>921</v>
      </c>
      <c r="E116" t="s">
        <v>1258</v>
      </c>
      <c r="F116" t="s">
        <v>1259</v>
      </c>
      <c r="G116" t="s">
        <v>1260</v>
      </c>
    </row>
    <row r="117" spans="1:7" x14ac:dyDescent="0.4">
      <c r="A117">
        <v>693</v>
      </c>
      <c r="B117" t="s">
        <v>914</v>
      </c>
      <c r="C117" t="s">
        <v>972</v>
      </c>
      <c r="D117" t="s">
        <v>921</v>
      </c>
      <c r="E117" t="s">
        <v>1261</v>
      </c>
      <c r="F117" t="s">
        <v>1262</v>
      </c>
      <c r="G117" t="s">
        <v>1263</v>
      </c>
    </row>
    <row r="118" spans="1:7" x14ac:dyDescent="0.4">
      <c r="A118">
        <v>692</v>
      </c>
      <c r="B118" t="s">
        <v>914</v>
      </c>
      <c r="C118" t="s">
        <v>972</v>
      </c>
      <c r="D118" t="s">
        <v>921</v>
      </c>
      <c r="E118" t="s">
        <v>1264</v>
      </c>
      <c r="F118" t="s">
        <v>1265</v>
      </c>
      <c r="G118" t="s">
        <v>1266</v>
      </c>
    </row>
    <row r="119" spans="1:7" x14ac:dyDescent="0.4">
      <c r="A119">
        <v>691</v>
      </c>
      <c r="B119" t="s">
        <v>914</v>
      </c>
      <c r="C119" t="s">
        <v>972</v>
      </c>
      <c r="D119" t="s">
        <v>921</v>
      </c>
      <c r="E119" t="s">
        <v>1267</v>
      </c>
      <c r="F119" t="s">
        <v>1268</v>
      </c>
      <c r="G119" t="s">
        <v>1269</v>
      </c>
    </row>
    <row r="120" spans="1:7" x14ac:dyDescent="0.4">
      <c r="A120">
        <v>690</v>
      </c>
      <c r="B120" t="s">
        <v>914</v>
      </c>
      <c r="C120" t="s">
        <v>915</v>
      </c>
      <c r="D120" t="s">
        <v>921</v>
      </c>
      <c r="E120" t="s">
        <v>1270</v>
      </c>
      <c r="F120" t="s">
        <v>1271</v>
      </c>
      <c r="G120" t="s">
        <v>1272</v>
      </c>
    </row>
    <row r="121" spans="1:7" x14ac:dyDescent="0.4">
      <c r="A121">
        <v>689</v>
      </c>
      <c r="B121" t="s">
        <v>914</v>
      </c>
      <c r="C121" t="s">
        <v>972</v>
      </c>
      <c r="D121" t="s">
        <v>921</v>
      </c>
      <c r="E121" t="s">
        <v>1273</v>
      </c>
      <c r="F121" t="s">
        <v>1274</v>
      </c>
      <c r="G121" t="s">
        <v>1275</v>
      </c>
    </row>
    <row r="123" spans="1:7" x14ac:dyDescent="0.4">
      <c r="A123" s="2" t="s">
        <v>1276</v>
      </c>
      <c r="B123" s="38">
        <v>120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6449C-BF6C-416E-9032-CD91649A7042}">
  <sheetPr codeName="Sheet8"/>
  <dimension ref="A1:W500"/>
  <sheetViews>
    <sheetView workbookViewId="0"/>
  </sheetViews>
  <sheetFormatPr defaultRowHeight="17.399999999999999" x14ac:dyDescent="0.4"/>
  <sheetData>
    <row r="1" spans="1:23" x14ac:dyDescent="0.4">
      <c r="A1" s="1" t="s">
        <v>85</v>
      </c>
      <c r="B1" s="1" t="s">
        <v>86</v>
      </c>
      <c r="C1" s="1" t="s">
        <v>87</v>
      </c>
      <c r="D1" s="1" t="s">
        <v>7</v>
      </c>
      <c r="E1" s="1" t="s">
        <v>88</v>
      </c>
      <c r="F1" s="1" t="s">
        <v>89</v>
      </c>
      <c r="G1" s="1" t="s">
        <v>13</v>
      </c>
      <c r="H1" s="1" t="s">
        <v>90</v>
      </c>
      <c r="I1" s="1" t="s">
        <v>91</v>
      </c>
      <c r="J1" s="1" t="s">
        <v>92</v>
      </c>
      <c r="K1" s="1" t="s">
        <v>93</v>
      </c>
      <c r="L1" s="1" t="s">
        <v>28</v>
      </c>
      <c r="M1" s="1" t="s">
        <v>30</v>
      </c>
      <c r="N1" s="1" t="s">
        <v>32</v>
      </c>
      <c r="O1" s="1" t="s">
        <v>35</v>
      </c>
      <c r="P1" s="1" t="s">
        <v>94</v>
      </c>
      <c r="Q1" s="1" t="s">
        <v>39</v>
      </c>
      <c r="R1" s="1" t="s">
        <v>95</v>
      </c>
      <c r="S1" s="1" t="s">
        <v>96</v>
      </c>
      <c r="T1" s="1" t="s">
        <v>97</v>
      </c>
      <c r="U1" s="1" t="s">
        <v>98</v>
      </c>
      <c r="V1" s="1" t="s">
        <v>99</v>
      </c>
      <c r="W1" s="1" t="s">
        <v>100</v>
      </c>
    </row>
    <row r="2" spans="1:23" x14ac:dyDescent="0.4">
      <c r="A2">
        <v>1</v>
      </c>
      <c r="B2" t="s">
        <v>1328</v>
      </c>
      <c r="C2">
        <v>2026</v>
      </c>
      <c r="D2" t="s">
        <v>1329</v>
      </c>
      <c r="E2" t="s">
        <v>1330</v>
      </c>
      <c r="F2" s="81">
        <v>46023</v>
      </c>
      <c r="G2" t="s">
        <v>1331</v>
      </c>
      <c r="H2" t="s">
        <v>1332</v>
      </c>
      <c r="I2">
        <v>1</v>
      </c>
      <c r="J2" t="s">
        <v>1325</v>
      </c>
      <c r="K2">
        <v>20000000</v>
      </c>
      <c r="L2">
        <v>200</v>
      </c>
      <c r="M2" s="81">
        <v>46388</v>
      </c>
      <c r="N2" s="81">
        <v>46388</v>
      </c>
      <c r="P2" t="s">
        <v>1332</v>
      </c>
      <c r="Q2" t="s">
        <v>1331</v>
      </c>
      <c r="T2" s="82">
        <v>46289.144918981481</v>
      </c>
      <c r="U2" t="str">
        <f t="shared" ref="U2:U65" si="0">IF($A2&lt;&gt;"","순번 "&amp;$A2&amp;": "&amp;$B2&amp;" / "&amp;$C2&amp;"학년도 / "&amp;$H2,"")</f>
        <v>순번 1: 전주고 / 2026학년도 / 전주고 교복구매건</v>
      </c>
      <c r="V2" t="s">
        <v>1333</v>
      </c>
      <c r="W2" t="s">
        <v>1334</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8226449C-BF6C-416E-9032-CD91649A7042}"/>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E44A-812E-4E77-81CE-3623A947B938}">
  <sheetPr codeName="Sheet9"/>
  <dimension ref="A1:F3"/>
  <sheetViews>
    <sheetView workbookViewId="0"/>
  </sheetViews>
  <sheetFormatPr defaultRowHeight="17.399999999999999" x14ac:dyDescent="0.4"/>
  <sheetData>
    <row r="1" spans="1:6" x14ac:dyDescent="0.4">
      <c r="A1" s="1" t="s">
        <v>101</v>
      </c>
      <c r="B1" s="1" t="s">
        <v>102</v>
      </c>
      <c r="C1" s="1" t="s">
        <v>46</v>
      </c>
      <c r="D1" s="1" t="s">
        <v>47</v>
      </c>
      <c r="E1" s="1" t="s">
        <v>103</v>
      </c>
      <c r="F1" s="1" t="s">
        <v>104</v>
      </c>
    </row>
    <row r="2" spans="1:6" x14ac:dyDescent="0.4">
      <c r="A2">
        <v>1</v>
      </c>
      <c r="B2">
        <v>1</v>
      </c>
      <c r="C2" t="s">
        <v>1335</v>
      </c>
      <c r="D2">
        <v>200</v>
      </c>
      <c r="E2">
        <v>50000</v>
      </c>
      <c r="F2">
        <v>10000000</v>
      </c>
    </row>
    <row r="3" spans="1:6" x14ac:dyDescent="0.4">
      <c r="A3">
        <v>1</v>
      </c>
      <c r="B3">
        <v>2</v>
      </c>
      <c r="C3" t="s">
        <v>1336</v>
      </c>
      <c r="D3">
        <v>200</v>
      </c>
      <c r="E3">
        <v>50000</v>
      </c>
      <c r="F3">
        <v>10000000</v>
      </c>
    </row>
  </sheetData>
  <sheetProtection sheet="1" objects="1" scenarios="1"/>
  <autoFilter ref="A1:F1" xr:uid="{3CDCE44A-812E-4E77-81CE-3623A947B938}"/>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EE16-55C4-463D-B061-24CD89AEAC88}">
  <sheetPr codeName="Sheet10"/>
  <dimension ref="A1:E2"/>
  <sheetViews>
    <sheetView workbookViewId="0"/>
  </sheetViews>
  <sheetFormatPr defaultRowHeight="17.399999999999999" x14ac:dyDescent="0.4"/>
  <sheetData>
    <row r="1" spans="1:5" x14ac:dyDescent="0.4">
      <c r="A1" s="1" t="s">
        <v>101</v>
      </c>
      <c r="B1" s="1" t="s">
        <v>102</v>
      </c>
      <c r="C1" s="1" t="s">
        <v>52</v>
      </c>
      <c r="D1" s="1" t="s">
        <v>105</v>
      </c>
      <c r="E1" s="1" t="s">
        <v>106</v>
      </c>
    </row>
    <row r="2" spans="1:5" x14ac:dyDescent="0.4">
      <c r="A2">
        <v>1</v>
      </c>
      <c r="B2">
        <v>1</v>
      </c>
      <c r="C2" t="s">
        <v>1337</v>
      </c>
      <c r="D2" t="s">
        <v>1338</v>
      </c>
    </row>
  </sheetData>
  <sheetProtection sheet="1" objects="1" scenarios="1"/>
  <autoFilter ref="A1:E1" xr:uid="{8C94EE16-55C4-463D-B061-24CD89AEAC88}"/>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69133-0FC5-4148-AC71-B3C466C440BF}">
  <sheetPr codeName="Sheet11"/>
  <dimension ref="A1:D1"/>
  <sheetViews>
    <sheetView workbookViewId="0"/>
  </sheetViews>
  <sheetFormatPr defaultRowHeight="17.399999999999999" x14ac:dyDescent="0.4"/>
  <sheetData>
    <row r="1" spans="1:4" x14ac:dyDescent="0.4">
      <c r="A1" s="1" t="s">
        <v>101</v>
      </c>
      <c r="B1" s="1" t="s">
        <v>102</v>
      </c>
      <c r="C1" s="1" t="s">
        <v>107</v>
      </c>
      <c r="D1" s="1" t="s">
        <v>108</v>
      </c>
    </row>
  </sheetData>
  <sheetProtection sheet="1" objects="1" scenarios="1"/>
  <autoFilter ref="A1:D1" xr:uid="{C3E69133-0FC5-4148-AC71-B3C466C440BF}"/>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EDE9E-E7F1-4052-902A-7FE030576386}">
  <sheetPr codeName="Sheet12"/>
  <dimension ref="A1:E1"/>
  <sheetViews>
    <sheetView workbookViewId="0"/>
  </sheetViews>
  <sheetFormatPr defaultRowHeight="17.399999999999999" x14ac:dyDescent="0.4"/>
  <sheetData>
    <row r="1" spans="1:5" x14ac:dyDescent="0.4">
      <c r="A1" s="1" t="s">
        <v>101</v>
      </c>
      <c r="B1" s="1" t="s">
        <v>102</v>
      </c>
      <c r="C1" s="1" t="s">
        <v>75</v>
      </c>
      <c r="D1" s="1" t="s">
        <v>76</v>
      </c>
      <c r="E1" s="1" t="s">
        <v>77</v>
      </c>
    </row>
  </sheetData>
  <sheetProtection sheet="1" objects="1" scenarios="1"/>
  <autoFilter ref="A1:E1" xr:uid="{77CEDE9E-E7F1-4052-902A-7FE030576386}"/>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4EB5-0244-45BB-9B52-505AA1AB89C1}">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8"/>
    </row>
    <row r="3" spans="1:8" ht="24" customHeight="1" x14ac:dyDescent="0.4">
      <c r="B3" s="97" t="s">
        <v>499</v>
      </c>
      <c r="C3" s="98"/>
      <c r="D3" s="98"/>
      <c r="E3" s="98"/>
      <c r="F3" s="98"/>
      <c r="G3" s="98"/>
      <c r="H3" s="98"/>
    </row>
    <row r="5" spans="1:8" ht="14.55" customHeight="1"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ht="14.55" customHeight="1" x14ac:dyDescent="0.4">
      <c r="B6" s="36"/>
      <c r="C6" s="36"/>
      <c r="D6" s="36"/>
      <c r="E6" s="36"/>
      <c r="F6" s="36"/>
      <c r="G6" s="36"/>
      <c r="H6" s="36"/>
    </row>
    <row r="7" spans="1:8" ht="14.55" customHeight="1" x14ac:dyDescent="0.4">
      <c r="B7" s="54" t="s">
        <v>292</v>
      </c>
      <c r="C7" s="93" t="s">
        <v>500</v>
      </c>
      <c r="D7" s="93"/>
      <c r="E7" s="93"/>
      <c r="F7" s="93"/>
      <c r="G7" s="93"/>
      <c r="H7" s="93"/>
    </row>
    <row r="8" spans="1:8" ht="14.55" customHeight="1" x14ac:dyDescent="0.4">
      <c r="B8" s="54" t="s">
        <v>297</v>
      </c>
      <c r="C8" s="93"/>
      <c r="D8" s="93"/>
      <c r="E8" s="93"/>
      <c r="F8" s="93"/>
      <c r="G8" s="93"/>
      <c r="H8" s="93"/>
    </row>
    <row r="9" spans="1:8" ht="14.55" customHeight="1" x14ac:dyDescent="0.4">
      <c r="B9" s="54" t="s">
        <v>293</v>
      </c>
      <c r="C9" s="95" t="str">
        <f>IF(기초자료입력!C5&lt;&gt;"",기초자료입력!C5&amp;"학년도 교복선정위원회 구성(안)","교복선정위원회 구성(안)")</f>
        <v>2026학년도 교복선정위원회 구성(안)</v>
      </c>
      <c r="D9" s="93"/>
      <c r="E9" s="93"/>
      <c r="F9" s="93"/>
      <c r="G9" s="93"/>
      <c r="H9" s="93"/>
    </row>
    <row r="10" spans="1:8" ht="14.55" customHeight="1" x14ac:dyDescent="0.4">
      <c r="B10" s="36"/>
      <c r="C10" s="36"/>
      <c r="D10" s="36"/>
      <c r="E10" s="36"/>
      <c r="F10" s="36"/>
      <c r="G10" s="36"/>
      <c r="H10" s="36"/>
    </row>
    <row r="11" spans="1:8" ht="14.55" customHeight="1" x14ac:dyDescent="0.4">
      <c r="B11" s="54" t="s">
        <v>298</v>
      </c>
      <c r="C11" s="93" t="str">
        <f>IF(기초자료입력!C23&lt;&gt;"",기초자료입력!C23,"")</f>
        <v>전주고-24244(26.1.1.)</v>
      </c>
      <c r="D11" s="93"/>
      <c r="E11" s="93"/>
      <c r="F11" s="93"/>
      <c r="G11" s="93"/>
      <c r="H11" s="93"/>
    </row>
    <row r="12" spans="1:8" ht="14.55" customHeight="1" x14ac:dyDescent="0.4">
      <c r="B12" s="36"/>
      <c r="C12" s="36"/>
      <c r="D12" s="36"/>
      <c r="E12" s="36"/>
      <c r="F12" s="36"/>
      <c r="G12" s="36"/>
      <c r="H12" s="36"/>
    </row>
    <row r="13" spans="1:8" ht="25.95" customHeight="1" x14ac:dyDescent="0.4">
      <c r="B13" s="99" t="str">
        <f>"2. "&amp;IF(기초자료입력!C4&lt;&gt;"",기초자료입력!C4,"○○학교")&amp;" "&amp;IF(기초자료입력!C5&lt;&gt;"",기초자료입력!C5,"○○")&amp;"학년도 교복선정을 위한 교복선정위원회를 아래와 같이 구성하고자 합니다."</f>
        <v>2. 전주고 2026학년도 교복선정을 위한 교복선정위원회를 아래와 같이 구성하고자 합니다.</v>
      </c>
      <c r="C13" s="99"/>
      <c r="D13" s="99"/>
      <c r="E13" s="99"/>
      <c r="F13" s="99"/>
      <c r="G13" s="99"/>
      <c r="H13" s="99"/>
    </row>
    <row r="14" spans="1:8" ht="14.55" customHeight="1" x14ac:dyDescent="0.4">
      <c r="B14" s="36"/>
      <c r="C14" s="36"/>
      <c r="D14" s="36"/>
      <c r="E14" s="36"/>
      <c r="F14" s="36"/>
      <c r="G14" s="36"/>
      <c r="H14" s="36"/>
    </row>
    <row r="15" spans="1:8" ht="14.55" customHeight="1" x14ac:dyDescent="0.4">
      <c r="B15" s="95" t="s">
        <v>501</v>
      </c>
      <c r="C15" s="93"/>
      <c r="D15" s="93"/>
      <c r="E15" s="93"/>
      <c r="F15" s="93"/>
      <c r="G15" s="93"/>
      <c r="H15" s="93"/>
    </row>
    <row r="16" spans="1:8" ht="19.95" customHeight="1" x14ac:dyDescent="0.4">
      <c r="B16" s="100" t="s">
        <v>502</v>
      </c>
      <c r="C16" s="99"/>
      <c r="D16" s="99"/>
      <c r="E16" s="99"/>
      <c r="F16" s="99"/>
      <c r="G16" s="99"/>
      <c r="H16" s="99"/>
    </row>
    <row r="17" spans="2:8" ht="12" customHeight="1" x14ac:dyDescent="0.4">
      <c r="B17" s="99" t="s">
        <v>503</v>
      </c>
      <c r="C17" s="99"/>
      <c r="D17" s="99"/>
      <c r="E17" s="99"/>
      <c r="F17" s="99"/>
      <c r="G17" s="99"/>
      <c r="H17" s="99"/>
    </row>
    <row r="18" spans="2:8" ht="14.55" customHeight="1" x14ac:dyDescent="0.4">
      <c r="B18" s="95" t="s">
        <v>504</v>
      </c>
      <c r="C18" s="93"/>
      <c r="D18" s="93"/>
      <c r="E18" s="93"/>
      <c r="F18" s="93"/>
      <c r="G18" s="93"/>
      <c r="H18" s="93"/>
    </row>
    <row r="19" spans="2:8" ht="14.55" customHeight="1" x14ac:dyDescent="0.4">
      <c r="B19" s="93" t="s">
        <v>505</v>
      </c>
      <c r="C19" s="93"/>
      <c r="D19" s="93"/>
      <c r="E19" s="93"/>
      <c r="F19" s="93"/>
      <c r="G19" s="93"/>
      <c r="H19" s="93"/>
    </row>
    <row r="20" spans="2:8" ht="14.55" customHeight="1" x14ac:dyDescent="0.4">
      <c r="B20" s="93" t="s">
        <v>506</v>
      </c>
      <c r="C20" s="93"/>
      <c r="D20" s="93"/>
      <c r="E20" s="93"/>
      <c r="F20" s="93"/>
      <c r="G20" s="93"/>
      <c r="H20" s="93"/>
    </row>
    <row r="21" spans="2:8" ht="14.55" customHeight="1" x14ac:dyDescent="0.4">
      <c r="B21" s="93" t="s">
        <v>507</v>
      </c>
      <c r="C21" s="93"/>
      <c r="D21" s="93"/>
      <c r="E21" s="93"/>
      <c r="F21" s="93"/>
      <c r="G21" s="93"/>
      <c r="H21" s="93"/>
    </row>
    <row r="22" spans="2:8" ht="14.55" customHeight="1" x14ac:dyDescent="0.4">
      <c r="B22" s="93" t="s">
        <v>508</v>
      </c>
      <c r="C22" s="93"/>
      <c r="D22" s="93"/>
      <c r="E22" s="93"/>
      <c r="F22" s="93"/>
      <c r="G22" s="93"/>
      <c r="H22" s="93"/>
    </row>
    <row r="23" spans="2:8" ht="14.55" customHeight="1" x14ac:dyDescent="0.4">
      <c r="B23" s="36"/>
      <c r="C23" s="36"/>
      <c r="D23" s="36"/>
      <c r="E23" s="36"/>
      <c r="F23" s="36"/>
      <c r="G23" s="36"/>
      <c r="H23" s="36"/>
    </row>
    <row r="24" spans="2:8" ht="14.55" customHeight="1" x14ac:dyDescent="0.4">
      <c r="B24" s="95" t="s">
        <v>509</v>
      </c>
      <c r="C24" s="93"/>
      <c r="D24" s="93"/>
      <c r="E24" s="93"/>
      <c r="F24" s="93"/>
      <c r="G24" s="93"/>
      <c r="H24" s="93"/>
    </row>
    <row r="25" spans="2:8" ht="14.55" customHeight="1" x14ac:dyDescent="0.4">
      <c r="B25" s="31" t="s">
        <v>510</v>
      </c>
      <c r="C25" s="31" t="s">
        <v>326</v>
      </c>
      <c r="D25" s="31" t="s">
        <v>511</v>
      </c>
      <c r="E25" s="31" t="s">
        <v>512</v>
      </c>
      <c r="F25" s="96" t="s">
        <v>316</v>
      </c>
      <c r="G25" s="93"/>
      <c r="H25" s="93"/>
    </row>
    <row r="26" spans="2:8" ht="14.55" customHeight="1" x14ac:dyDescent="0.4">
      <c r="B26" s="36" t="str">
        <f>IF(기초자료입력!B58&lt;&gt;"",1,"")</f>
        <v/>
      </c>
      <c r="C26" s="36" t="str">
        <f>IF(기초자료입력!B58&lt;&gt;"","위원장","")</f>
        <v/>
      </c>
      <c r="D26" s="36" t="str">
        <f>IF(기초자료입력!B58&lt;&gt;"",기초자료입력!B58,"")</f>
        <v/>
      </c>
      <c r="E26" s="36" t="str">
        <f>IF(기초자료입력!C58&lt;&gt;"",기초자료입력!C58,"")</f>
        <v/>
      </c>
      <c r="F26" s="93"/>
      <c r="G26" s="93"/>
      <c r="H26" s="93"/>
    </row>
    <row r="27" spans="2:8" ht="14.55" customHeight="1" x14ac:dyDescent="0.4">
      <c r="B27" s="36" t="str">
        <f>IF(기초자료입력!B59&lt;&gt;"",2,"")</f>
        <v/>
      </c>
      <c r="C27" s="36" t="str">
        <f>IF(기초자료입력!B59&lt;&gt;"","위원","")</f>
        <v/>
      </c>
      <c r="D27" s="36" t="str">
        <f>IF(기초자료입력!B59&lt;&gt;"",기초자료입력!B59,"")</f>
        <v/>
      </c>
      <c r="E27" s="36" t="str">
        <f>IF(기초자료입력!C59&lt;&gt;"",기초자료입력!C59,"")</f>
        <v/>
      </c>
      <c r="F27" s="93"/>
      <c r="G27" s="93"/>
      <c r="H27" s="93"/>
    </row>
    <row r="28" spans="2:8" ht="14.55" customHeight="1" x14ac:dyDescent="0.4">
      <c r="B28" s="36" t="str">
        <f>IF(기초자료입력!B60&lt;&gt;"",3,"")</f>
        <v/>
      </c>
      <c r="C28" s="36" t="str">
        <f>IF(기초자료입력!B60&lt;&gt;"","위원","")</f>
        <v/>
      </c>
      <c r="D28" s="36" t="str">
        <f>IF(기초자료입력!B60&lt;&gt;"",기초자료입력!B60,"")</f>
        <v/>
      </c>
      <c r="E28" s="36" t="str">
        <f>IF(기초자료입력!C60&lt;&gt;"",기초자료입력!C60,"")</f>
        <v/>
      </c>
      <c r="F28" s="93"/>
      <c r="G28" s="93"/>
      <c r="H28" s="93"/>
    </row>
    <row r="29" spans="2:8" ht="14.55" customHeight="1" x14ac:dyDescent="0.4">
      <c r="B29" s="36" t="str">
        <f>IF(기초자료입력!B61&lt;&gt;"",4,"")</f>
        <v/>
      </c>
      <c r="C29" s="36" t="str">
        <f>IF(기초자료입력!B61&lt;&gt;"","위원","")</f>
        <v/>
      </c>
      <c r="D29" s="36" t="str">
        <f>IF(기초자료입력!B61&lt;&gt;"",기초자료입력!B61,"")</f>
        <v/>
      </c>
      <c r="E29" s="36" t="str">
        <f>IF(기초자료입력!C61&lt;&gt;"",기초자료입력!C61,"")</f>
        <v/>
      </c>
      <c r="F29" s="93"/>
      <c r="G29" s="93"/>
      <c r="H29" s="93"/>
    </row>
    <row r="30" spans="2:8" ht="14.55" customHeight="1" x14ac:dyDescent="0.4">
      <c r="B30" s="36" t="str">
        <f>IF(기초자료입력!B62&lt;&gt;"",5,"")</f>
        <v/>
      </c>
      <c r="C30" s="36" t="str">
        <f>IF(기초자료입력!B62&lt;&gt;"","위원","")</f>
        <v/>
      </c>
      <c r="D30" s="36" t="str">
        <f>IF(기초자료입력!B62&lt;&gt;"",기초자료입력!B62,"")</f>
        <v/>
      </c>
      <c r="E30" s="36" t="str">
        <f>IF(기초자료입력!C62&lt;&gt;"",기초자료입력!C62,"")</f>
        <v/>
      </c>
      <c r="F30" s="93"/>
      <c r="G30" s="93"/>
      <c r="H30" s="93"/>
    </row>
    <row r="31" spans="2:8" ht="14.55" customHeight="1" x14ac:dyDescent="0.4">
      <c r="B31" s="36" t="str">
        <f>IF(기초자료입력!B63&lt;&gt;"",6,"")</f>
        <v/>
      </c>
      <c r="C31" s="36" t="str">
        <f>IF(기초자료입력!B63&lt;&gt;"","위원","")</f>
        <v/>
      </c>
      <c r="D31" s="36" t="str">
        <f>IF(기초자료입력!B63&lt;&gt;"",기초자료입력!B63,"")</f>
        <v/>
      </c>
      <c r="E31" s="36" t="str">
        <f>IF(기초자료입력!C63&lt;&gt;"",기초자료입력!C63,"")</f>
        <v/>
      </c>
      <c r="F31" s="93"/>
      <c r="G31" s="93"/>
      <c r="H31" s="93"/>
    </row>
    <row r="32" spans="2:8" ht="14.55" customHeight="1" x14ac:dyDescent="0.4">
      <c r="B32" s="36" t="str">
        <f>IF(기초자료입력!B64&lt;&gt;"",7,"")</f>
        <v/>
      </c>
      <c r="C32" s="36" t="str">
        <f>IF(기초자료입력!B64&lt;&gt;"","위원","")</f>
        <v/>
      </c>
      <c r="D32" s="36" t="str">
        <f>IF(기초자료입력!B64&lt;&gt;"",기초자료입력!B64,"")</f>
        <v/>
      </c>
      <c r="E32" s="36" t="str">
        <f>IF(기초자료입력!C64&lt;&gt;"",기초자료입력!C64,"")</f>
        <v/>
      </c>
      <c r="F32" s="93"/>
      <c r="G32" s="93"/>
      <c r="H32" s="93"/>
    </row>
    <row r="33" spans="2:8" ht="14.55" customHeight="1" x14ac:dyDescent="0.4">
      <c r="B33" s="36" t="str">
        <f>IF(기초자료입력!B65&lt;&gt;"",8,"")</f>
        <v/>
      </c>
      <c r="C33" s="36" t="str">
        <f>IF(기초자료입력!B65&lt;&gt;"","위원","")</f>
        <v/>
      </c>
      <c r="D33" s="36" t="str">
        <f>IF(기초자료입력!B65&lt;&gt;"",기초자료입력!B65,"")</f>
        <v/>
      </c>
      <c r="E33" s="36" t="str">
        <f>IF(기초자료입력!C65&lt;&gt;"",기초자료입력!C65,"")</f>
        <v/>
      </c>
      <c r="F33" s="93"/>
      <c r="G33" s="93"/>
      <c r="H33" s="93"/>
    </row>
    <row r="34" spans="2:8" ht="14.55" customHeight="1" x14ac:dyDescent="0.4">
      <c r="B34" s="36" t="str">
        <f>IF(기초자료입력!B66&lt;&gt;"",9,"")</f>
        <v/>
      </c>
      <c r="C34" s="36" t="str">
        <f>IF(기초자료입력!B66&lt;&gt;"","위원","")</f>
        <v/>
      </c>
      <c r="D34" s="36" t="str">
        <f>IF(기초자료입력!B66&lt;&gt;"",기초자료입력!B66,"")</f>
        <v/>
      </c>
      <c r="E34" s="36" t="str">
        <f>IF(기초자료입력!C66&lt;&gt;"",기초자료입력!C66,"")</f>
        <v/>
      </c>
      <c r="F34" s="93"/>
      <c r="G34" s="93"/>
      <c r="H34" s="93"/>
    </row>
    <row r="35" spans="2:8" ht="14.55" customHeight="1" x14ac:dyDescent="0.4">
      <c r="B35" s="36" t="str">
        <f>IF(기초자료입력!B67&lt;&gt;"",10,"")</f>
        <v/>
      </c>
      <c r="C35" s="36" t="str">
        <f>IF(기초자료입력!B67&lt;&gt;"","위원","")</f>
        <v/>
      </c>
      <c r="D35" s="36" t="str">
        <f>IF(기초자료입력!B67&lt;&gt;"",기초자료입력!B67,"")</f>
        <v/>
      </c>
      <c r="E35" s="36" t="str">
        <f>IF(기초자료입력!C67&lt;&gt;"",기초자료입력!C67,"")</f>
        <v/>
      </c>
      <c r="F35" s="93"/>
      <c r="G35" s="93"/>
      <c r="H35" s="93"/>
    </row>
    <row r="36" spans="2:8" ht="14.55" customHeight="1" x14ac:dyDescent="0.4">
      <c r="B36" s="37"/>
      <c r="C36" s="37"/>
      <c r="D36" s="37"/>
      <c r="E36" s="37"/>
      <c r="F36" s="37"/>
      <c r="G36" s="37"/>
      <c r="H36" s="37"/>
    </row>
    <row r="37" spans="2:8" ht="14.55" customHeight="1" x14ac:dyDescent="0.4">
      <c r="B37" s="94" t="s">
        <v>513</v>
      </c>
      <c r="C37" s="92"/>
      <c r="D37" s="92"/>
      <c r="E37" s="92"/>
      <c r="F37" s="92"/>
      <c r="G37" s="92"/>
      <c r="H37" s="92"/>
    </row>
    <row r="38" spans="2:8" ht="14.55" customHeight="1" x14ac:dyDescent="0.4">
      <c r="B38" s="92" t="s">
        <v>514</v>
      </c>
      <c r="C38" s="92"/>
      <c r="D38" s="92"/>
      <c r="E38" s="92"/>
      <c r="F38" s="92"/>
      <c r="G38" s="92"/>
      <c r="H38" s="92"/>
    </row>
    <row r="39" spans="2:8" ht="14.55" customHeight="1" x14ac:dyDescent="0.4">
      <c r="B39" s="37"/>
      <c r="C39" s="37"/>
      <c r="D39" s="37"/>
      <c r="E39" s="37"/>
      <c r="F39" s="37"/>
      <c r="G39" s="37"/>
      <c r="H39" s="37"/>
    </row>
    <row r="40" spans="2:8" ht="28.05" customHeight="1" x14ac:dyDescent="0.4">
      <c r="B40" s="37"/>
      <c r="C40" s="37"/>
      <c r="D40" s="37"/>
      <c r="E40" s="37"/>
      <c r="F40" s="55" t="str">
        <f>"담당"&amp;CHAR(10)&amp;IF(기초자료입력!$C$10&lt;&gt;"",기초자료입력!$C$10,"")</f>
        <v>담당
윤호</v>
      </c>
      <c r="G40" s="55" t="s">
        <v>304</v>
      </c>
      <c r="H40" s="55" t="str">
        <f>"교장"&amp;CHAR(10)&amp;IF(기초자료입력!$F$10&lt;&gt;"",기초자료입력!$F$10,"")</f>
        <v>교장
김호</v>
      </c>
    </row>
    <row r="41" spans="2:8" ht="14.55" customHeight="1" x14ac:dyDescent="0.4">
      <c r="B41" s="52" t="s">
        <v>305</v>
      </c>
      <c r="C41" s="92" t="str">
        <f>IF(기초자료입력!C9&lt;&gt;"",기초자료입력!C9&amp;IF(기초자료입력!C8&lt;&gt;"","("&amp;TEXT(기초자료입력!C8,"yyyy.m.d.")&amp;")",""),"")</f>
        <v>전주고-24244(26.1.1.)(2026.1.1.)</v>
      </c>
      <c r="D41" s="92"/>
      <c r="E41" s="92"/>
      <c r="F41" s="54" t="s">
        <v>306</v>
      </c>
      <c r="G41" s="93"/>
      <c r="H41" s="93"/>
    </row>
    <row r="42" spans="2:8" ht="14.55" customHeight="1" x14ac:dyDescent="0.4">
      <c r="B42" s="52" t="s">
        <v>307</v>
      </c>
      <c r="C42" s="37"/>
      <c r="D42" s="52" t="s">
        <v>308</v>
      </c>
      <c r="E42" s="92" t="str">
        <f>IFERROR(INDEX(학교정보!$F$2:$F$121,MATCH(기초자료입력!$C$4,학교정보!$E$2:$E$121,0)),"")</f>
        <v/>
      </c>
      <c r="F42" s="93"/>
      <c r="G42" s="93"/>
      <c r="H42" s="93"/>
    </row>
    <row r="43" spans="2:8" ht="14.55" customHeight="1" x14ac:dyDescent="0.4">
      <c r="B43" s="52" t="s">
        <v>309</v>
      </c>
      <c r="C43" s="37" t="str">
        <f>IFERROR(INDEX(학교정보!$G$2:$G$121,MATCH(기초자료입력!$C$4,학교정보!$E$2:$E$121,0)),"")</f>
        <v/>
      </c>
      <c r="D43" s="52" t="s">
        <v>310</v>
      </c>
      <c r="E43" s="37"/>
      <c r="F43" s="54" t="s">
        <v>311</v>
      </c>
      <c r="G43" s="93"/>
      <c r="H43" s="93"/>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DB0BF-11FE-4BE0-949A-B8FB3F3923D4}">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3" t="s">
        <v>515</v>
      </c>
      <c r="C3" s="102"/>
      <c r="D3" s="102"/>
      <c r="E3" s="102"/>
    </row>
    <row r="4" spans="1:5" ht="25.95" customHeight="1" x14ac:dyDescent="0.4">
      <c r="B4" s="102"/>
      <c r="C4" s="102"/>
      <c r="D4" s="102"/>
      <c r="E4" s="102"/>
    </row>
    <row r="5" spans="1:5" ht="10.050000000000001" customHeight="1" x14ac:dyDescent="0.4">
      <c r="B5" s="56"/>
      <c r="C5" s="56"/>
      <c r="D5" s="56"/>
      <c r="E5" s="56"/>
    </row>
    <row r="6" spans="1:5" ht="28.05" customHeight="1" x14ac:dyDescent="0.4">
      <c r="B6" s="104" t="str">
        <f>"본인은 "&amp;IF(기초자료입력!C4&lt;&gt;"",기초자료입력!C4,"○○학교")&amp;" 교복선정위원회 활동을 공정하게 수행할 것이며, 교복가격 안정화에 적극 노력하겠습니다."</f>
        <v>본인은 전주고 교복선정위원회 활동을 공정하게 수행할 것이며, 교복가격 안정화에 적극 노력하겠습니다.</v>
      </c>
      <c r="C6" s="104"/>
      <c r="D6" s="104"/>
      <c r="E6" s="104"/>
    </row>
    <row r="7" spans="1:5" ht="28.05" customHeight="1" x14ac:dyDescent="0.4">
      <c r="B7" s="104" t="str">
        <f>"아울러 본인은 "&amp;IF(기초자료입력!C4&lt;&gt;"",기초자료입력!C4,"○○학교")&amp;" 교복 입찰에 참가한(또는 앞으로 참가할) 업체와 전혀 관련이 없음을 확인합니다."</f>
        <v>아울러 본인은 전주고 교복 입찰에 참가한(또는 앞으로 참가할) 업체와 전혀 관련이 없음을 확인합니다.</v>
      </c>
      <c r="C7" s="104"/>
      <c r="D7" s="104"/>
      <c r="E7" s="104"/>
    </row>
    <row r="8" spans="1:5" ht="28.05" customHeight="1" x14ac:dyDescent="0.4">
      <c r="B8" s="104" t="s">
        <v>516</v>
      </c>
      <c r="C8" s="104"/>
      <c r="D8" s="104"/>
      <c r="E8" s="104"/>
    </row>
    <row r="9" spans="1:5" ht="13.95" customHeight="1" x14ac:dyDescent="0.4">
      <c r="B9" s="56"/>
      <c r="C9" s="56"/>
      <c r="D9" s="56"/>
      <c r="E9" s="56"/>
    </row>
    <row r="10" spans="1:5" ht="13.95" customHeight="1" x14ac:dyDescent="0.4">
      <c r="B10" s="56"/>
      <c r="C10" s="56"/>
      <c r="D10" s="56"/>
      <c r="E10" s="56"/>
    </row>
    <row r="11" spans="1:5" ht="10.050000000000001" customHeight="1" x14ac:dyDescent="0.4">
      <c r="B11" s="56"/>
      <c r="C11" s="56"/>
      <c r="D11" s="56"/>
      <c r="E11" s="56"/>
    </row>
    <row r="12" spans="1:5" ht="19.95" customHeight="1" x14ac:dyDescent="0.4">
      <c r="B12" s="102" t="str">
        <f>IF(기초자료입력!$C$5="","20○○.  ○○  .  ○○  .","20"&amp;RIGHT(기초자료입력!$C$5,2)&amp;".  ○○  .  ○○  .")</f>
        <v>2026.  ○○  .  ○○  .</v>
      </c>
      <c r="C12" s="102"/>
      <c r="D12" s="102"/>
      <c r="E12" s="102"/>
    </row>
    <row r="13" spans="1:5" ht="13.95" customHeight="1" x14ac:dyDescent="0.4">
      <c r="B13" s="56"/>
      <c r="C13" s="56"/>
      <c r="D13" s="56"/>
      <c r="E13" s="56"/>
    </row>
    <row r="14" spans="1:5" ht="22.05" customHeight="1" x14ac:dyDescent="0.4">
      <c r="B14" s="101" t="s">
        <v>517</v>
      </c>
      <c r="C14" s="101"/>
      <c r="D14" s="101"/>
      <c r="E14" s="101"/>
    </row>
    <row r="15" spans="1:5" ht="13.95" customHeight="1" x14ac:dyDescent="0.4">
      <c r="B15" s="57"/>
      <c r="C15" s="57"/>
      <c r="D15" s="57"/>
      <c r="E15" s="57"/>
    </row>
    <row r="16" spans="1:5" ht="22.05" customHeight="1" x14ac:dyDescent="0.4">
      <c r="B16" s="101" t="s">
        <v>518</v>
      </c>
      <c r="C16" s="101"/>
      <c r="D16" s="101"/>
      <c r="E16" s="101"/>
    </row>
    <row r="17" spans="2:5" ht="13.95" customHeight="1" x14ac:dyDescent="0.4">
      <c r="B17" s="57"/>
      <c r="C17" s="57"/>
      <c r="D17" s="57"/>
      <c r="E17" s="57"/>
    </row>
    <row r="18" spans="2:5" ht="22.05" customHeight="1" x14ac:dyDescent="0.4">
      <c r="B18" s="101" t="s">
        <v>519</v>
      </c>
      <c r="C18" s="101"/>
      <c r="D18" s="101"/>
      <c r="E18" s="101"/>
    </row>
    <row r="19" spans="2:5" ht="13.95" customHeight="1" x14ac:dyDescent="0.4">
      <c r="B19" s="56"/>
      <c r="C19" s="56"/>
      <c r="D19" s="56"/>
      <c r="E19" s="56"/>
    </row>
    <row r="20" spans="2:5" ht="10.050000000000001" customHeight="1" x14ac:dyDescent="0.4">
      <c r="B20" s="56"/>
      <c r="C20" s="56"/>
      <c r="D20" s="56"/>
      <c r="E20" s="56"/>
    </row>
    <row r="21" spans="2:5" ht="19.95" customHeight="1" x14ac:dyDescent="0.4">
      <c r="B21" s="102" t="str">
        <f>IF(기초자료입력!$C$4="","○○학교장 귀하",기초자료입력!$C$4&amp;"장 귀하")</f>
        <v>전주고장 귀하</v>
      </c>
      <c r="C21" s="102"/>
      <c r="D21" s="102"/>
      <c r="E21" s="102"/>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671F5-62FF-46EF-85D0-EBBB323BA643}">
  <sheetPr codeName="Sheet15"/>
  <dimension ref="A1:E20"/>
  <sheetViews>
    <sheetView workbookViewId="0">
      <selection activeCell="B6" sqref="B6:E6"/>
    </sheetView>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3" t="s">
        <v>520</v>
      </c>
      <c r="C3" s="102"/>
      <c r="D3" s="102"/>
      <c r="E3" s="102"/>
    </row>
    <row r="4" spans="1:5" ht="25.95" customHeight="1" x14ac:dyDescent="0.4">
      <c r="B4" s="102"/>
      <c r="C4" s="102"/>
      <c r="D4" s="102"/>
      <c r="E4" s="102"/>
    </row>
    <row r="5" spans="1:5" ht="10.050000000000001" customHeight="1" x14ac:dyDescent="0.4">
      <c r="B5" s="56"/>
      <c r="C5" s="56"/>
      <c r="D5" s="56"/>
      <c r="E5" s="56"/>
    </row>
    <row r="6" spans="1:5" ht="28.05" customHeight="1" x14ac:dyDescent="0.4">
      <c r="B6" s="104"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전주고에서 실시하는 교복 학교주관구매업체 선정을 위한 평가함에 있어 「부패 없는 투명한 사회」 구현 등을 위하여 다음 사항을 준수할 것을 서약합니다.</v>
      </c>
      <c r="C6" s="104"/>
      <c r="D6" s="104"/>
      <c r="E6" s="104"/>
    </row>
    <row r="7" spans="1:5" ht="10.050000000000001" customHeight="1" x14ac:dyDescent="0.4">
      <c r="B7" s="56"/>
      <c r="C7" s="56"/>
      <c r="D7" s="56"/>
      <c r="E7" s="56"/>
    </row>
    <row r="8" spans="1:5" ht="25.95" customHeight="1" x14ac:dyDescent="0.4">
      <c r="B8" s="104" t="str">
        <f>"1. 20○○학년도 "&amp;IF(기초자료입력!C4&lt;&gt;"",기초자료입력!C4,"○○학교")&amp;" 교복 학교주관구매업체 선정을 위해 제시된 항목에 따라 객관적이고 공정하게 심사할 것을 약속합니다."</f>
        <v>1. 20○○학년도 전주고 교복 학교주관구매업체 선정을 위해 제시된 항목에 따라 객관적이고 공정하게 심사할 것을 약속합니다.</v>
      </c>
      <c r="C8" s="104"/>
      <c r="D8" s="104"/>
      <c r="E8" s="104"/>
    </row>
    <row r="9" spans="1:5" ht="25.95" customHeight="1" x14ac:dyDescent="0.4">
      <c r="B9" s="104"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4"/>
      <c r="D9" s="104"/>
      <c r="E9" s="104"/>
    </row>
    <row r="10" spans="1:5" ht="25.95" customHeight="1" x14ac:dyDescent="0.4">
      <c r="B10" s="104" t="str">
        <f>"3. 업무상 취득한 비밀을 준수하고 보안관계 규정 및 지침을 성실히 수행하겠습니다."</f>
        <v>3. 업무상 취득한 비밀을 준수하고 보안관계 규정 및 지침을 성실히 수행하겠습니다.</v>
      </c>
      <c r="C10" s="104"/>
      <c r="D10" s="104"/>
      <c r="E10" s="104"/>
    </row>
    <row r="11" spans="1:5" ht="25.95" customHeight="1" x14ac:dyDescent="0.4">
      <c r="B11" s="104"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4"/>
      <c r="D11" s="104"/>
      <c r="E11" s="104"/>
    </row>
    <row r="12" spans="1:5" ht="10.050000000000001" customHeight="1" x14ac:dyDescent="0.4">
      <c r="B12" s="56"/>
      <c r="C12" s="56"/>
      <c r="D12" s="56"/>
      <c r="E12" s="56"/>
    </row>
    <row r="13" spans="1:5" ht="13.95" customHeight="1" x14ac:dyDescent="0.4">
      <c r="B13" s="56"/>
      <c r="C13" s="56"/>
      <c r="D13" s="56"/>
      <c r="E13" s="56"/>
    </row>
    <row r="14" spans="1:5" ht="19.95" customHeight="1" x14ac:dyDescent="0.4">
      <c r="B14" s="102" t="str">
        <f>"20      년      월      일"</f>
        <v>20      년      월      일</v>
      </c>
      <c r="C14" s="102"/>
      <c r="D14" s="102"/>
      <c r="E14" s="102"/>
    </row>
    <row r="15" spans="1:5" ht="13.95" customHeight="1" x14ac:dyDescent="0.4">
      <c r="B15" s="56"/>
      <c r="C15" s="56"/>
      <c r="D15" s="56"/>
      <c r="E15" s="56"/>
    </row>
    <row r="16" spans="1:5" ht="13.95" customHeight="1" x14ac:dyDescent="0.4">
      <c r="B16" s="56"/>
      <c r="C16" s="56"/>
      <c r="D16" s="56"/>
      <c r="E16" s="56"/>
    </row>
    <row r="17" spans="2:5" ht="22.05" customHeight="1" x14ac:dyDescent="0.4">
      <c r="B17" s="101" t="str">
        <f>"서 약 자 성 명 :                              (인)"</f>
        <v>서 약 자 성 명 :                              (인)</v>
      </c>
      <c r="C17" s="101"/>
      <c r="D17" s="101"/>
      <c r="E17" s="101"/>
    </row>
    <row r="18" spans="2:5" ht="13.95" customHeight="1" x14ac:dyDescent="0.4">
      <c r="B18" s="56"/>
      <c r="C18" s="56"/>
      <c r="D18" s="56"/>
      <c r="E18" s="56"/>
    </row>
    <row r="19" spans="2:5" ht="10.050000000000001" customHeight="1" x14ac:dyDescent="0.4">
      <c r="B19" s="56"/>
      <c r="C19" s="56"/>
      <c r="D19" s="56"/>
      <c r="E19" s="56"/>
    </row>
    <row r="20" spans="2:5" ht="19.95" customHeight="1" x14ac:dyDescent="0.4">
      <c r="B20" s="102" t="str">
        <f>IF(기초자료입력!$C$4="","○○○학교장 귀하",기초자료입력!$C$4&amp;"장 귀하")</f>
        <v>전주고장 귀하</v>
      </c>
      <c r="C20" s="102"/>
      <c r="D20" s="102"/>
      <c r="E20" s="102"/>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E61F8-3AF9-4233-9D32-81D79FB6E4D0}">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8"/>
    </row>
    <row r="3" spans="1:8" ht="24" x14ac:dyDescent="0.4">
      <c r="B3" s="97" t="s">
        <v>521</v>
      </c>
      <c r="C3" s="98"/>
      <c r="D3" s="98"/>
      <c r="E3" s="98"/>
      <c r="F3" s="98"/>
      <c r="G3" s="98"/>
      <c r="H3" s="98"/>
    </row>
    <row r="5" spans="1:8" x14ac:dyDescent="0.4">
      <c r="B5" s="23" t="s">
        <v>13</v>
      </c>
      <c r="C5" s="20" t="str">
        <f>IF(기초자료입력!C9&lt;&gt;"",기초자료입력!C9,"")</f>
        <v>전주고-24244(26.1.1.)</v>
      </c>
      <c r="D5" s="20"/>
      <c r="E5" s="23" t="s">
        <v>291</v>
      </c>
      <c r="F5" s="20" t="str">
        <f>IF(기초자료입력!C8&lt;&gt;"",TEXT(기초자료입력!C8,"yyyy-mm-dd"),"")</f>
        <v>2026-01-01</v>
      </c>
      <c r="G5" s="20"/>
      <c r="H5" s="20"/>
    </row>
    <row r="6" spans="1:8" x14ac:dyDescent="0.4">
      <c r="B6" s="20"/>
      <c r="C6" s="20"/>
      <c r="D6" s="20"/>
      <c r="E6" s="20"/>
      <c r="F6" s="20"/>
      <c r="G6" s="20"/>
      <c r="H6" s="20"/>
    </row>
    <row r="7" spans="1:8" x14ac:dyDescent="0.4">
      <c r="B7" s="23" t="s">
        <v>292</v>
      </c>
      <c r="C7" s="107" t="s">
        <v>500</v>
      </c>
      <c r="D7" s="107"/>
      <c r="E7" s="107"/>
      <c r="F7" s="107"/>
      <c r="G7" s="107"/>
      <c r="H7" s="107"/>
    </row>
    <row r="8" spans="1:8" x14ac:dyDescent="0.4">
      <c r="B8" s="23" t="s">
        <v>297</v>
      </c>
      <c r="C8" s="107"/>
      <c r="D8" s="107"/>
      <c r="E8" s="107"/>
      <c r="F8" s="107"/>
      <c r="G8" s="107"/>
      <c r="H8" s="107"/>
    </row>
    <row r="9" spans="1:8" x14ac:dyDescent="0.4">
      <c r="B9" s="23" t="s">
        <v>293</v>
      </c>
      <c r="C9" s="109" t="str">
        <f>IF(기초자료입력!C5&lt;&gt;"",기초자료입력!C5&amp;"학년도 교복 학교주관구매 추진 계획(안)","교복 학교주관구매 추진 계획(안)")</f>
        <v>2026학년도 교복 학교주관구매 추진 계획(안)</v>
      </c>
      <c r="D9" s="107"/>
      <c r="E9" s="107"/>
      <c r="F9" s="107"/>
      <c r="G9" s="107"/>
      <c r="H9" s="107"/>
    </row>
    <row r="10" spans="1:8" x14ac:dyDescent="0.4">
      <c r="B10" s="19"/>
      <c r="C10" s="19"/>
      <c r="D10" s="19"/>
      <c r="E10" s="19"/>
      <c r="F10" s="19"/>
      <c r="G10" s="19"/>
      <c r="H10" s="19"/>
    </row>
    <row r="11" spans="1:8" x14ac:dyDescent="0.4">
      <c r="B11" s="21" t="s">
        <v>298</v>
      </c>
      <c r="C11" s="106" t="str">
        <f>IF(기초자료입력!C23&lt;&gt;"",기초자료입력!C23,"")</f>
        <v>전주고-24244(26.1.1.)</v>
      </c>
      <c r="D11" s="106"/>
      <c r="E11" s="106"/>
      <c r="F11" s="106"/>
      <c r="G11" s="106"/>
      <c r="H11" s="106"/>
    </row>
    <row r="12" spans="1:8" x14ac:dyDescent="0.4">
      <c r="B12" s="19"/>
      <c r="C12" s="19"/>
      <c r="D12" s="19"/>
      <c r="E12" s="19"/>
      <c r="F12" s="19"/>
      <c r="G12" s="19"/>
      <c r="H12" s="19"/>
    </row>
    <row r="13" spans="1:8" ht="28.05" customHeight="1" x14ac:dyDescent="0.4">
      <c r="B13" s="108"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 2026학년도 교복 학교주관구매 계획을 붙임과 같이 수립하여 업무 추진에 만전을 기하고자 합니다.</v>
      </c>
      <c r="C13" s="108"/>
      <c r="D13" s="108"/>
      <c r="E13" s="108"/>
      <c r="F13" s="108"/>
      <c r="G13" s="108"/>
      <c r="H13" s="108"/>
    </row>
    <row r="14" spans="1:8" x14ac:dyDescent="0.4">
      <c r="B14" s="19"/>
      <c r="C14" s="19"/>
      <c r="D14" s="19"/>
      <c r="E14" s="19"/>
      <c r="F14" s="19"/>
      <c r="G14" s="19"/>
      <c r="H14" s="19"/>
    </row>
    <row r="15" spans="1:8" x14ac:dyDescent="0.4">
      <c r="B15" s="105" t="str">
        <f>"붙임  "&amp;IF(기초자료입력!C5&lt;&gt;"",기초자료입력!C5,"○○")&amp;"학년도 교복 학교주관구매 추진 계획(안) 1부.  끝."</f>
        <v>붙임  2026학년도 교복 학교주관구매 추진 계획(안) 1부.  끝.</v>
      </c>
      <c r="C15" s="106"/>
      <c r="D15" s="106"/>
      <c r="E15" s="106"/>
      <c r="F15" s="106"/>
      <c r="G15" s="106"/>
      <c r="H15" s="106"/>
    </row>
    <row r="16" spans="1:8" x14ac:dyDescent="0.4">
      <c r="B16" s="19"/>
      <c r="C16" s="19"/>
      <c r="D16" s="19"/>
      <c r="E16" s="19"/>
      <c r="F16" s="19"/>
      <c r="G16" s="19"/>
      <c r="H16" s="19"/>
    </row>
    <row r="17" spans="2:8" ht="28.05" customHeight="1" x14ac:dyDescent="0.4">
      <c r="B17" s="20"/>
      <c r="C17" s="20"/>
      <c r="D17" s="20"/>
      <c r="E17" s="20"/>
      <c r="F17" s="25" t="str">
        <f>"담당"&amp;CHAR(10)&amp;IF(기초자료입력!$C$10&lt;&gt;"",기초자료입력!$C$10,"")</f>
        <v>담당
윤호</v>
      </c>
      <c r="G17" s="25" t="s">
        <v>304</v>
      </c>
      <c r="H17" s="25" t="str">
        <f>"교장"&amp;CHAR(10)&amp;IF(기초자료입력!$F$10&lt;&gt;"",기초자료입력!$F$10,"")</f>
        <v>교장
김호</v>
      </c>
    </row>
    <row r="18" spans="2:8" x14ac:dyDescent="0.4">
      <c r="B18" s="23" t="s">
        <v>305</v>
      </c>
      <c r="C18" s="107" t="str">
        <f>IF(기초자료입력!C9&lt;&gt;"",기초자료입력!C9&amp;IF(기초자료입력!C8&lt;&gt;"","("&amp;TEXT(기초자료입력!C8,"yyyy.m.d.")&amp;")",""),"")</f>
        <v>전주고-24244(26.1.1.)(2026.1.1.)</v>
      </c>
      <c r="D18" s="107"/>
      <c r="E18" s="107"/>
      <c r="F18" s="23" t="s">
        <v>306</v>
      </c>
      <c r="G18" s="107"/>
      <c r="H18" s="107"/>
    </row>
    <row r="19" spans="2:8" x14ac:dyDescent="0.4">
      <c r="B19" s="23" t="s">
        <v>307</v>
      </c>
      <c r="C19" s="20"/>
      <c r="D19" s="23" t="s">
        <v>308</v>
      </c>
      <c r="E19" s="107" t="str">
        <f>IFERROR(INDEX(학교정보!$F$2:$F$121,MATCH(기초자료입력!$C$4,학교정보!$E$2:$E$121,0)),"")</f>
        <v/>
      </c>
      <c r="F19" s="107"/>
      <c r="G19" s="107"/>
      <c r="H19" s="107"/>
    </row>
    <row r="20" spans="2:8" x14ac:dyDescent="0.4">
      <c r="B20" s="23" t="s">
        <v>309</v>
      </c>
      <c r="C20" s="20" t="str">
        <f>IFERROR(INDEX(학교정보!$G$2:$G$121,MATCH(기초자료입력!$C$4,학교정보!$E$2:$E$121,0)),"")</f>
        <v/>
      </c>
      <c r="D20" s="23" t="s">
        <v>310</v>
      </c>
      <c r="E20" s="20"/>
      <c r="F20" s="23" t="s">
        <v>311</v>
      </c>
      <c r="G20" s="107"/>
      <c r="H20" s="107"/>
    </row>
  </sheetData>
  <mergeCells count="11">
    <mergeCell ref="B13:H13"/>
    <mergeCell ref="B3:H3"/>
    <mergeCell ref="C7:H7"/>
    <mergeCell ref="C8:H8"/>
    <mergeCell ref="C9:H9"/>
    <mergeCell ref="C11:H11"/>
    <mergeCell ref="B15:H15"/>
    <mergeCell ref="C18:E18"/>
    <mergeCell ref="G18:H18"/>
    <mergeCell ref="E19:H19"/>
    <mergeCell ref="G20:H20"/>
  </mergeCells>
  <phoneticPr fontId="6"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9D6F0-5F97-435D-9700-799161EE8ACA}">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8"/>
      <c r="B1" s="97" t="str">
        <f>"2026학년도 교복 학교주관구매 추진 계획(안)"</f>
        <v>2026학년도 교복 학교주관구매 추진 계획(안)</v>
      </c>
      <c r="C1" s="98"/>
      <c r="D1" s="98"/>
      <c r="E1" s="98"/>
      <c r="F1" s="98"/>
      <c r="G1" s="98"/>
    </row>
    <row r="2" spans="1:7" ht="16.95" customHeight="1" x14ac:dyDescent="0.4">
      <c r="B2" s="91" t="str">
        <f>IF(기초자료입력!C4&lt;&gt;"",기초자료입력!C4&amp;"장",  "○○○학교장")</f>
        <v>전주고장</v>
      </c>
      <c r="C2" s="91"/>
      <c r="D2" s="91"/>
      <c r="E2" s="91"/>
      <c r="F2" s="91"/>
      <c r="G2" s="91"/>
    </row>
    <row r="3" spans="1:7" ht="6" customHeight="1" x14ac:dyDescent="0.4">
      <c r="B3" s="46"/>
      <c r="C3" s="37"/>
      <c r="D3" s="37"/>
      <c r="E3" s="37"/>
      <c r="F3" s="37"/>
      <c r="G3" s="37"/>
    </row>
    <row r="4" spans="1:7" x14ac:dyDescent="0.4">
      <c r="B4" s="37"/>
      <c r="C4" s="37"/>
      <c r="D4" s="37"/>
      <c r="E4" s="37"/>
      <c r="F4" s="37"/>
      <c r="G4" s="37"/>
    </row>
    <row r="5" spans="1:7" x14ac:dyDescent="0.4">
      <c r="B5" s="111" t="str">
        <f>"1  개요"</f>
        <v>1  개요</v>
      </c>
      <c r="C5" s="92"/>
      <c r="D5" s="92"/>
      <c r="E5" s="92"/>
      <c r="F5" s="92"/>
      <c r="G5" s="92"/>
    </row>
    <row r="6" spans="1:7" ht="16.95" customHeight="1" x14ac:dyDescent="0.4">
      <c r="B6" s="110" t="str">
        <f>"❍ 사업명："&amp;IF(기초자료입력!C5&lt;&gt;"",기초자료입력!C5,"20○○")&amp;"학년도 교복 학교주관구매"</f>
        <v>❍ 사업명：2026학년도 교복 학교주관구매</v>
      </c>
      <c r="C6" s="110"/>
      <c r="D6" s="110"/>
      <c r="E6" s="110"/>
      <c r="F6" s="110"/>
      <c r="G6" s="110"/>
    </row>
    <row r="7" spans="1:7" ht="30" customHeight="1" x14ac:dyDescent="0.4">
      <c r="B7" s="110" t="s">
        <v>522</v>
      </c>
      <c r="C7" s="110"/>
      <c r="D7" s="110"/>
      <c r="E7" s="110"/>
      <c r="F7" s="110"/>
      <c r="G7" s="110"/>
    </row>
    <row r="8" spans="1:7" ht="30" customHeight="1" x14ac:dyDescent="0.4">
      <c r="B8" s="110" t="s">
        <v>523</v>
      </c>
      <c r="C8" s="110"/>
      <c r="D8" s="110"/>
      <c r="E8" s="110"/>
      <c r="F8" s="110"/>
      <c r="G8" s="110"/>
    </row>
    <row r="9" spans="1:7" ht="16.95" customHeight="1" x14ac:dyDescent="0.4">
      <c r="B9" s="110" t="s">
        <v>524</v>
      </c>
      <c r="C9" s="110"/>
      <c r="D9" s="110"/>
      <c r="E9" s="110"/>
      <c r="F9" s="110"/>
      <c r="G9" s="110"/>
    </row>
    <row r="10" spans="1:7" ht="16.95" customHeight="1" x14ac:dyDescent="0.4">
      <c r="B10" s="110" t="s">
        <v>525</v>
      </c>
      <c r="C10" s="110"/>
      <c r="D10" s="110"/>
      <c r="E10" s="110"/>
      <c r="F10" s="110"/>
      <c r="G10" s="110"/>
    </row>
    <row r="11" spans="1:7" ht="6" customHeight="1" x14ac:dyDescent="0.4">
      <c r="B11" s="37"/>
      <c r="C11" s="37"/>
      <c r="D11" s="37"/>
      <c r="E11" s="37"/>
      <c r="F11" s="37"/>
      <c r="G11" s="37"/>
    </row>
    <row r="12" spans="1:7" x14ac:dyDescent="0.4">
      <c r="B12" s="37"/>
      <c r="C12" s="37"/>
      <c r="D12" s="37"/>
      <c r="E12" s="37"/>
      <c r="F12" s="37"/>
      <c r="G12" s="37"/>
    </row>
    <row r="13" spans="1:7" x14ac:dyDescent="0.4">
      <c r="B13" s="111" t="str">
        <f>"2  기본방향"</f>
        <v>2  기본방향</v>
      </c>
      <c r="C13" s="92"/>
      <c r="D13" s="92"/>
      <c r="E13" s="92"/>
      <c r="F13" s="92"/>
      <c r="G13" s="92"/>
    </row>
    <row r="14" spans="1:7" ht="30" customHeight="1" x14ac:dyDescent="0.4">
      <c r="B14" s="110" t="s">
        <v>526</v>
      </c>
      <c r="C14" s="110"/>
      <c r="D14" s="110"/>
      <c r="E14" s="110"/>
      <c r="F14" s="110"/>
      <c r="G14" s="110"/>
    </row>
    <row r="15" spans="1:7" ht="30" customHeight="1" x14ac:dyDescent="0.4">
      <c r="B15" s="110" t="s">
        <v>527</v>
      </c>
      <c r="C15" s="110"/>
      <c r="D15" s="110"/>
      <c r="E15" s="110"/>
      <c r="F15" s="110"/>
      <c r="G15" s="110"/>
    </row>
    <row r="16" spans="1:7" ht="30" customHeight="1" x14ac:dyDescent="0.4">
      <c r="B16" s="110" t="s">
        <v>528</v>
      </c>
      <c r="C16" s="110"/>
      <c r="D16" s="110"/>
      <c r="E16" s="110"/>
      <c r="F16" s="110"/>
      <c r="G16" s="110"/>
    </row>
    <row r="17" spans="2:7" ht="6" customHeight="1" x14ac:dyDescent="0.4">
      <c r="B17" s="37"/>
      <c r="C17" s="37"/>
      <c r="D17" s="37"/>
      <c r="E17" s="37"/>
      <c r="F17" s="37"/>
      <c r="G17" s="37"/>
    </row>
    <row r="18" spans="2:7" x14ac:dyDescent="0.4">
      <c r="B18" s="37"/>
      <c r="C18" s="37"/>
      <c r="D18" s="37"/>
      <c r="E18" s="37"/>
      <c r="F18" s="37"/>
      <c r="G18" s="37"/>
    </row>
    <row r="19" spans="2:7" x14ac:dyDescent="0.4">
      <c r="B19" s="111" t="str">
        <f>"3  추진 절차 개요"</f>
        <v>3  추진 절차 개요</v>
      </c>
      <c r="C19" s="92"/>
      <c r="D19" s="92"/>
      <c r="E19" s="92"/>
      <c r="F19" s="92"/>
      <c r="G19" s="92"/>
    </row>
    <row r="20" spans="2:7" x14ac:dyDescent="0.4">
      <c r="B20" s="96" t="s">
        <v>529</v>
      </c>
      <c r="C20" s="93"/>
      <c r="D20" s="96" t="s">
        <v>530</v>
      </c>
      <c r="E20" s="93"/>
      <c r="F20" s="93"/>
      <c r="G20" s="31" t="s">
        <v>295</v>
      </c>
    </row>
    <row r="21" spans="2:7" ht="43.05" customHeight="1" x14ac:dyDescent="0.4">
      <c r="B21" s="99" t="s">
        <v>531</v>
      </c>
      <c r="C21" s="99"/>
      <c r="D21" s="99" t="s">
        <v>532</v>
      </c>
      <c r="E21" s="99"/>
      <c r="F21" s="99"/>
      <c r="G21" s="36" t="s">
        <v>533</v>
      </c>
    </row>
    <row r="22" spans="2:7" ht="30" customHeight="1" x14ac:dyDescent="0.4">
      <c r="B22" s="99" t="s">
        <v>534</v>
      </c>
      <c r="C22" s="99"/>
      <c r="D22" s="99" t="s">
        <v>535</v>
      </c>
      <c r="E22" s="99"/>
      <c r="F22" s="99"/>
      <c r="G22" s="36" t="s">
        <v>533</v>
      </c>
    </row>
    <row r="23" spans="2:7" ht="43.05" customHeight="1" x14ac:dyDescent="0.4">
      <c r="B23" s="99" t="s">
        <v>536</v>
      </c>
      <c r="C23" s="99"/>
      <c r="D23" s="99" t="s">
        <v>537</v>
      </c>
      <c r="E23" s="99"/>
      <c r="F23" s="99"/>
      <c r="G23" s="36" t="s">
        <v>538</v>
      </c>
    </row>
    <row r="24" spans="2:7" ht="30" customHeight="1" x14ac:dyDescent="0.4">
      <c r="B24" s="99" t="s">
        <v>539</v>
      </c>
      <c r="C24" s="99"/>
      <c r="D24" s="99" t="s">
        <v>540</v>
      </c>
      <c r="E24" s="99"/>
      <c r="F24" s="99"/>
      <c r="G24" s="36" t="s">
        <v>541</v>
      </c>
    </row>
    <row r="25" spans="2:7" ht="16.95" customHeight="1" x14ac:dyDescent="0.4">
      <c r="B25" s="99" t="s">
        <v>542</v>
      </c>
      <c r="C25" s="99"/>
      <c r="D25" s="99" t="s">
        <v>543</v>
      </c>
      <c r="E25" s="99"/>
      <c r="F25" s="99"/>
      <c r="G25" s="36" t="s">
        <v>538</v>
      </c>
    </row>
    <row r="26" spans="2:7" ht="30" customHeight="1" x14ac:dyDescent="0.4">
      <c r="B26" s="99" t="s">
        <v>544</v>
      </c>
      <c r="C26" s="99"/>
      <c r="D26" s="99" t="s">
        <v>545</v>
      </c>
      <c r="E26" s="99"/>
      <c r="F26" s="99"/>
      <c r="G26" s="36" t="s">
        <v>541</v>
      </c>
    </row>
    <row r="27" spans="2:7" ht="30" customHeight="1" x14ac:dyDescent="0.4">
      <c r="B27" s="99" t="s">
        <v>546</v>
      </c>
      <c r="C27" s="99"/>
      <c r="D27" s="99" t="s">
        <v>547</v>
      </c>
      <c r="E27" s="99"/>
      <c r="F27" s="99"/>
      <c r="G27" s="36" t="s">
        <v>533</v>
      </c>
    </row>
    <row r="28" spans="2:7" ht="43.05" customHeight="1" x14ac:dyDescent="0.4">
      <c r="B28" s="99" t="s">
        <v>548</v>
      </c>
      <c r="C28" s="99"/>
      <c r="D28" s="99" t="s">
        <v>549</v>
      </c>
      <c r="E28" s="99"/>
      <c r="F28" s="99"/>
      <c r="G28" s="36" t="s">
        <v>533</v>
      </c>
    </row>
    <row r="29" spans="2:7" ht="30" customHeight="1" x14ac:dyDescent="0.4">
      <c r="B29" s="99" t="s">
        <v>550</v>
      </c>
      <c r="C29" s="99"/>
      <c r="D29" s="99" t="s">
        <v>551</v>
      </c>
      <c r="E29" s="99"/>
      <c r="F29" s="99"/>
      <c r="G29" s="36" t="s">
        <v>541</v>
      </c>
    </row>
    <row r="30" spans="2:7" ht="30" customHeight="1" x14ac:dyDescent="0.4">
      <c r="B30" s="99" t="s">
        <v>552</v>
      </c>
      <c r="C30" s="99"/>
      <c r="D30" s="99" t="s">
        <v>553</v>
      </c>
      <c r="E30" s="99"/>
      <c r="F30" s="99"/>
      <c r="G30" s="36" t="s">
        <v>538</v>
      </c>
    </row>
    <row r="31" spans="2:7" ht="43.05" customHeight="1" x14ac:dyDescent="0.4">
      <c r="B31" s="99" t="s">
        <v>554</v>
      </c>
      <c r="C31" s="99"/>
      <c r="D31" s="99" t="s">
        <v>555</v>
      </c>
      <c r="E31" s="99"/>
      <c r="F31" s="99"/>
      <c r="G31" s="36" t="s">
        <v>541</v>
      </c>
    </row>
    <row r="32" spans="2:7" ht="6" customHeight="1" x14ac:dyDescent="0.4">
      <c r="B32" s="37"/>
      <c r="C32" s="37"/>
      <c r="D32" s="37"/>
      <c r="E32" s="37"/>
      <c r="F32" s="37"/>
      <c r="G32" s="37"/>
    </row>
    <row r="33" spans="2:7" x14ac:dyDescent="0.4">
      <c r="B33" s="37"/>
      <c r="C33" s="37"/>
      <c r="D33" s="37"/>
      <c r="E33" s="37"/>
      <c r="F33" s="37"/>
      <c r="G33" s="37"/>
    </row>
    <row r="34" spans="2:7" x14ac:dyDescent="0.4">
      <c r="B34" s="111" t="str">
        <f>"4  세부 추진 절차"</f>
        <v>4  세부 추진 절차</v>
      </c>
      <c r="C34" s="92"/>
      <c r="D34" s="92"/>
      <c r="E34" s="92"/>
      <c r="F34" s="92"/>
      <c r="G34" s="92"/>
    </row>
    <row r="35" spans="2:7" x14ac:dyDescent="0.4">
      <c r="B35" s="94" t="s">
        <v>556</v>
      </c>
      <c r="C35" s="92"/>
      <c r="D35" s="92"/>
      <c r="E35" s="92"/>
      <c r="F35" s="92"/>
      <c r="G35" s="92"/>
    </row>
    <row r="36" spans="2:7" ht="16.95" customHeight="1" x14ac:dyDescent="0.4">
      <c r="B36" s="110" t="s">
        <v>557</v>
      </c>
      <c r="C36" s="110"/>
      <c r="D36" s="110"/>
      <c r="E36" s="110"/>
      <c r="F36" s="110"/>
      <c r="G36" s="110"/>
    </row>
    <row r="37" spans="2:7" ht="43.05" customHeight="1" x14ac:dyDescent="0.4">
      <c r="B37" s="110" t="s">
        <v>558</v>
      </c>
      <c r="C37" s="110"/>
      <c r="D37" s="110"/>
      <c r="E37" s="110"/>
      <c r="F37" s="110"/>
      <c r="G37" s="110"/>
    </row>
    <row r="38" spans="2:7" ht="25.95" customHeight="1" x14ac:dyDescent="0.4">
      <c r="B38" s="110" t="s">
        <v>559</v>
      </c>
      <c r="C38" s="110"/>
      <c r="D38" s="110"/>
      <c r="E38" s="110"/>
      <c r="F38" s="110"/>
      <c r="G38" s="110"/>
    </row>
    <row r="39" spans="2:7" ht="6" customHeight="1" x14ac:dyDescent="0.4">
      <c r="B39" s="37"/>
      <c r="C39" s="37"/>
      <c r="D39" s="37"/>
      <c r="E39" s="37"/>
      <c r="F39" s="37"/>
      <c r="G39" s="37"/>
    </row>
    <row r="40" spans="2:7" x14ac:dyDescent="0.4">
      <c r="B40" s="94" t="s">
        <v>560</v>
      </c>
      <c r="C40" s="92"/>
      <c r="D40" s="92"/>
      <c r="E40" s="92"/>
      <c r="F40" s="92"/>
      <c r="G40" s="92"/>
    </row>
    <row r="41" spans="2:7" ht="30" customHeight="1" x14ac:dyDescent="0.4">
      <c r="B41" s="110" t="s">
        <v>561</v>
      </c>
      <c r="C41" s="110"/>
      <c r="D41" s="110"/>
      <c r="E41" s="110"/>
      <c r="F41" s="110"/>
      <c r="G41" s="110"/>
    </row>
    <row r="42" spans="2:7" x14ac:dyDescent="0.4">
      <c r="B42" s="31" t="s">
        <v>510</v>
      </c>
      <c r="C42" s="31" t="s">
        <v>326</v>
      </c>
      <c r="D42" s="31" t="s">
        <v>511</v>
      </c>
      <c r="E42" s="31" t="s">
        <v>512</v>
      </c>
      <c r="F42" s="96" t="s">
        <v>316</v>
      </c>
      <c r="G42" s="96"/>
    </row>
    <row r="43" spans="2:7" x14ac:dyDescent="0.4">
      <c r="B43" s="58" t="str">
        <f>IF(기초자료입력!B58&lt;&gt;"",1,"")</f>
        <v/>
      </c>
      <c r="C43" s="58" t="str">
        <f>IF(기초자료입력!B58&lt;&gt;"","위원장","")</f>
        <v/>
      </c>
      <c r="D43" s="58" t="str">
        <f>IF(기초자료입력!B58&lt;&gt;"",기초자료입력!B58,"")</f>
        <v/>
      </c>
      <c r="E43" s="58" t="str">
        <f>IF(기초자료입력!C58&lt;&gt;"",기초자료입력!C58,"")</f>
        <v/>
      </c>
      <c r="F43" s="112"/>
      <c r="G43" s="112"/>
    </row>
    <row r="44" spans="2:7" x14ac:dyDescent="0.4">
      <c r="B44" s="58" t="str">
        <f>IF(기초자료입력!B59&lt;&gt;"",2,"")</f>
        <v/>
      </c>
      <c r="C44" s="58" t="str">
        <f>IF(기초자료입력!B59&lt;&gt;"","위원","")</f>
        <v/>
      </c>
      <c r="D44" s="58" t="str">
        <f>IF(기초자료입력!B59&lt;&gt;"",기초자료입력!B59,"")</f>
        <v/>
      </c>
      <c r="E44" s="58" t="str">
        <f>IF(기초자료입력!C59&lt;&gt;"",기초자료입력!C59,"")</f>
        <v/>
      </c>
      <c r="F44" s="112"/>
      <c r="G44" s="112"/>
    </row>
    <row r="45" spans="2:7" x14ac:dyDescent="0.4">
      <c r="B45" s="58" t="str">
        <f>IF(기초자료입력!B60&lt;&gt;"",3,"")</f>
        <v/>
      </c>
      <c r="C45" s="58" t="str">
        <f>IF(기초자료입력!B60&lt;&gt;"","위원","")</f>
        <v/>
      </c>
      <c r="D45" s="58" t="str">
        <f>IF(기초자료입력!B60&lt;&gt;"",기초자료입력!B60,"")</f>
        <v/>
      </c>
      <c r="E45" s="58" t="str">
        <f>IF(기초자료입력!C60&lt;&gt;"",기초자료입력!C60,"")</f>
        <v/>
      </c>
      <c r="F45" s="112"/>
      <c r="G45" s="112"/>
    </row>
    <row r="46" spans="2:7" x14ac:dyDescent="0.4">
      <c r="B46" s="58" t="str">
        <f>IF(기초자료입력!B61&lt;&gt;"",4,"")</f>
        <v/>
      </c>
      <c r="C46" s="58" t="str">
        <f>IF(기초자료입력!B61&lt;&gt;"","위원","")</f>
        <v/>
      </c>
      <c r="D46" s="58" t="str">
        <f>IF(기초자료입력!B61&lt;&gt;"",기초자료입력!B61,"")</f>
        <v/>
      </c>
      <c r="E46" s="58" t="str">
        <f>IF(기초자료입력!C61&lt;&gt;"",기초자료입력!C61,"")</f>
        <v/>
      </c>
      <c r="F46" s="112"/>
      <c r="G46" s="112"/>
    </row>
    <row r="47" spans="2:7" x14ac:dyDescent="0.4">
      <c r="B47" s="58" t="str">
        <f>IF(기초자료입력!B62&lt;&gt;"",5,"")</f>
        <v/>
      </c>
      <c r="C47" s="58" t="str">
        <f>IF(기초자료입력!B62&lt;&gt;"","위원","")</f>
        <v/>
      </c>
      <c r="D47" s="58" t="str">
        <f>IF(기초자료입력!B62&lt;&gt;"",기초자료입력!B62,"")</f>
        <v/>
      </c>
      <c r="E47" s="58" t="str">
        <f>IF(기초자료입력!C62&lt;&gt;"",기초자료입력!C62,"")</f>
        <v/>
      </c>
      <c r="F47" s="112"/>
      <c r="G47" s="112"/>
    </row>
    <row r="48" spans="2:7" x14ac:dyDescent="0.4">
      <c r="B48" s="58" t="str">
        <f>IF(기초자료입력!B63&lt;&gt;"",6,"")</f>
        <v/>
      </c>
      <c r="C48" s="58" t="str">
        <f>IF(기초자료입력!B63&lt;&gt;"","위원","")</f>
        <v/>
      </c>
      <c r="D48" s="58" t="str">
        <f>IF(기초자료입력!B63&lt;&gt;"",기초자료입력!B63,"")</f>
        <v/>
      </c>
      <c r="E48" s="58" t="str">
        <f>IF(기초자료입력!C63&lt;&gt;"",기초자료입력!C63,"")</f>
        <v/>
      </c>
      <c r="F48" s="112"/>
      <c r="G48" s="112"/>
    </row>
    <row r="49" spans="2:7" x14ac:dyDescent="0.4">
      <c r="B49" s="58" t="str">
        <f>IF(기초자료입력!B64&lt;&gt;"",7,"")</f>
        <v/>
      </c>
      <c r="C49" s="58" t="str">
        <f>IF(기초자료입력!B64&lt;&gt;"","위원","")</f>
        <v/>
      </c>
      <c r="D49" s="58" t="str">
        <f>IF(기초자료입력!B64&lt;&gt;"",기초자료입력!B64,"")</f>
        <v/>
      </c>
      <c r="E49" s="58" t="str">
        <f>IF(기초자료입력!C64&lt;&gt;"",기초자료입력!C64,"")</f>
        <v/>
      </c>
      <c r="F49" s="112"/>
      <c r="G49" s="112"/>
    </row>
    <row r="50" spans="2:7" x14ac:dyDescent="0.4">
      <c r="B50" s="58" t="str">
        <f>IF(기초자료입력!B65&lt;&gt;"",8,"")</f>
        <v/>
      </c>
      <c r="C50" s="58" t="str">
        <f>IF(기초자료입력!B65&lt;&gt;"","위원","")</f>
        <v/>
      </c>
      <c r="D50" s="58" t="str">
        <f>IF(기초자료입력!B65&lt;&gt;"",기초자료입력!B65,"")</f>
        <v/>
      </c>
      <c r="E50" s="58" t="str">
        <f>IF(기초자료입력!C65&lt;&gt;"",기초자료입력!C65,"")</f>
        <v/>
      </c>
      <c r="F50" s="112"/>
      <c r="G50" s="112"/>
    </row>
    <row r="51" spans="2:7" x14ac:dyDescent="0.4">
      <c r="B51" s="58" t="str">
        <f>IF(기초자료입력!B66&lt;&gt;"",9,"")</f>
        <v/>
      </c>
      <c r="C51" s="58" t="str">
        <f>IF(기초자료입력!B66&lt;&gt;"","위원","")</f>
        <v/>
      </c>
      <c r="D51" s="58" t="str">
        <f>IF(기초자료입력!B66&lt;&gt;"",기초자료입력!B66,"")</f>
        <v/>
      </c>
      <c r="E51" s="58" t="str">
        <f>IF(기초자료입력!C66&lt;&gt;"",기초자료입력!C66,"")</f>
        <v/>
      </c>
      <c r="F51" s="112"/>
      <c r="G51" s="112"/>
    </row>
    <row r="52" spans="2:7" x14ac:dyDescent="0.4">
      <c r="B52" s="58" t="str">
        <f>IF(기초자료입력!B67&lt;&gt;"",10,"")</f>
        <v/>
      </c>
      <c r="C52" s="58" t="str">
        <f>IF(기초자료입력!B67&lt;&gt;"","위원","")</f>
        <v/>
      </c>
      <c r="D52" s="58" t="str">
        <f>IF(기초자료입력!B67&lt;&gt;"",기초자료입력!B67,"")</f>
        <v/>
      </c>
      <c r="E52" s="58" t="str">
        <f>IF(기초자료입력!C67&lt;&gt;"",기초자료입력!C67,"")</f>
        <v/>
      </c>
      <c r="F52" s="112"/>
      <c r="G52" s="112"/>
    </row>
    <row r="53" spans="2:7" ht="94.95" customHeight="1" x14ac:dyDescent="0.4">
      <c r="B53" s="113" t="s">
        <v>562</v>
      </c>
      <c r="C53" s="113"/>
      <c r="D53" s="113"/>
      <c r="E53" s="113"/>
      <c r="F53" s="113"/>
      <c r="G53" s="113"/>
    </row>
    <row r="54" spans="2:7" ht="25.95" customHeight="1" x14ac:dyDescent="0.4">
      <c r="B54" s="110" t="s">
        <v>563</v>
      </c>
      <c r="C54" s="110"/>
      <c r="D54" s="110"/>
      <c r="E54" s="110"/>
      <c r="F54" s="110"/>
      <c r="G54" s="110"/>
    </row>
    <row r="55" spans="2:7" ht="6" customHeight="1" x14ac:dyDescent="0.4">
      <c r="B55" s="37"/>
      <c r="C55" s="37"/>
      <c r="D55" s="37"/>
      <c r="E55" s="37"/>
      <c r="F55" s="37"/>
      <c r="G55" s="37"/>
    </row>
    <row r="56" spans="2:7" x14ac:dyDescent="0.4">
      <c r="B56" s="94" t="s">
        <v>564</v>
      </c>
      <c r="C56" s="92"/>
      <c r="D56" s="92"/>
      <c r="E56" s="92"/>
      <c r="F56" s="92"/>
      <c r="G56" s="92"/>
    </row>
    <row r="57" spans="2:7" ht="43.05" customHeight="1" x14ac:dyDescent="0.4">
      <c r="B57" s="110" t="s">
        <v>565</v>
      </c>
      <c r="C57" s="110"/>
      <c r="D57" s="110"/>
      <c r="E57" s="110"/>
      <c r="F57" s="110"/>
      <c r="G57" s="110"/>
    </row>
    <row r="58" spans="2:7" ht="43.05" customHeight="1" x14ac:dyDescent="0.4">
      <c r="B58" s="11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110"/>
      <c r="D58" s="110"/>
      <c r="E58" s="110"/>
      <c r="F58" s="110"/>
      <c r="G58" s="110"/>
    </row>
    <row r="59" spans="2:7" ht="30" customHeight="1" x14ac:dyDescent="0.4">
      <c r="B59" s="110" t="s">
        <v>566</v>
      </c>
      <c r="C59" s="110"/>
      <c r="D59" s="110"/>
      <c r="E59" s="110"/>
      <c r="F59" s="110"/>
      <c r="G59" s="110"/>
    </row>
    <row r="60" spans="2:7" ht="6" customHeight="1" x14ac:dyDescent="0.4">
      <c r="B60" s="37"/>
      <c r="C60" s="37"/>
      <c r="D60" s="37"/>
      <c r="E60" s="37"/>
      <c r="F60" s="37"/>
      <c r="G60" s="37"/>
    </row>
    <row r="61" spans="2:7" x14ac:dyDescent="0.4">
      <c r="B61" s="94" t="s">
        <v>567</v>
      </c>
      <c r="C61" s="92"/>
      <c r="D61" s="92"/>
      <c r="E61" s="92"/>
      <c r="F61" s="92"/>
      <c r="G61" s="92"/>
    </row>
    <row r="62" spans="2:7" ht="43.05" customHeight="1" x14ac:dyDescent="0.4">
      <c r="B62" s="110" t="s">
        <v>568</v>
      </c>
      <c r="C62" s="110"/>
      <c r="D62" s="110"/>
      <c r="E62" s="110"/>
      <c r="F62" s="110"/>
      <c r="G62" s="110"/>
    </row>
    <row r="63" spans="2:7" ht="55.95" customHeight="1" x14ac:dyDescent="0.4">
      <c r="B63" s="110" t="s">
        <v>569</v>
      </c>
      <c r="C63" s="110"/>
      <c r="D63" s="110"/>
      <c r="E63" s="110"/>
      <c r="F63" s="110"/>
      <c r="G63" s="110"/>
    </row>
    <row r="64" spans="2:7" ht="30" customHeight="1" x14ac:dyDescent="0.4">
      <c r="B64" s="110" t="s">
        <v>570</v>
      </c>
      <c r="C64" s="110"/>
      <c r="D64" s="110"/>
      <c r="E64" s="110"/>
      <c r="F64" s="110"/>
      <c r="G64" s="110"/>
    </row>
    <row r="65" spans="2:7" ht="16.95" customHeight="1" x14ac:dyDescent="0.4">
      <c r="B65" s="110" t="s">
        <v>571</v>
      </c>
      <c r="C65" s="110"/>
      <c r="D65" s="110"/>
      <c r="E65" s="110"/>
      <c r="F65" s="110"/>
      <c r="G65" s="110"/>
    </row>
    <row r="66" spans="2:7" ht="43.05" customHeight="1" x14ac:dyDescent="0.4">
      <c r="B66" s="110" t="s">
        <v>572</v>
      </c>
      <c r="C66" s="110"/>
      <c r="D66" s="110"/>
      <c r="E66" s="110"/>
      <c r="F66" s="110"/>
      <c r="G66" s="110"/>
    </row>
    <row r="67" spans="2:7" ht="30" customHeight="1" x14ac:dyDescent="0.4">
      <c r="B67" s="110" t="s">
        <v>573</v>
      </c>
      <c r="C67" s="110"/>
      <c r="D67" s="110"/>
      <c r="E67" s="110"/>
      <c r="F67" s="110"/>
      <c r="G67" s="110"/>
    </row>
    <row r="68" spans="2:7" ht="6" customHeight="1" x14ac:dyDescent="0.4">
      <c r="B68" s="37"/>
      <c r="C68" s="37"/>
      <c r="D68" s="37"/>
      <c r="E68" s="37"/>
      <c r="F68" s="37"/>
      <c r="G68" s="37"/>
    </row>
    <row r="69" spans="2:7" x14ac:dyDescent="0.4">
      <c r="B69" s="94" t="s">
        <v>574</v>
      </c>
      <c r="C69" s="92"/>
      <c r="D69" s="92"/>
      <c r="E69" s="92"/>
      <c r="F69" s="92"/>
      <c r="G69" s="92"/>
    </row>
    <row r="70" spans="2:7" ht="30" customHeight="1" x14ac:dyDescent="0.4">
      <c r="B70" s="110" t="s">
        <v>575</v>
      </c>
      <c r="C70" s="110"/>
      <c r="D70" s="110"/>
      <c r="E70" s="110"/>
      <c r="F70" s="110"/>
      <c r="G70" s="110"/>
    </row>
    <row r="71" spans="2:7" ht="43.05" customHeight="1" x14ac:dyDescent="0.4">
      <c r="B71" s="110" t="s">
        <v>576</v>
      </c>
      <c r="C71" s="110"/>
      <c r="D71" s="110"/>
      <c r="E71" s="110"/>
      <c r="F71" s="110"/>
      <c r="G71" s="110"/>
    </row>
    <row r="72" spans="2:7" ht="43.05" customHeight="1" x14ac:dyDescent="0.4">
      <c r="B72" s="110" t="s">
        <v>577</v>
      </c>
      <c r="C72" s="110"/>
      <c r="D72" s="110"/>
      <c r="E72" s="110"/>
      <c r="F72" s="110"/>
      <c r="G72" s="110"/>
    </row>
    <row r="73" spans="2:7" ht="43.05" customHeight="1" x14ac:dyDescent="0.4">
      <c r="B73" s="110" t="s">
        <v>578</v>
      </c>
      <c r="C73" s="110"/>
      <c r="D73" s="110"/>
      <c r="E73" s="110"/>
      <c r="F73" s="110"/>
      <c r="G73" s="110"/>
    </row>
    <row r="74" spans="2:7" ht="37.049999999999997" customHeight="1" x14ac:dyDescent="0.4">
      <c r="B74" s="110" t="s">
        <v>579</v>
      </c>
      <c r="C74" s="110"/>
      <c r="D74" s="110"/>
      <c r="E74" s="110"/>
      <c r="F74" s="110"/>
      <c r="G74" s="110"/>
    </row>
    <row r="75" spans="2:7" ht="6" customHeight="1" x14ac:dyDescent="0.4">
      <c r="B75" s="37"/>
      <c r="C75" s="37"/>
      <c r="D75" s="37"/>
      <c r="E75" s="37"/>
      <c r="F75" s="37"/>
      <c r="G75" s="37"/>
    </row>
    <row r="76" spans="2:7" x14ac:dyDescent="0.4">
      <c r="B76" s="94" t="s">
        <v>580</v>
      </c>
      <c r="C76" s="92"/>
      <c r="D76" s="92"/>
      <c r="E76" s="92"/>
      <c r="F76" s="92"/>
      <c r="G76" s="92"/>
    </row>
    <row r="77" spans="2:7" ht="30" customHeight="1" x14ac:dyDescent="0.4">
      <c r="B77" s="110" t="s">
        <v>581</v>
      </c>
      <c r="C77" s="110"/>
      <c r="D77" s="110"/>
      <c r="E77" s="110"/>
      <c r="F77" s="110"/>
      <c r="G77" s="110"/>
    </row>
    <row r="78" spans="2:7" ht="15" customHeight="1" x14ac:dyDescent="0.4">
      <c r="B78" s="110" t="s">
        <v>582</v>
      </c>
      <c r="C78" s="110"/>
      <c r="D78" s="110"/>
      <c r="E78" s="110"/>
      <c r="F78" s="110"/>
      <c r="G78" s="110"/>
    </row>
    <row r="79" spans="2:7" ht="6" customHeight="1" x14ac:dyDescent="0.4">
      <c r="B79" s="37"/>
      <c r="C79" s="37"/>
      <c r="D79" s="37"/>
      <c r="E79" s="37"/>
      <c r="F79" s="37"/>
      <c r="G79" s="37"/>
    </row>
    <row r="80" spans="2:7" x14ac:dyDescent="0.4">
      <c r="B80" s="94" t="s">
        <v>583</v>
      </c>
      <c r="C80" s="92"/>
      <c r="D80" s="92"/>
      <c r="E80" s="92"/>
      <c r="F80" s="92"/>
      <c r="G80" s="92"/>
    </row>
    <row r="81" spans="2:7" ht="30" customHeight="1" x14ac:dyDescent="0.4">
      <c r="B81" s="110" t="s">
        <v>584</v>
      </c>
      <c r="C81" s="110"/>
      <c r="D81" s="110"/>
      <c r="E81" s="110"/>
      <c r="F81" s="110"/>
      <c r="G81" s="110"/>
    </row>
    <row r="82" spans="2:7" ht="43.05" customHeight="1" x14ac:dyDescent="0.4">
      <c r="B82" s="110" t="s">
        <v>585</v>
      </c>
      <c r="C82" s="110"/>
      <c r="D82" s="110"/>
      <c r="E82" s="110"/>
      <c r="F82" s="110"/>
      <c r="G82" s="110"/>
    </row>
    <row r="83" spans="2:7" ht="16.95" customHeight="1" x14ac:dyDescent="0.4">
      <c r="B83" s="110" t="s">
        <v>586</v>
      </c>
      <c r="C83" s="110"/>
      <c r="D83" s="110"/>
      <c r="E83" s="110"/>
      <c r="F83" s="110"/>
      <c r="G83" s="110"/>
    </row>
    <row r="84" spans="2:7" ht="30" customHeight="1" x14ac:dyDescent="0.4">
      <c r="B84" s="110" t="s">
        <v>587</v>
      </c>
      <c r="C84" s="110"/>
      <c r="D84" s="110"/>
      <c r="E84" s="110"/>
      <c r="F84" s="110"/>
      <c r="G84" s="110"/>
    </row>
    <row r="85" spans="2:7" ht="6" customHeight="1" x14ac:dyDescent="0.4">
      <c r="B85" s="37"/>
      <c r="C85" s="37"/>
      <c r="D85" s="37"/>
      <c r="E85" s="37"/>
      <c r="F85" s="37"/>
      <c r="G85" s="37"/>
    </row>
    <row r="86" spans="2:7" x14ac:dyDescent="0.4">
      <c r="B86" s="37"/>
      <c r="C86" s="37"/>
      <c r="D86" s="37"/>
      <c r="E86" s="37"/>
      <c r="F86" s="37"/>
      <c r="G86" s="37"/>
    </row>
    <row r="87" spans="2:7" x14ac:dyDescent="0.4">
      <c r="B87" s="111" t="str">
        <f>"5  기대효과"</f>
        <v>5  기대효과</v>
      </c>
      <c r="C87" s="92"/>
      <c r="D87" s="92"/>
      <c r="E87" s="92"/>
      <c r="F87" s="92"/>
      <c r="G87" s="92"/>
    </row>
    <row r="88" spans="2:7" ht="43.05" customHeight="1" x14ac:dyDescent="0.4">
      <c r="B88" s="110" t="s">
        <v>588</v>
      </c>
      <c r="C88" s="110"/>
      <c r="D88" s="110"/>
      <c r="E88" s="110"/>
      <c r="F88" s="110"/>
      <c r="G88" s="110"/>
    </row>
    <row r="89" spans="2:7" ht="6" customHeight="1" x14ac:dyDescent="0.4">
      <c r="B89" s="37"/>
      <c r="C89" s="37"/>
      <c r="D89" s="37"/>
      <c r="E89" s="37"/>
      <c r="F89" s="37"/>
      <c r="G89" s="37"/>
    </row>
    <row r="90" spans="2:7" ht="16.95" customHeight="1" x14ac:dyDescent="0.4">
      <c r="B90" s="110" t="s">
        <v>589</v>
      </c>
      <c r="C90" s="110"/>
      <c r="D90" s="110"/>
      <c r="E90" s="110"/>
      <c r="F90" s="110"/>
      <c r="G90" s="110"/>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A358-0309-4826-A270-6FE1328729D1}">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3" spans="1:8" x14ac:dyDescent="0.4">
      <c r="B3" s="115" t="str">
        <f>IF(기초자료입력!C4&lt;&gt;"",기초자료입력!C4,"○○학교")&amp;" 교복 학교주관구매 계획(안)"</f>
        <v>전주고 교복 학교주관구매 계획(안)</v>
      </c>
      <c r="C3" s="116"/>
      <c r="D3" s="116"/>
      <c r="E3" s="116"/>
      <c r="F3" s="116"/>
      <c r="G3" s="116"/>
      <c r="H3" s="116"/>
    </row>
    <row r="4" spans="1:8" x14ac:dyDescent="0.4">
      <c r="B4" s="116"/>
      <c r="C4" s="116"/>
      <c r="D4" s="116"/>
      <c r="E4" s="116"/>
      <c r="F4" s="116"/>
      <c r="G4" s="116"/>
      <c r="H4" s="116"/>
    </row>
    <row r="5" spans="1:8" x14ac:dyDescent="0.4">
      <c r="B5" s="19"/>
      <c r="C5" s="19"/>
      <c r="D5" s="19"/>
      <c r="E5" s="19"/>
      <c r="F5" s="19"/>
      <c r="G5" s="19"/>
      <c r="H5" s="19"/>
    </row>
    <row r="6" spans="1:8" x14ac:dyDescent="0.4">
      <c r="B6" s="23" t="s">
        <v>590</v>
      </c>
      <c r="C6" s="107"/>
      <c r="D6" s="107"/>
      <c r="E6" s="107"/>
      <c r="F6" s="107"/>
      <c r="G6" s="107"/>
      <c r="H6" s="107"/>
    </row>
    <row r="7" spans="1:8" x14ac:dyDescent="0.4">
      <c r="B7" s="23" t="s">
        <v>591</v>
      </c>
      <c r="C7" s="107"/>
      <c r="D7" s="107"/>
      <c r="E7" s="107"/>
      <c r="F7" s="107"/>
      <c r="G7" s="107"/>
      <c r="H7" s="107"/>
    </row>
    <row r="8" spans="1:8" x14ac:dyDescent="0.4">
      <c r="B8" s="23" t="s">
        <v>592</v>
      </c>
      <c r="C8" s="107"/>
      <c r="D8" s="107"/>
      <c r="E8" s="107"/>
      <c r="F8" s="107"/>
      <c r="G8" s="107"/>
      <c r="H8" s="107"/>
    </row>
    <row r="9" spans="1:8" x14ac:dyDescent="0.4">
      <c r="B9" s="23" t="s">
        <v>593</v>
      </c>
      <c r="C9" s="107"/>
      <c r="D9" s="107"/>
      <c r="E9" s="107"/>
      <c r="F9" s="107"/>
      <c r="G9" s="107"/>
      <c r="H9" s="107"/>
    </row>
    <row r="10" spans="1:8" x14ac:dyDescent="0.4">
      <c r="B10" s="19"/>
      <c r="C10" s="19"/>
      <c r="D10" s="19"/>
      <c r="E10" s="19"/>
      <c r="F10" s="19"/>
      <c r="G10" s="19"/>
      <c r="H10" s="19"/>
    </row>
    <row r="11" spans="1:8" x14ac:dyDescent="0.4">
      <c r="B11" s="105" t="s">
        <v>594</v>
      </c>
      <c r="C11" s="106"/>
      <c r="D11" s="106"/>
      <c r="E11" s="106"/>
      <c r="F11" s="106"/>
      <c r="G11" s="106"/>
      <c r="H11" s="106"/>
    </row>
    <row r="12" spans="1:8" x14ac:dyDescent="0.4">
      <c r="B12" s="106" t="s">
        <v>595</v>
      </c>
      <c r="C12" s="106"/>
      <c r="D12" s="106"/>
      <c r="E12" s="106"/>
      <c r="F12" s="106"/>
      <c r="G12" s="106"/>
      <c r="H12" s="106"/>
    </row>
    <row r="13" spans="1:8" ht="28.05" customHeight="1" x14ac:dyDescent="0.4">
      <c r="B13" s="108"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 2026학년도 교복 학교주관구매 계획(안)을 심의하고자 함.</v>
      </c>
      <c r="C13" s="108"/>
      <c r="D13" s="108"/>
      <c r="E13" s="108"/>
      <c r="F13" s="108"/>
      <c r="G13" s="108"/>
      <c r="H13" s="108"/>
    </row>
    <row r="14" spans="1:8" x14ac:dyDescent="0.4">
      <c r="B14" s="19"/>
      <c r="C14" s="19"/>
      <c r="D14" s="19"/>
      <c r="E14" s="19"/>
      <c r="F14" s="19"/>
      <c r="G14" s="19"/>
      <c r="H14" s="19"/>
    </row>
    <row r="15" spans="1:8" x14ac:dyDescent="0.4">
      <c r="B15" s="105" t="s">
        <v>596</v>
      </c>
      <c r="C15" s="106"/>
      <c r="D15" s="106"/>
      <c r="E15" s="106"/>
      <c r="F15" s="106"/>
      <c r="G15" s="106"/>
      <c r="H15" s="106"/>
    </row>
    <row r="16" spans="1:8" x14ac:dyDescent="0.4">
      <c r="B16" s="105" t="s">
        <v>597</v>
      </c>
      <c r="C16" s="106"/>
      <c r="D16" s="106"/>
      <c r="E16" s="106"/>
      <c r="F16" s="106"/>
      <c r="G16" s="106"/>
      <c r="H16" s="106"/>
    </row>
    <row r="17" spans="2:8" x14ac:dyDescent="0.4">
      <c r="B17" s="106" t="s">
        <v>598</v>
      </c>
      <c r="C17" s="106"/>
      <c r="D17" s="106"/>
      <c r="E17" s="106"/>
      <c r="F17" s="106"/>
      <c r="G17" s="106"/>
      <c r="H17" s="106"/>
    </row>
    <row r="18" spans="2:8" x14ac:dyDescent="0.4">
      <c r="B18" s="106" t="s">
        <v>599</v>
      </c>
      <c r="C18" s="106"/>
      <c r="D18" s="106"/>
      <c r="E18" s="106"/>
      <c r="F18" s="106"/>
      <c r="G18" s="106"/>
      <c r="H18" s="106"/>
    </row>
    <row r="19" spans="2:8" x14ac:dyDescent="0.4">
      <c r="B19" s="105" t="s">
        <v>600</v>
      </c>
      <c r="C19" s="106"/>
      <c r="D19" s="106"/>
      <c r="E19" s="106"/>
      <c r="F19" s="106"/>
      <c r="G19" s="106"/>
      <c r="H19" s="106"/>
    </row>
    <row r="20" spans="2:8" x14ac:dyDescent="0.4">
      <c r="B20" s="106" t="s">
        <v>601</v>
      </c>
      <c r="C20" s="106"/>
      <c r="D20" s="106"/>
      <c r="E20" s="106"/>
      <c r="F20" s="106"/>
      <c r="G20" s="106"/>
      <c r="H20" s="106"/>
    </row>
    <row r="21" spans="2:8" x14ac:dyDescent="0.4">
      <c r="B21" s="105" t="s">
        <v>602</v>
      </c>
      <c r="C21" s="106"/>
      <c r="D21" s="106"/>
      <c r="E21" s="106"/>
      <c r="F21" s="106"/>
      <c r="G21" s="106"/>
      <c r="H21" s="106"/>
    </row>
    <row r="22" spans="2:8" x14ac:dyDescent="0.4">
      <c r="B22" s="106"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06"/>
      <c r="D22" s="106"/>
      <c r="E22" s="106"/>
      <c r="F22" s="106"/>
      <c r="G22" s="106"/>
      <c r="H22" s="106"/>
    </row>
    <row r="23" spans="2:8" x14ac:dyDescent="0.4">
      <c r="B23" s="105" t="s">
        <v>603</v>
      </c>
      <c r="C23" s="106"/>
      <c r="D23" s="106"/>
      <c r="E23" s="106"/>
      <c r="F23" s="106"/>
      <c r="G23" s="106"/>
      <c r="H23" s="106"/>
    </row>
    <row r="24" spans="2:8" x14ac:dyDescent="0.4">
      <c r="B24" s="106" t="s">
        <v>604</v>
      </c>
      <c r="C24" s="106"/>
      <c r="D24" s="106"/>
      <c r="E24" s="106"/>
      <c r="F24" s="106"/>
      <c r="G24" s="106"/>
      <c r="H24" s="106"/>
    </row>
    <row r="25" spans="2:8" x14ac:dyDescent="0.4">
      <c r="B25" s="26" t="s">
        <v>510</v>
      </c>
      <c r="C25" s="26" t="s">
        <v>326</v>
      </c>
      <c r="D25" s="26" t="s">
        <v>605</v>
      </c>
      <c r="E25" s="26" t="s">
        <v>512</v>
      </c>
      <c r="F25" s="114" t="s">
        <v>316</v>
      </c>
      <c r="G25" s="109"/>
      <c r="H25" s="109"/>
    </row>
    <row r="26" spans="2:8" x14ac:dyDescent="0.4">
      <c r="B26" s="20" t="str">
        <f>IF(기초자료입력!B58&lt;&gt;"",1,"")</f>
        <v/>
      </c>
      <c r="C26" s="20" t="str">
        <f>IF(기초자료입력!B58&lt;&gt;"","위원장","")</f>
        <v/>
      </c>
      <c r="D26" s="20" t="str">
        <f>IF(기초자료입력!B58&lt;&gt;"",기초자료입력!B58,"")</f>
        <v/>
      </c>
      <c r="E26" s="20" t="str">
        <f>IF(기초자료입력!C58&lt;&gt;"",기초자료입력!C58,"")</f>
        <v/>
      </c>
      <c r="F26" s="107"/>
      <c r="G26" s="107"/>
      <c r="H26" s="107"/>
    </row>
    <row r="27" spans="2:8" x14ac:dyDescent="0.4">
      <c r="B27" s="20" t="str">
        <f>IF(기초자료입력!B59&lt;&gt;"",2,"")</f>
        <v/>
      </c>
      <c r="C27" s="20" t="str">
        <f>IF(기초자료입력!B59&lt;&gt;"","위원","")</f>
        <v/>
      </c>
      <c r="D27" s="20" t="str">
        <f>IF(기초자료입력!B59&lt;&gt;"",기초자료입력!B59,"")</f>
        <v/>
      </c>
      <c r="E27" s="20" t="str">
        <f>IF(기초자료입력!C59&lt;&gt;"",기초자료입력!C59,"")</f>
        <v/>
      </c>
      <c r="F27" s="107"/>
      <c r="G27" s="107"/>
      <c r="H27" s="107"/>
    </row>
    <row r="28" spans="2:8" x14ac:dyDescent="0.4">
      <c r="B28" s="20" t="str">
        <f>IF(기초자료입력!B60&lt;&gt;"",3,"")</f>
        <v/>
      </c>
      <c r="C28" s="20" t="str">
        <f>IF(기초자료입력!B60&lt;&gt;"","위원","")</f>
        <v/>
      </c>
      <c r="D28" s="20" t="str">
        <f>IF(기초자료입력!B60&lt;&gt;"",기초자료입력!B60,"")</f>
        <v/>
      </c>
      <c r="E28" s="20" t="str">
        <f>IF(기초자료입력!C60&lt;&gt;"",기초자료입력!C60,"")</f>
        <v/>
      </c>
      <c r="F28" s="107"/>
      <c r="G28" s="107"/>
      <c r="H28" s="107"/>
    </row>
    <row r="29" spans="2:8" x14ac:dyDescent="0.4">
      <c r="B29" s="20" t="str">
        <f>IF(기초자료입력!B61&lt;&gt;"",4,"")</f>
        <v/>
      </c>
      <c r="C29" s="20" t="str">
        <f>IF(기초자료입력!B61&lt;&gt;"","위원","")</f>
        <v/>
      </c>
      <c r="D29" s="20" t="str">
        <f>IF(기초자료입력!B61&lt;&gt;"",기초자료입력!B61,"")</f>
        <v/>
      </c>
      <c r="E29" s="20" t="str">
        <f>IF(기초자료입력!C61&lt;&gt;"",기초자료입력!C61,"")</f>
        <v/>
      </c>
      <c r="F29" s="107"/>
      <c r="G29" s="107"/>
      <c r="H29" s="107"/>
    </row>
    <row r="30" spans="2:8" x14ac:dyDescent="0.4">
      <c r="B30" s="20" t="str">
        <f>IF(기초자료입력!B62&lt;&gt;"",5,"")</f>
        <v/>
      </c>
      <c r="C30" s="20" t="str">
        <f>IF(기초자료입력!B62&lt;&gt;"","위원","")</f>
        <v/>
      </c>
      <c r="D30" s="20" t="str">
        <f>IF(기초자료입력!B62&lt;&gt;"",기초자료입력!B62,"")</f>
        <v/>
      </c>
      <c r="E30" s="20" t="str">
        <f>IF(기초자료입력!C62&lt;&gt;"",기초자료입력!C62,"")</f>
        <v/>
      </c>
      <c r="F30" s="107"/>
      <c r="G30" s="107"/>
      <c r="H30" s="107"/>
    </row>
    <row r="31" spans="2:8" x14ac:dyDescent="0.4">
      <c r="B31" s="20" t="str">
        <f>IF(기초자료입력!B63&lt;&gt;"",6,"")</f>
        <v/>
      </c>
      <c r="C31" s="20" t="str">
        <f>IF(기초자료입력!B63&lt;&gt;"","위원","")</f>
        <v/>
      </c>
      <c r="D31" s="20" t="str">
        <f>IF(기초자료입력!B63&lt;&gt;"",기초자료입력!B63,"")</f>
        <v/>
      </c>
      <c r="E31" s="20" t="str">
        <f>IF(기초자료입력!C63&lt;&gt;"",기초자료입력!C63,"")</f>
        <v/>
      </c>
      <c r="F31" s="107"/>
      <c r="G31" s="107"/>
      <c r="H31" s="107"/>
    </row>
    <row r="32" spans="2:8" x14ac:dyDescent="0.4">
      <c r="B32" s="20" t="str">
        <f>IF(기초자료입력!B64&lt;&gt;"",7,"")</f>
        <v/>
      </c>
      <c r="C32" s="20" t="str">
        <f>IF(기초자료입력!B64&lt;&gt;"","위원","")</f>
        <v/>
      </c>
      <c r="D32" s="20" t="str">
        <f>IF(기초자료입력!B64&lt;&gt;"",기초자료입력!B64,"")</f>
        <v/>
      </c>
      <c r="E32" s="20" t="str">
        <f>IF(기초자료입력!C64&lt;&gt;"",기초자료입력!C64,"")</f>
        <v/>
      </c>
      <c r="F32" s="107"/>
      <c r="G32" s="107"/>
      <c r="H32" s="107"/>
    </row>
    <row r="33" spans="2:8" x14ac:dyDescent="0.4">
      <c r="B33" s="20" t="str">
        <f>IF(기초자료입력!B65&lt;&gt;"",8,"")</f>
        <v/>
      </c>
      <c r="C33" s="20" t="str">
        <f>IF(기초자료입력!B65&lt;&gt;"","위원","")</f>
        <v/>
      </c>
      <c r="D33" s="20" t="str">
        <f>IF(기초자료입력!B65&lt;&gt;"",기초자료입력!B65,"")</f>
        <v/>
      </c>
      <c r="E33" s="20" t="str">
        <f>IF(기초자료입력!C65&lt;&gt;"",기초자료입력!C65,"")</f>
        <v/>
      </c>
      <c r="F33" s="107"/>
      <c r="G33" s="107"/>
      <c r="H33" s="107"/>
    </row>
    <row r="34" spans="2:8" x14ac:dyDescent="0.4">
      <c r="B34" s="20" t="str">
        <f>IF(기초자료입력!B66&lt;&gt;"",9,"")</f>
        <v/>
      </c>
      <c r="C34" s="20" t="str">
        <f>IF(기초자료입력!B66&lt;&gt;"","위원","")</f>
        <v/>
      </c>
      <c r="D34" s="20" t="str">
        <f>IF(기초자료입력!B66&lt;&gt;"",기초자료입력!B66,"")</f>
        <v/>
      </c>
      <c r="E34" s="20" t="str">
        <f>IF(기초자료입력!C66&lt;&gt;"",기초자료입력!C66,"")</f>
        <v/>
      </c>
      <c r="F34" s="107"/>
      <c r="G34" s="107"/>
      <c r="H34" s="107"/>
    </row>
    <row r="35" spans="2:8" x14ac:dyDescent="0.4">
      <c r="B35" s="20" t="str">
        <f>IF(기초자료입력!B67&lt;&gt;"",10,"")</f>
        <v/>
      </c>
      <c r="C35" s="20" t="str">
        <f>IF(기초자료입력!B67&lt;&gt;"","위원","")</f>
        <v/>
      </c>
      <c r="D35" s="20" t="str">
        <f>IF(기초자료입력!B67&lt;&gt;"",기초자료입력!B67,"")</f>
        <v/>
      </c>
      <c r="E35" s="20" t="str">
        <f>IF(기초자료입력!C67&lt;&gt;"",기초자료입력!C67,"")</f>
        <v/>
      </c>
      <c r="F35" s="107"/>
      <c r="G35" s="107"/>
      <c r="H35" s="107"/>
    </row>
    <row r="36" spans="2:8" x14ac:dyDescent="0.4">
      <c r="B36" s="106" t="s">
        <v>606</v>
      </c>
      <c r="C36" s="106"/>
      <c r="D36" s="106"/>
      <c r="E36" s="106"/>
      <c r="F36" s="106"/>
      <c r="G36" s="106"/>
      <c r="H36" s="106"/>
    </row>
    <row r="37" spans="2:8" x14ac:dyDescent="0.4">
      <c r="B37" s="19"/>
      <c r="C37" s="19"/>
      <c r="D37" s="19"/>
      <c r="E37" s="19"/>
      <c r="F37" s="19"/>
      <c r="G37" s="19"/>
      <c r="H37" s="19"/>
    </row>
    <row r="38" spans="2:8" x14ac:dyDescent="0.4">
      <c r="B38" s="106" t="str">
        <f>"붙임  "&amp;IF(기초자료입력!C5&lt;&gt;"",기초자료입력!C5,"○○")&amp;"학년도 "&amp;IF(기초자료입력!C4&lt;&gt;"",기초자료입력!C4,"○○학교")&amp;" 교복 학교주관구매 계획안 1부.  끝."</f>
        <v>붙임  2026학년도 전주고 교복 학교주관구매 계획안 1부.  끝.</v>
      </c>
      <c r="C38" s="106"/>
      <c r="D38" s="106"/>
      <c r="E38" s="106"/>
      <c r="F38" s="106"/>
      <c r="G38" s="106"/>
      <c r="H38" s="106"/>
    </row>
    <row r="39" spans="2:8" x14ac:dyDescent="0.4">
      <c r="B39" s="19"/>
      <c r="C39" s="19"/>
      <c r="D39" s="19"/>
      <c r="E39" s="19"/>
      <c r="F39" s="19"/>
      <c r="G39" s="19"/>
      <c r="H39" s="19"/>
    </row>
    <row r="40" spans="2:8" x14ac:dyDescent="0.4">
      <c r="B40" s="106" t="s">
        <v>607</v>
      </c>
      <c r="C40" s="106"/>
      <c r="D40" s="106"/>
      <c r="E40" s="106"/>
      <c r="F40" s="106"/>
      <c r="G40" s="106"/>
      <c r="H40" s="106"/>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B07FA-9971-48DE-918E-CAB9DC2915C2}">
  <sheetPr codeName="Sheet19"/>
  <dimension ref="A1:H33"/>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8"/>
    </row>
    <row r="3" spans="1:8" ht="30" customHeight="1" x14ac:dyDescent="0.4">
      <c r="B3" s="117" t="s">
        <v>290</v>
      </c>
      <c r="C3" s="98"/>
      <c r="D3" s="98"/>
      <c r="E3" s="98"/>
      <c r="F3" s="98"/>
      <c r="G3" s="98"/>
      <c r="H3" s="98"/>
    </row>
    <row r="5" spans="1:8" x14ac:dyDescent="0.4">
      <c r="B5" s="23" t="s">
        <v>13</v>
      </c>
      <c r="C5" s="20" t="str">
        <f>IF(기초자료입력!C9&lt;&gt;"",기초자료입력!C9,"")</f>
        <v>전주고-24244(26.1.1.)</v>
      </c>
      <c r="D5" s="20"/>
      <c r="E5" s="23" t="s">
        <v>291</v>
      </c>
      <c r="F5" s="20" t="str">
        <f>IF(기초자료입력!C8&lt;&gt;"",TEXT(기초자료입력!C8,"yyyy-mm-dd"),"")</f>
        <v>2026-01-01</v>
      </c>
      <c r="G5" s="20"/>
      <c r="H5" s="20"/>
    </row>
    <row r="6" spans="1:8" x14ac:dyDescent="0.4">
      <c r="B6" s="20"/>
      <c r="C6" s="20"/>
      <c r="D6" s="20"/>
      <c r="E6" s="20"/>
      <c r="F6" s="20"/>
      <c r="G6" s="20"/>
      <c r="H6" s="20"/>
    </row>
    <row r="7" spans="1:8" x14ac:dyDescent="0.4">
      <c r="B7" s="23" t="s">
        <v>292</v>
      </c>
      <c r="C7" s="107" t="str">
        <f>IF(기초자료입력!C21&lt;&gt;"",기초자료입력!C21,"내부결재")</f>
        <v>내부결재</v>
      </c>
      <c r="D7" s="107"/>
      <c r="E7" s="107"/>
      <c r="F7" s="107"/>
      <c r="G7" s="107"/>
      <c r="H7" s="107"/>
    </row>
    <row r="8" spans="1:8" x14ac:dyDescent="0.4">
      <c r="B8" s="23" t="s">
        <v>297</v>
      </c>
      <c r="C8" s="107"/>
      <c r="D8" s="107"/>
      <c r="E8" s="107"/>
      <c r="F8" s="107"/>
      <c r="G8" s="107"/>
      <c r="H8" s="107"/>
    </row>
    <row r="9" spans="1:8" x14ac:dyDescent="0.4">
      <c r="B9" s="23" t="s">
        <v>293</v>
      </c>
      <c r="C9" s="109" t="str">
        <f>IF(기초자료입력!C22&lt;&gt;"",기초자료입력!C22,기초자료입력!C5&amp;"학년도 "&amp;기초자료입력!C12&amp;" 구매 요청")</f>
        <v>전주고 교복구매건</v>
      </c>
      <c r="D9" s="107"/>
      <c r="E9" s="107"/>
      <c r="F9" s="107"/>
      <c r="G9" s="107"/>
      <c r="H9" s="107"/>
    </row>
    <row r="10" spans="1:8" ht="40.049999999999997" customHeight="1" x14ac:dyDescent="0.4">
      <c r="B10" s="20"/>
      <c r="C10" s="20"/>
      <c r="D10" s="20"/>
      <c r="E10" s="20"/>
      <c r="F10" s="20"/>
      <c r="G10" s="20"/>
      <c r="H10" s="20"/>
    </row>
    <row r="11" spans="1:8" x14ac:dyDescent="0.4">
      <c r="B11" s="23" t="s">
        <v>298</v>
      </c>
      <c r="C11" s="107" t="str">
        <f>IF(기초자료입력!C23&lt;&gt;"",기초자료입력!C23,"")</f>
        <v>전주고-24244(26.1.1.)</v>
      </c>
      <c r="D11" s="107"/>
      <c r="E11" s="107"/>
      <c r="F11" s="107"/>
      <c r="G11" s="107"/>
      <c r="H11" s="107"/>
    </row>
    <row r="12" spans="1:8" x14ac:dyDescent="0.4">
      <c r="B12" s="20"/>
      <c r="C12" s="20"/>
      <c r="D12" s="20"/>
      <c r="E12" s="20"/>
      <c r="F12" s="20"/>
      <c r="G12" s="20"/>
      <c r="H12" s="20"/>
    </row>
    <row r="13" spans="1:8" ht="30" customHeight="1" x14ac:dyDescent="0.4">
      <c r="B13" s="11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18"/>
      <c r="D13" s="118"/>
      <c r="E13" s="118"/>
      <c r="F13" s="118"/>
      <c r="G13" s="118"/>
      <c r="H13" s="118"/>
    </row>
    <row r="14" spans="1:8" x14ac:dyDescent="0.4">
      <c r="B14" s="20"/>
      <c r="C14" s="20"/>
      <c r="D14" s="20"/>
      <c r="E14" s="20"/>
      <c r="F14" s="20"/>
      <c r="G14" s="20"/>
      <c r="H14" s="20"/>
    </row>
    <row r="15" spans="1:8" x14ac:dyDescent="0.4">
      <c r="B15" s="23" t="s">
        <v>299</v>
      </c>
      <c r="C15" s="20" t="str">
        <f>기초자료입력!C5&amp;"학년도 신입생 중 학교주관구매 참여자 "&amp;IF(기초자료입력!C16&lt;&gt;"",기초자료입력!C16,"○○")&amp;"명"</f>
        <v>2026학년도 신입생 중 학교주관구매 참여자 200명</v>
      </c>
      <c r="D15" s="20"/>
      <c r="E15" s="20"/>
      <c r="F15" s="20"/>
      <c r="G15" s="20"/>
      <c r="H15" s="20"/>
    </row>
    <row r="16" spans="1:8" x14ac:dyDescent="0.4">
      <c r="B16" s="23" t="s">
        <v>300</v>
      </c>
      <c r="C16" s="20" t="str">
        <f>"동복 "&amp;IF(SUM(기초자료입력!D29:D32)=0,"○○○,○○○",TEXT(SUM(기초자료입력!D29:D32),"#,##0"))&amp;"원, 하복 "&amp;IF(SUM(기초자료입력!D33:D34)=0,"○○,○○○",TEXT(SUM(기초자료입력!D33:D34),"#,##0"))&amp;"원"</f>
        <v>동복 100,000원, 하복 ○○,○○○원</v>
      </c>
      <c r="D16" s="20"/>
      <c r="E16" s="20"/>
      <c r="F16" s="20"/>
      <c r="G16" s="20"/>
      <c r="H16" s="20"/>
    </row>
    <row r="17" spans="2:8" x14ac:dyDescent="0.4">
      <c r="B17" s="23" t="s">
        <v>301</v>
      </c>
      <c r="C17" s="20" t="s">
        <v>303</v>
      </c>
      <c r="D17" s="20"/>
      <c r="E17" s="20"/>
      <c r="F17" s="20"/>
      <c r="G17" s="20"/>
      <c r="H17" s="20"/>
    </row>
    <row r="18" spans="2:8" x14ac:dyDescent="0.4">
      <c r="B18" s="23" t="s">
        <v>302</v>
      </c>
      <c r="C18" s="20" t="str">
        <f>IF(기초자료입력!C17&lt;&gt;"",IFERROR(TEXT(기초자료입력!C17,"yyyy-mm-dd"),기초자료입력!C17),"")</f>
        <v>2027-01-01</v>
      </c>
      <c r="D18" s="20"/>
      <c r="E18" s="20"/>
      <c r="F18" s="20"/>
      <c r="G18" s="20"/>
      <c r="H18" s="20"/>
    </row>
    <row r="19" spans="2:8" x14ac:dyDescent="0.4">
      <c r="B19" s="20"/>
      <c r="C19" s="20"/>
      <c r="D19" s="20"/>
      <c r="E19" s="20"/>
      <c r="F19" s="20"/>
      <c r="G19" s="20"/>
      <c r="H19" s="20"/>
    </row>
    <row r="20" spans="2:8" x14ac:dyDescent="0.4">
      <c r="B20" s="23" t="s">
        <v>294</v>
      </c>
      <c r="C20" s="20" t="str">
        <f>IF(기초자료입력!C24&lt;&gt;"",기초자료입력!C24,"교복 사양서 1부")&amp;"  끝."</f>
        <v>교복 사양서 1부  끝.</v>
      </c>
      <c r="D20" s="20"/>
      <c r="E20" s="20"/>
      <c r="F20" s="20"/>
      <c r="G20" s="20"/>
      <c r="H20" s="20"/>
    </row>
    <row r="21" spans="2:8" x14ac:dyDescent="0.4">
      <c r="B21" s="20"/>
      <c r="C21" s="20"/>
      <c r="D21" s="20"/>
      <c r="E21" s="20"/>
      <c r="F21" s="20"/>
      <c r="G21" s="20"/>
      <c r="H21" s="20"/>
    </row>
    <row r="22" spans="2:8" x14ac:dyDescent="0.4">
      <c r="B22" s="20"/>
      <c r="C22" s="20"/>
      <c r="D22" s="20"/>
      <c r="E22" s="20"/>
      <c r="F22" s="20"/>
      <c r="G22" s="20"/>
      <c r="H22" s="20"/>
    </row>
    <row r="23" spans="2:8" ht="28.05" customHeight="1" x14ac:dyDescent="0.4">
      <c r="B23" s="20"/>
      <c r="C23" s="20"/>
      <c r="D23" s="20"/>
      <c r="E23" s="20"/>
      <c r="F23" s="25" t="str">
        <f>"담당"&amp;CHAR(10)&amp;IF(기초자료입력!$C$10&lt;&gt;"",기초자료입력!$C$10,"")</f>
        <v>담당
윤호</v>
      </c>
      <c r="G23" s="25" t="s">
        <v>304</v>
      </c>
      <c r="H23" s="25" t="str">
        <f>"교장"&amp;CHAR(10)&amp;IF(기초자료입력!$F$10&lt;&gt;"",기초자료입력!$F$10,"")</f>
        <v>교장
김호</v>
      </c>
    </row>
    <row r="24" spans="2:8" x14ac:dyDescent="0.4">
      <c r="B24" s="23" t="s">
        <v>305</v>
      </c>
      <c r="C24" s="107" t="str">
        <f>IF(기초자료입력!C9&lt;&gt;"",기초자료입력!C9&amp;IF(기초자료입력!C8&lt;&gt;"","("&amp;TEXT(기초자료입력!C8,"yyyy.m.d.")&amp;")",""),"")</f>
        <v>전주고-24244(26.1.1.)(2026.1.1.)</v>
      </c>
      <c r="D24" s="107"/>
      <c r="E24" s="107"/>
      <c r="F24" s="23" t="s">
        <v>306</v>
      </c>
      <c r="G24" s="107"/>
      <c r="H24" s="107"/>
    </row>
    <row r="25" spans="2:8" x14ac:dyDescent="0.4">
      <c r="B25" s="23" t="s">
        <v>307</v>
      </c>
      <c r="C25" s="20"/>
      <c r="D25" s="23" t="s">
        <v>308</v>
      </c>
      <c r="E25" s="107" t="str">
        <f>IFERROR(INDEX(학교정보!$F$2:$F$121,MATCH(기초자료입력!$C$4,학교정보!$E$2:$E$121,0)),"")</f>
        <v/>
      </c>
      <c r="F25" s="107"/>
      <c r="G25" s="107"/>
      <c r="H25" s="107"/>
    </row>
    <row r="26" spans="2:8" x14ac:dyDescent="0.4">
      <c r="B26" s="23" t="s">
        <v>309</v>
      </c>
      <c r="C26" s="20" t="str">
        <f>IFERROR(INDEX(학교정보!$G$2:$G$121,MATCH(기초자료입력!$C$4,학교정보!$E$2:$E$121,0)),"")</f>
        <v/>
      </c>
      <c r="D26" s="23" t="s">
        <v>310</v>
      </c>
      <c r="E26" s="20"/>
      <c r="F26" s="23" t="s">
        <v>311</v>
      </c>
      <c r="G26" s="107"/>
      <c r="H26" s="107"/>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84A63-F707-4B71-89D0-F67656525136}">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8"/>
    </row>
    <row r="3" spans="1:8" x14ac:dyDescent="0.4">
      <c r="B3" s="97" t="str">
        <f>IF(기초자료입력!C4&lt;&gt;"",기초자료입력!C4,"○○○○학교")&amp;" 교복 사양서(규격서)"</f>
        <v>전주고 교복 사양서(규격서)</v>
      </c>
      <c r="C3" s="122"/>
      <c r="D3" s="122"/>
      <c r="E3" s="122"/>
      <c r="F3" s="122"/>
      <c r="G3" s="122"/>
      <c r="H3" s="122"/>
    </row>
    <row r="4" spans="1:8" x14ac:dyDescent="0.4">
      <c r="B4" s="122"/>
      <c r="C4" s="122"/>
      <c r="D4" s="122"/>
      <c r="E4" s="122"/>
      <c r="F4" s="122"/>
      <c r="G4" s="122"/>
      <c r="H4" s="122"/>
    </row>
    <row r="5" spans="1:8" x14ac:dyDescent="0.4">
      <c r="B5" s="37"/>
      <c r="C5" s="37"/>
      <c r="D5" s="37"/>
      <c r="E5" s="37"/>
      <c r="F5" s="37"/>
      <c r="G5" s="37"/>
      <c r="H5" s="37"/>
    </row>
    <row r="6" spans="1:8" x14ac:dyDescent="0.4">
      <c r="B6" s="94" t="s">
        <v>691</v>
      </c>
      <c r="C6" s="92"/>
      <c r="D6" s="92"/>
      <c r="E6" s="92"/>
      <c r="F6" s="92"/>
      <c r="G6" s="92"/>
      <c r="H6" s="92"/>
    </row>
    <row r="7" spans="1:8" x14ac:dyDescent="0.4">
      <c r="B7" s="62" t="s">
        <v>326</v>
      </c>
      <c r="C7" s="120" t="s">
        <v>692</v>
      </c>
      <c r="D7" s="121"/>
      <c r="E7" s="121"/>
      <c r="F7" s="120" t="s">
        <v>316</v>
      </c>
      <c r="G7" s="121"/>
      <c r="H7" s="121"/>
    </row>
    <row r="8" spans="1:8" ht="19.95" customHeight="1" x14ac:dyDescent="0.4">
      <c r="B8" s="36" t="str">
        <f>IF(기초자료입력!B29&lt;&gt;"",기초자료입력!B29,"")</f>
        <v>상의</v>
      </c>
      <c r="C8" s="93"/>
      <c r="D8" s="93"/>
      <c r="E8" s="93"/>
      <c r="F8" s="93"/>
      <c r="G8" s="93"/>
      <c r="H8" s="93"/>
    </row>
    <row r="9" spans="1:8" ht="19.95" customHeight="1" x14ac:dyDescent="0.4">
      <c r="B9" s="36" t="str">
        <f>IF(기초자료입력!B30&lt;&gt;"",기초자료입력!B30,"")</f>
        <v>하의</v>
      </c>
      <c r="C9" s="93"/>
      <c r="D9" s="93"/>
      <c r="E9" s="93"/>
      <c r="F9" s="93"/>
      <c r="G9" s="93"/>
      <c r="H9" s="93"/>
    </row>
    <row r="10" spans="1:8" ht="19.95" customHeight="1" x14ac:dyDescent="0.4">
      <c r="B10" s="36" t="str">
        <f>IF(기초자료입력!B31&lt;&gt;"",기초자료입력!B31,"")</f>
        <v/>
      </c>
      <c r="C10" s="93"/>
      <c r="D10" s="93"/>
      <c r="E10" s="93"/>
      <c r="F10" s="93"/>
      <c r="G10" s="93"/>
      <c r="H10" s="93"/>
    </row>
    <row r="11" spans="1:8" ht="19.95" customHeight="1" x14ac:dyDescent="0.4">
      <c r="B11" s="36" t="str">
        <f>IF(기초자료입력!B32&lt;&gt;"",기초자료입력!B32,"")</f>
        <v/>
      </c>
      <c r="C11" s="93"/>
      <c r="D11" s="93"/>
      <c r="E11" s="93"/>
      <c r="F11" s="93"/>
      <c r="G11" s="93"/>
      <c r="H11" s="93"/>
    </row>
    <row r="12" spans="1:8" ht="19.95" customHeight="1" x14ac:dyDescent="0.4">
      <c r="B12" s="36" t="str">
        <f>IF(기초자료입력!B33&lt;&gt;"",기초자료입력!B33,"")</f>
        <v/>
      </c>
      <c r="C12" s="93"/>
      <c r="D12" s="93"/>
      <c r="E12" s="93"/>
      <c r="F12" s="93"/>
      <c r="G12" s="93"/>
      <c r="H12" s="93"/>
    </row>
    <row r="13" spans="1:8" ht="19.95" customHeight="1" x14ac:dyDescent="0.4">
      <c r="B13" s="36" t="str">
        <f>IF(기초자료입력!B34&lt;&gt;"",기초자료입력!B34,"")</f>
        <v/>
      </c>
      <c r="C13" s="93"/>
      <c r="D13" s="93"/>
      <c r="E13" s="93"/>
      <c r="F13" s="93"/>
      <c r="G13" s="93"/>
      <c r="H13" s="93"/>
    </row>
    <row r="14" spans="1:8" x14ac:dyDescent="0.4">
      <c r="B14" s="37"/>
      <c r="C14" s="37"/>
      <c r="D14" s="37"/>
      <c r="E14" s="37"/>
      <c r="F14" s="37"/>
      <c r="G14" s="37"/>
      <c r="H14" s="37"/>
    </row>
    <row r="15" spans="1:8" x14ac:dyDescent="0.4">
      <c r="B15" s="37"/>
      <c r="C15" s="37"/>
      <c r="D15" s="37"/>
      <c r="E15" s="37"/>
      <c r="F15" s="37"/>
      <c r="G15" s="37"/>
      <c r="H15" s="37"/>
    </row>
    <row r="16" spans="1:8" x14ac:dyDescent="0.4">
      <c r="B16" s="95" t="s">
        <v>693</v>
      </c>
      <c r="C16" s="93"/>
      <c r="D16" s="93"/>
      <c r="E16" s="93"/>
      <c r="F16" s="93"/>
      <c r="G16" s="93"/>
      <c r="H16" s="93"/>
    </row>
    <row r="17" spans="2:8" x14ac:dyDescent="0.4">
      <c r="B17" s="93" t="s">
        <v>694</v>
      </c>
      <c r="C17" s="93"/>
      <c r="D17" s="93"/>
      <c r="E17" s="93"/>
      <c r="F17" s="93"/>
      <c r="G17" s="93"/>
      <c r="H17" s="93"/>
    </row>
    <row r="18" spans="2:8" ht="40.049999999999997" customHeight="1" x14ac:dyDescent="0.4">
      <c r="B18" s="93"/>
      <c r="C18" s="93"/>
      <c r="D18" s="93"/>
      <c r="E18" s="93"/>
      <c r="F18" s="93"/>
      <c r="G18" s="93"/>
      <c r="H18" s="93"/>
    </row>
    <row r="19" spans="2:8" x14ac:dyDescent="0.4">
      <c r="B19" s="93" t="s">
        <v>695</v>
      </c>
      <c r="C19" s="93"/>
      <c r="D19" s="93"/>
      <c r="E19" s="93"/>
      <c r="F19" s="93"/>
      <c r="G19" s="93"/>
      <c r="H19" s="93"/>
    </row>
    <row r="20" spans="2:8" ht="70.05" customHeight="1" x14ac:dyDescent="0.4">
      <c r="B20" s="93"/>
      <c r="C20" s="93"/>
      <c r="D20" s="93"/>
      <c r="E20" s="93"/>
      <c r="F20" s="93"/>
      <c r="G20" s="93"/>
      <c r="H20" s="93"/>
    </row>
    <row r="21" spans="2:8" x14ac:dyDescent="0.4">
      <c r="B21" s="37"/>
      <c r="C21" s="37"/>
      <c r="D21" s="37"/>
      <c r="E21" s="37"/>
      <c r="F21" s="37"/>
      <c r="G21" s="37"/>
      <c r="H21" s="37"/>
    </row>
    <row r="22" spans="2:8" x14ac:dyDescent="0.4">
      <c r="B22" s="94" t="s">
        <v>696</v>
      </c>
      <c r="C22" s="92"/>
      <c r="D22" s="92"/>
      <c r="E22" s="92"/>
      <c r="F22" s="92"/>
      <c r="G22" s="92"/>
      <c r="H22" s="92"/>
    </row>
    <row r="23" spans="2:8" x14ac:dyDescent="0.4">
      <c r="B23" s="62" t="s">
        <v>314</v>
      </c>
      <c r="C23" s="120" t="s">
        <v>697</v>
      </c>
      <c r="D23" s="121"/>
      <c r="E23" s="120" t="s">
        <v>698</v>
      </c>
      <c r="F23" s="121"/>
      <c r="G23" s="120" t="s">
        <v>699</v>
      </c>
      <c r="H23" s="121"/>
    </row>
    <row r="24" spans="2:8" ht="109.95" customHeight="1" x14ac:dyDescent="0.4">
      <c r="B24" s="36" t="str">
        <f>IF(기초자료입력!B29&lt;&gt;"",기초자료입력!B29,"")</f>
        <v>상의</v>
      </c>
      <c r="C24" s="119" t="s">
        <v>700</v>
      </c>
      <c r="D24" s="119"/>
      <c r="E24" s="93"/>
      <c r="F24" s="93"/>
      <c r="G24" s="93"/>
      <c r="H24" s="93"/>
    </row>
    <row r="25" spans="2:8" ht="109.95" customHeight="1" x14ac:dyDescent="0.4">
      <c r="B25" s="36" t="str">
        <f>IF(기초자료입력!B30&lt;&gt;"",기초자료입력!B30,"")</f>
        <v>하의</v>
      </c>
      <c r="C25" s="119" t="s">
        <v>700</v>
      </c>
      <c r="D25" s="119"/>
      <c r="E25" s="93"/>
      <c r="F25" s="93"/>
      <c r="G25" s="93"/>
      <c r="H25" s="93"/>
    </row>
    <row r="26" spans="2:8" ht="109.95" customHeight="1" x14ac:dyDescent="0.4">
      <c r="B26" s="36" t="str">
        <f>IF(기초자료입력!B31&lt;&gt;"",기초자료입력!B31,"")</f>
        <v/>
      </c>
      <c r="C26" s="119" t="s">
        <v>700</v>
      </c>
      <c r="D26" s="119"/>
      <c r="E26" s="93"/>
      <c r="F26" s="93"/>
      <c r="G26" s="93"/>
      <c r="H26" s="93"/>
    </row>
    <row r="27" spans="2:8" ht="109.95" customHeight="1" x14ac:dyDescent="0.4">
      <c r="B27" s="36" t="str">
        <f>IF(기초자료입력!B32&lt;&gt;"",기초자료입력!B32,"")</f>
        <v/>
      </c>
      <c r="C27" s="119" t="s">
        <v>700</v>
      </c>
      <c r="D27" s="119"/>
      <c r="E27" s="93"/>
      <c r="F27" s="93"/>
      <c r="G27" s="93"/>
      <c r="H27" s="93"/>
    </row>
    <row r="28" spans="2:8" ht="109.95" customHeight="1" x14ac:dyDescent="0.4">
      <c r="B28" s="36" t="str">
        <f>IF(기초자료입력!B33&lt;&gt;"",기초자료입력!B33,"")</f>
        <v/>
      </c>
      <c r="C28" s="119" t="s">
        <v>700</v>
      </c>
      <c r="D28" s="119"/>
      <c r="E28" s="93"/>
      <c r="F28" s="93"/>
      <c r="G28" s="93"/>
      <c r="H28" s="93"/>
    </row>
    <row r="29" spans="2:8" ht="109.95" customHeight="1" x14ac:dyDescent="0.4">
      <c r="B29" s="36" t="str">
        <f>IF(기초자료입력!B34&lt;&gt;"",기초자료입력!B34,"")</f>
        <v/>
      </c>
      <c r="C29" s="119" t="s">
        <v>700</v>
      </c>
      <c r="D29" s="119"/>
      <c r="E29" s="93"/>
      <c r="F29" s="93"/>
      <c r="G29" s="93"/>
      <c r="H29" s="93"/>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910DE-EBD0-45F2-AB91-C5308EC53A3E}">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3" spans="1:8" x14ac:dyDescent="0.4">
      <c r="B3" s="97" t="s">
        <v>608</v>
      </c>
      <c r="C3" s="98"/>
      <c r="D3" s="98"/>
      <c r="E3" s="98"/>
      <c r="F3" s="98"/>
      <c r="G3" s="98"/>
      <c r="H3" s="98"/>
    </row>
    <row r="4" spans="1:8" x14ac:dyDescent="0.4">
      <c r="B4" s="98"/>
      <c r="C4" s="98"/>
      <c r="D4" s="98"/>
      <c r="E4" s="98"/>
      <c r="F4" s="98"/>
      <c r="G4" s="98"/>
      <c r="H4" s="98"/>
    </row>
    <row r="5" spans="1:8" x14ac:dyDescent="0.4">
      <c r="B5" s="54" t="s">
        <v>13</v>
      </c>
      <c r="C5" s="60" t="str">
        <f>IF(기초자료입력!C9&lt;&gt;"",기초자료입력!C9,"")</f>
        <v>전주고-24244(26.1.1.)</v>
      </c>
      <c r="D5" s="60"/>
      <c r="E5" s="54" t="s">
        <v>291</v>
      </c>
      <c r="F5" s="60" t="str">
        <f>IF(기초자료입력!C8&lt;&gt;"",TEXT(기초자료입력!C8,"yyyy-mm-dd"),"")</f>
        <v>2026-01-01</v>
      </c>
      <c r="G5" s="60"/>
      <c r="H5" s="60"/>
    </row>
    <row r="6" spans="1:8" x14ac:dyDescent="0.4">
      <c r="B6" s="60"/>
      <c r="C6" s="60"/>
      <c r="D6" s="60"/>
      <c r="E6" s="60"/>
      <c r="F6" s="60"/>
      <c r="G6" s="60"/>
      <c r="H6" s="60"/>
    </row>
    <row r="7" spans="1:8" x14ac:dyDescent="0.4">
      <c r="B7" s="54" t="s">
        <v>292</v>
      </c>
      <c r="C7" s="93" t="s">
        <v>500</v>
      </c>
      <c r="D7" s="93"/>
      <c r="E7" s="93"/>
      <c r="F7" s="93"/>
      <c r="G7" s="93"/>
      <c r="H7" s="93"/>
    </row>
    <row r="8" spans="1:8" x14ac:dyDescent="0.4">
      <c r="B8" s="54" t="s">
        <v>297</v>
      </c>
      <c r="C8" s="93"/>
      <c r="D8" s="93"/>
      <c r="E8" s="93"/>
      <c r="F8" s="93"/>
      <c r="G8" s="93"/>
      <c r="H8" s="93"/>
    </row>
    <row r="9" spans="1:8" x14ac:dyDescent="0.4">
      <c r="B9" s="54" t="s">
        <v>293</v>
      </c>
      <c r="C9" s="93" t="str">
        <f>IF(기초자료입력!C22&lt;&gt;"",기초자료입력!C22,IF(기초자료입력!C5&lt;&gt;"",기초자료입력!C5,"20○○")&amp;"학년도 교복 학교주관구매 기초금액 및 계약방법 결정")</f>
        <v>전주고 교복구매건</v>
      </c>
      <c r="D9" s="93"/>
      <c r="E9" s="93"/>
      <c r="F9" s="93"/>
      <c r="G9" s="93"/>
      <c r="H9" s="93"/>
    </row>
    <row r="10" spans="1:8" x14ac:dyDescent="0.4">
      <c r="B10" s="59"/>
      <c r="C10" s="59"/>
      <c r="D10" s="59"/>
      <c r="E10" s="59"/>
      <c r="F10" s="59"/>
      <c r="G10" s="59"/>
      <c r="H10" s="59"/>
    </row>
    <row r="11" spans="1:8" x14ac:dyDescent="0.4">
      <c r="B11" s="123" t="s">
        <v>609</v>
      </c>
      <c r="C11" s="110"/>
      <c r="D11" s="110"/>
      <c r="E11" s="110"/>
      <c r="F11" s="110"/>
      <c r="G11" s="110"/>
      <c r="H11" s="110"/>
    </row>
    <row r="12" spans="1:8" x14ac:dyDescent="0.4">
      <c r="B12" s="110"/>
      <c r="C12" s="110"/>
      <c r="D12" s="110"/>
      <c r="E12" s="110"/>
      <c r="F12" s="110"/>
      <c r="G12" s="110"/>
      <c r="H12" s="110"/>
    </row>
    <row r="13" spans="1:8" x14ac:dyDescent="0.4">
      <c r="B13" s="59"/>
      <c r="C13" s="59"/>
      <c r="D13" s="59"/>
      <c r="E13" s="59"/>
      <c r="F13" s="59"/>
      <c r="G13" s="59"/>
      <c r="H13" s="59"/>
    </row>
    <row r="14" spans="1:8" x14ac:dyDescent="0.4">
      <c r="B14" s="110"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110"/>
      <c r="D14" s="110"/>
      <c r="E14" s="110"/>
      <c r="F14" s="110"/>
      <c r="G14" s="110"/>
      <c r="H14" s="110"/>
    </row>
    <row r="15" spans="1:8" x14ac:dyDescent="0.4">
      <c r="B15" s="110"/>
      <c r="C15" s="110"/>
      <c r="D15" s="110"/>
      <c r="E15" s="110"/>
      <c r="F15" s="110"/>
      <c r="G15" s="110"/>
      <c r="H15" s="110"/>
    </row>
    <row r="16" spans="1:8" x14ac:dyDescent="0.4">
      <c r="B16" s="59"/>
      <c r="C16" s="59"/>
      <c r="D16" s="59"/>
      <c r="E16" s="59"/>
      <c r="F16" s="59"/>
      <c r="G16" s="59"/>
      <c r="H16" s="59"/>
    </row>
    <row r="17" spans="2:8" x14ac:dyDescent="0.4">
      <c r="B17" s="52" t="s">
        <v>610</v>
      </c>
      <c r="C17" s="92" t="str">
        <f>IF(기초자료입력!C12&lt;&gt;"",기초자료입력!C12,"")</f>
        <v>전주고 교복구매건</v>
      </c>
      <c r="D17" s="92"/>
      <c r="E17" s="92"/>
      <c r="F17" s="92"/>
      <c r="G17" s="92"/>
      <c r="H17" s="92"/>
    </row>
    <row r="18" spans="2:8" x14ac:dyDescent="0.4">
      <c r="B18" s="52" t="s">
        <v>611</v>
      </c>
      <c r="C18" s="92" t="s">
        <v>612</v>
      </c>
      <c r="D18" s="92"/>
      <c r="E18" s="92"/>
      <c r="F18" s="92"/>
      <c r="G18" s="92"/>
      <c r="H18" s="92"/>
    </row>
    <row r="19" spans="2:8" x14ac:dyDescent="0.4">
      <c r="B19" s="52" t="s">
        <v>613</v>
      </c>
      <c r="C19" s="92" t="str">
        <f>IF(기초자료입력!C15&lt;&gt;"","금"&amp;TEXT(기초자료입력!C15,"#,##0")&amp;"원","")</f>
        <v>금20,000,000원</v>
      </c>
      <c r="D19" s="92"/>
      <c r="E19" s="92"/>
      <c r="F19" s="92"/>
      <c r="G19" s="92"/>
      <c r="H19" s="92"/>
    </row>
    <row r="20" spans="2:8" x14ac:dyDescent="0.4">
      <c r="B20" s="52" t="s">
        <v>614</v>
      </c>
      <c r="C20" s="92" t="str">
        <f>IF(기초자료입력!C17&lt;&gt;"",TEXT(기초자료입력!C17,"yyyy. m. d."),"")</f>
        <v>2027. 1. 1.</v>
      </c>
      <c r="D20" s="92"/>
      <c r="E20" s="92"/>
      <c r="F20" s="92"/>
      <c r="G20" s="92"/>
      <c r="H20" s="92"/>
    </row>
    <row r="21" spans="2:8" x14ac:dyDescent="0.4">
      <c r="B21" s="52" t="s">
        <v>615</v>
      </c>
      <c r="C21" s="110" t="str">
        <f>IF(기초자료입력!C14&lt;&gt;"",기초자료입력!C14,"2단계 입찰(규격, 가격 동시입찰)")</f>
        <v>일반경쟁입찰</v>
      </c>
      <c r="D21" s="110"/>
      <c r="E21" s="110"/>
      <c r="F21" s="110"/>
      <c r="G21" s="110"/>
      <c r="H21" s="110"/>
    </row>
    <row r="22" spans="2:8" x14ac:dyDescent="0.4">
      <c r="B22" s="59"/>
      <c r="C22" s="110"/>
      <c r="D22" s="110"/>
      <c r="E22" s="110"/>
      <c r="F22" s="110"/>
      <c r="G22" s="110"/>
      <c r="H22" s="110"/>
    </row>
    <row r="23" spans="2:8" x14ac:dyDescent="0.4">
      <c r="B23" s="59"/>
      <c r="C23" s="59"/>
      <c r="D23" s="59"/>
      <c r="E23" s="59"/>
      <c r="F23" s="59"/>
      <c r="G23" s="59"/>
      <c r="H23" s="59"/>
    </row>
    <row r="24" spans="2:8" x14ac:dyDescent="0.4">
      <c r="B24" s="94" t="s">
        <v>616</v>
      </c>
      <c r="C24" s="92"/>
      <c r="D24" s="92"/>
      <c r="E24" s="92"/>
      <c r="F24" s="92"/>
      <c r="G24" s="92"/>
      <c r="H24" s="92"/>
    </row>
    <row r="25" spans="2:8" x14ac:dyDescent="0.4">
      <c r="B25" s="59"/>
      <c r="C25" s="59"/>
      <c r="D25" s="59"/>
      <c r="E25" s="59"/>
      <c r="F25" s="59"/>
      <c r="G25" s="59"/>
      <c r="H25" s="59"/>
    </row>
    <row r="26" spans="2:8" x14ac:dyDescent="0.4">
      <c r="B26" s="59"/>
      <c r="C26" s="59"/>
      <c r="D26" s="59"/>
      <c r="E26" s="59"/>
      <c r="F26" s="59"/>
      <c r="G26" s="59"/>
      <c r="H26" s="59"/>
    </row>
    <row r="27" spans="2:8" ht="28.05" customHeight="1" x14ac:dyDescent="0.4">
      <c r="B27" s="59"/>
      <c r="C27" s="59"/>
      <c r="D27" s="59"/>
      <c r="E27" s="59"/>
      <c r="F27" s="55" t="str">
        <f>"담당"&amp;CHAR(10)&amp;IF(기초자료입력!$C$10&lt;&gt;"",기초자료입력!$C$10,"")</f>
        <v>담당
윤호</v>
      </c>
      <c r="G27" s="55" t="s">
        <v>304</v>
      </c>
      <c r="H27" s="55" t="str">
        <f>"교장"&amp;CHAR(10)&amp;IF(기초자료입력!$F$10&lt;&gt;"",기초자료입력!$F$10,"")</f>
        <v>교장
김호</v>
      </c>
    </row>
    <row r="28" spans="2:8" x14ac:dyDescent="0.4">
      <c r="B28" s="52" t="s">
        <v>305</v>
      </c>
      <c r="C28" s="92" t="str">
        <f>IF(기초자료입력!C9&lt;&gt;"",기초자료입력!C9&amp;IF(기초자료입력!C8&lt;&gt;"","("&amp;TEXT(기초자료입력!C8,"yyyy.m.d.")&amp;")",""),"")</f>
        <v>전주고-24244(26.1.1.)(2026.1.1.)</v>
      </c>
      <c r="D28" s="92"/>
      <c r="E28" s="92"/>
      <c r="F28" s="54" t="s">
        <v>306</v>
      </c>
      <c r="G28" s="93"/>
      <c r="H28" s="93"/>
    </row>
    <row r="29" spans="2:8" x14ac:dyDescent="0.4">
      <c r="B29" s="52" t="s">
        <v>307</v>
      </c>
      <c r="C29" s="59"/>
      <c r="D29" s="52" t="s">
        <v>308</v>
      </c>
      <c r="E29" s="92" t="str">
        <f>IFERROR(INDEX(학교정보!$F$2:$F$121,MATCH(기초자료입력!$C$4,학교정보!$E$2:$E$121,0)),"")</f>
        <v/>
      </c>
      <c r="F29" s="93"/>
      <c r="G29" s="93"/>
      <c r="H29" s="93"/>
    </row>
    <row r="30" spans="2:8" x14ac:dyDescent="0.4">
      <c r="B30" s="52" t="s">
        <v>309</v>
      </c>
      <c r="C30" s="59" t="str">
        <f>IFERROR(INDEX(학교정보!$G$2:$G$121,MATCH(기초자료입력!$C$4,학교정보!$E$2:$E$121,0)),"")</f>
        <v/>
      </c>
      <c r="D30" s="52" t="s">
        <v>310</v>
      </c>
      <c r="E30" s="59"/>
      <c r="F30" s="54" t="s">
        <v>311</v>
      </c>
      <c r="G30" s="93"/>
      <c r="H30" s="93"/>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6"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B44E3-860C-41BB-AA29-0DBCDCAF1F2A}">
  <sheetPr codeName="Sheet22"/>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8"/>
    </row>
    <row r="3" spans="1:8" x14ac:dyDescent="0.4">
      <c r="B3" s="97" t="str">
        <f>IF(기초자료입력!C22&lt;&gt;"",기초자료입력!C22,IF(기초자료입력!C5&lt;&gt;"",기초자료입력!C5,"20○○")&amp;"학년도 학생 교복 입찰 사전규격 공개")</f>
        <v>전주고 교복구매건</v>
      </c>
      <c r="C3" s="98"/>
      <c r="D3" s="98"/>
      <c r="E3" s="98"/>
      <c r="F3" s="98"/>
      <c r="G3" s="98"/>
      <c r="H3" s="98"/>
    </row>
    <row r="4" spans="1:8" x14ac:dyDescent="0.4">
      <c r="B4" s="98"/>
      <c r="C4" s="98"/>
      <c r="D4" s="98"/>
      <c r="E4" s="98"/>
      <c r="F4" s="98"/>
      <c r="G4" s="98"/>
      <c r="H4" s="98"/>
    </row>
    <row r="5" spans="1:8" x14ac:dyDescent="0.4">
      <c r="B5" s="54" t="s">
        <v>13</v>
      </c>
      <c r="C5" s="60" t="str">
        <f>IF(기초자료입력!C9&lt;&gt;"",기초자료입력!C9,"")</f>
        <v>전주고-24244(26.1.1.)</v>
      </c>
      <c r="D5" s="60"/>
      <c r="E5" s="54" t="s">
        <v>291</v>
      </c>
      <c r="F5" s="60" t="str">
        <f>IF(기초자료입력!C8&lt;&gt;"",TEXT(기초자료입력!C8,"yyyy-mm-dd"),"")</f>
        <v>2026-01-01</v>
      </c>
      <c r="G5" s="60"/>
      <c r="H5" s="60"/>
    </row>
    <row r="6" spans="1:8" x14ac:dyDescent="0.4">
      <c r="B6" s="60"/>
      <c r="C6" s="60"/>
      <c r="D6" s="60"/>
      <c r="E6" s="60"/>
      <c r="F6" s="60"/>
      <c r="G6" s="60"/>
      <c r="H6" s="60"/>
    </row>
    <row r="7" spans="1:8" x14ac:dyDescent="0.4">
      <c r="B7" s="54" t="s">
        <v>292</v>
      </c>
      <c r="C7" s="93" t="s">
        <v>500</v>
      </c>
      <c r="D7" s="93"/>
      <c r="E7" s="93"/>
      <c r="F7" s="93"/>
      <c r="G7" s="93"/>
      <c r="H7" s="93"/>
    </row>
    <row r="8" spans="1:8" x14ac:dyDescent="0.4">
      <c r="B8" s="54" t="s">
        <v>297</v>
      </c>
      <c r="C8" s="93"/>
      <c r="D8" s="93"/>
      <c r="E8" s="93"/>
      <c r="F8" s="93"/>
      <c r="G8" s="93"/>
      <c r="H8" s="93"/>
    </row>
    <row r="9" spans="1:8" x14ac:dyDescent="0.4">
      <c r="B9" s="54" t="s">
        <v>293</v>
      </c>
      <c r="C9" s="93" t="str">
        <f>IF(기초자료입력!C22&lt;&gt;"",기초자료입력!C22,"")</f>
        <v>전주고 교복구매건</v>
      </c>
      <c r="D9" s="93"/>
      <c r="E9" s="93"/>
      <c r="F9" s="93"/>
      <c r="G9" s="93"/>
      <c r="H9" s="93"/>
    </row>
    <row r="10" spans="1:8" x14ac:dyDescent="0.4">
      <c r="B10" s="59"/>
      <c r="C10" s="59"/>
      <c r="D10" s="59"/>
      <c r="E10" s="59"/>
      <c r="F10" s="59"/>
      <c r="G10" s="59"/>
      <c r="H10" s="59"/>
    </row>
    <row r="11" spans="1:8" x14ac:dyDescent="0.4">
      <c r="B11" s="123" t="s">
        <v>617</v>
      </c>
      <c r="C11" s="110"/>
      <c r="D11" s="110"/>
      <c r="E11" s="110"/>
      <c r="F11" s="110"/>
      <c r="G11" s="110"/>
      <c r="H11" s="110"/>
    </row>
    <row r="12" spans="1:8" x14ac:dyDescent="0.4">
      <c r="B12" s="110"/>
      <c r="C12" s="110"/>
      <c r="D12" s="110"/>
      <c r="E12" s="110"/>
      <c r="F12" s="110"/>
      <c r="G12" s="110"/>
      <c r="H12" s="110"/>
    </row>
    <row r="13" spans="1:8" x14ac:dyDescent="0.4">
      <c r="B13" s="59"/>
      <c r="C13" s="59"/>
      <c r="D13" s="59"/>
      <c r="E13" s="59"/>
      <c r="F13" s="59"/>
      <c r="G13" s="59"/>
      <c r="H13" s="59"/>
    </row>
    <row r="14" spans="1:8" x14ac:dyDescent="0.4">
      <c r="B14" s="110"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110"/>
      <c r="D14" s="110"/>
      <c r="E14" s="110"/>
      <c r="F14" s="110"/>
      <c r="G14" s="110"/>
      <c r="H14" s="110"/>
    </row>
    <row r="15" spans="1:8" x14ac:dyDescent="0.4">
      <c r="B15" s="110"/>
      <c r="C15" s="110"/>
      <c r="D15" s="110"/>
      <c r="E15" s="110"/>
      <c r="F15" s="110"/>
      <c r="G15" s="110"/>
      <c r="H15" s="110"/>
    </row>
    <row r="16" spans="1:8" x14ac:dyDescent="0.4">
      <c r="B16" s="59"/>
      <c r="C16" s="59"/>
      <c r="D16" s="59"/>
      <c r="E16" s="59"/>
      <c r="F16" s="59"/>
      <c r="G16" s="59"/>
      <c r="H16" s="59"/>
    </row>
    <row r="17" spans="2:8" x14ac:dyDescent="0.4">
      <c r="B17" s="52" t="s">
        <v>618</v>
      </c>
      <c r="C17" s="59" t="str">
        <f>IF(기초자료입력!C12&lt;&gt;"",기초자료입력!C12,"")</f>
        <v>전주고 교복구매건</v>
      </c>
      <c r="D17" s="59"/>
      <c r="E17" s="59"/>
      <c r="F17" s="59"/>
      <c r="G17" s="59"/>
      <c r="H17" s="59"/>
    </row>
    <row r="18" spans="2:8" x14ac:dyDescent="0.4">
      <c r="B18" s="52" t="s">
        <v>619</v>
      </c>
      <c r="C18" s="59" t="str">
        <f>IF(기초자료입력!C15&lt;&gt;"","단가 "&amp;TEXT(기초자료입력!C15,"#,##0")&amp;"원","")</f>
        <v>단가 20,000,000원</v>
      </c>
      <c r="D18" s="59"/>
      <c r="E18" s="59"/>
      <c r="F18" s="59"/>
      <c r="G18" s="59"/>
      <c r="H18" s="59"/>
    </row>
    <row r="19" spans="2:8" x14ac:dyDescent="0.4">
      <c r="B19" s="52" t="s">
        <v>620</v>
      </c>
      <c r="C19" s="59" t="str">
        <f>IF(AND(기초자료입력!C15&lt;&gt;"",기초자료입력!C16&lt;&gt;""),TEXT(기초자료입력!C15,"#,##0")&amp;"원×"&amp;기초자료입력!C16&amp;"벌","")</f>
        <v>20,000,000원×200벌</v>
      </c>
      <c r="D19" s="59"/>
      <c r="E19" s="59"/>
      <c r="F19" s="59"/>
      <c r="G19" s="59"/>
      <c r="H19" s="59"/>
    </row>
    <row r="20" spans="2:8" x14ac:dyDescent="0.4">
      <c r="B20" s="52" t="s">
        <v>621</v>
      </c>
      <c r="C20" s="59" t="s">
        <v>625</v>
      </c>
      <c r="D20" s="59"/>
      <c r="E20" s="59"/>
      <c r="F20" s="59"/>
      <c r="G20" s="59"/>
      <c r="H20" s="59"/>
    </row>
    <row r="21" spans="2:8" x14ac:dyDescent="0.4">
      <c r="B21" s="52" t="s">
        <v>622</v>
      </c>
      <c r="C21" s="59" t="str">
        <f>IF(기초자료입력!C5&lt;&gt;"",기초자료입력!C5&amp;"학년도 학생 교복사양서","")</f>
        <v>2026학년도 학생 교복사양서</v>
      </c>
      <c r="D21" s="59"/>
      <c r="E21" s="59"/>
      <c r="F21" s="59"/>
      <c r="G21" s="59"/>
      <c r="H21" s="59"/>
    </row>
    <row r="22" spans="2:8" x14ac:dyDescent="0.4">
      <c r="B22" s="52" t="s">
        <v>623</v>
      </c>
      <c r="C22" s="59" t="str">
        <f>IF(기초자료입력!C18&lt;&gt;"",TEXT(기초자료입력!C18-5,"yyyy. m. d.")&amp;" ~ "&amp;TEXT(기초자료입력!C18,"yyyy. m. d."),"")</f>
        <v>2026. 12. 27. ~ 2027. 1. 1.</v>
      </c>
      <c r="D22" s="59"/>
      <c r="E22" s="59"/>
      <c r="F22" s="59"/>
      <c r="G22" s="59"/>
      <c r="H22" s="59"/>
    </row>
    <row r="23" spans="2:8" x14ac:dyDescent="0.4">
      <c r="B23" s="52" t="s">
        <v>624</v>
      </c>
      <c r="C23" s="59" t="str">
        <f>IF(기초자료입력!C18&lt;&gt;"",TEXT(기초자료입력!C18,"yyyy. m. d. (aaa) hh:mm"),"")</f>
        <v>2027. 1. 1. (금) 00:00</v>
      </c>
      <c r="D23" s="59"/>
      <c r="E23" s="59"/>
      <c r="F23" s="59"/>
      <c r="G23" s="59"/>
      <c r="H23" s="59"/>
    </row>
    <row r="24" spans="2:8" x14ac:dyDescent="0.4">
      <c r="B24" s="59"/>
      <c r="C24" s="59"/>
      <c r="D24" s="59"/>
      <c r="E24" s="59"/>
      <c r="F24" s="59"/>
      <c r="G24" s="59"/>
      <c r="H24" s="59"/>
    </row>
    <row r="25" spans="2:8" x14ac:dyDescent="0.4">
      <c r="B25" s="94" t="str">
        <f>"붙임 "&amp;IF(기초자료입력!C5&lt;&gt;"",기초자료입력!C5,"20○○")&amp;"학년도 학생 교복사양서 1부. 끝."</f>
        <v>붙임 2026학년도 학생 교복사양서 1부. 끝.</v>
      </c>
      <c r="C25" s="92"/>
      <c r="D25" s="92"/>
      <c r="E25" s="92"/>
      <c r="F25" s="92"/>
      <c r="G25" s="92"/>
      <c r="H25" s="92"/>
    </row>
    <row r="26" spans="2:8" x14ac:dyDescent="0.4">
      <c r="B26" s="59"/>
      <c r="C26" s="59"/>
      <c r="D26" s="59"/>
      <c r="E26" s="59"/>
      <c r="F26" s="59"/>
      <c r="G26" s="59"/>
      <c r="H26" s="59"/>
    </row>
    <row r="27" spans="2:8" x14ac:dyDescent="0.4">
      <c r="B27" s="59"/>
      <c r="C27" s="59"/>
      <c r="D27" s="59"/>
      <c r="E27" s="59"/>
      <c r="F27" s="59"/>
      <c r="G27" s="59"/>
      <c r="H27" s="59"/>
    </row>
    <row r="28" spans="2:8" ht="28.05" customHeight="1" x14ac:dyDescent="0.4">
      <c r="B28" s="59"/>
      <c r="C28" s="59"/>
      <c r="D28" s="59"/>
      <c r="E28" s="59"/>
      <c r="F28" s="55" t="str">
        <f>"담당"&amp;CHAR(10)&amp;IF(기초자료입력!$C$10&lt;&gt;"",기초자료입력!$C$10,"")</f>
        <v>담당
윤호</v>
      </c>
      <c r="G28" s="55" t="s">
        <v>304</v>
      </c>
      <c r="H28" s="55" t="str">
        <f>"교장"&amp;CHAR(10)&amp;IF(기초자료입력!$F$10&lt;&gt;"",기초자료입력!$F$10,"")</f>
        <v>교장
김호</v>
      </c>
    </row>
    <row r="29" spans="2:8" x14ac:dyDescent="0.4">
      <c r="B29" s="52" t="s">
        <v>305</v>
      </c>
      <c r="C29" s="92" t="str">
        <f>IF(기초자료입력!C9&lt;&gt;"",기초자료입력!C9&amp;IF(기초자료입력!C8&lt;&gt;"","("&amp;TEXT(기초자료입력!C8,"yyyy.m.d.")&amp;")",""),"")</f>
        <v>전주고-24244(26.1.1.)(2026.1.1.)</v>
      </c>
      <c r="D29" s="92"/>
      <c r="E29" s="92"/>
      <c r="F29" s="54" t="s">
        <v>306</v>
      </c>
      <c r="G29" s="93"/>
      <c r="H29" s="93"/>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09FF-107F-4047-BC9C-680EBB8412CB}">
  <sheetPr codeName="Sheet23"/>
  <dimension ref="A1:H71"/>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9"/>
      <c r="B1" s="91"/>
      <c r="C1" s="91"/>
      <c r="D1" s="91"/>
      <c r="E1" s="91"/>
      <c r="F1" s="91"/>
      <c r="G1" s="91"/>
      <c r="H1" s="91"/>
    </row>
    <row r="3" spans="1:8" x14ac:dyDescent="0.4">
      <c r="B3" s="122" t="str">
        <f>IF(기초자료입력!C9&lt;&gt;"",기초자료입력!C9,"○○○○학교 공고 제20○○-00호")</f>
        <v>전주고-24244(26.1.1.)</v>
      </c>
      <c r="C3" s="122"/>
      <c r="D3" s="122"/>
      <c r="E3" s="122"/>
      <c r="F3" s="122"/>
      <c r="G3" s="122"/>
      <c r="H3" s="122"/>
    </row>
    <row r="4" spans="1:8" x14ac:dyDescent="0.4">
      <c r="B4" s="37"/>
      <c r="C4" s="37"/>
      <c r="D4" s="37"/>
      <c r="E4" s="37"/>
      <c r="F4" s="37"/>
      <c r="G4" s="37"/>
      <c r="H4" s="37"/>
    </row>
    <row r="5" spans="1:8" x14ac:dyDescent="0.4">
      <c r="B5" s="97" t="str">
        <f>IF(기초자료입력!C5&lt;&gt;"",기초자료입력!C5,"20○○")&amp;"학년도 "&amp;IF(기초자료입력!C4&lt;&gt;"",기초자료입력!C4,"○○○○학교")&amp;" 교복 학교주관 구매 입찰 공고"</f>
        <v>2026학년도 전주고 교복 학교주관 구매 입찰 공고</v>
      </c>
      <c r="C5" s="122"/>
      <c r="D5" s="122"/>
      <c r="E5" s="122"/>
      <c r="F5" s="122"/>
      <c r="G5" s="122"/>
      <c r="H5" s="122"/>
    </row>
    <row r="6" spans="1:8" x14ac:dyDescent="0.4">
      <c r="B6" s="122"/>
      <c r="C6" s="122"/>
      <c r="D6" s="122"/>
      <c r="E6" s="122"/>
      <c r="F6" s="122"/>
      <c r="G6" s="122"/>
      <c r="H6" s="122"/>
    </row>
    <row r="7" spans="1:8" x14ac:dyDescent="0.4">
      <c r="B7" s="122" t="str">
        <f>"〔"&amp;IF(기초자료입력!C14&lt;&gt;"",기초자료입력!C14,"2단계 입찰(규격·가격 동시)")&amp;"〕"</f>
        <v>〔일반경쟁입찰〕</v>
      </c>
      <c r="C7" s="122"/>
      <c r="D7" s="122"/>
      <c r="E7" s="122"/>
      <c r="F7" s="122"/>
      <c r="G7" s="122"/>
      <c r="H7" s="122"/>
    </row>
    <row r="8" spans="1:8" x14ac:dyDescent="0.4">
      <c r="B8" s="37"/>
      <c r="C8" s="37"/>
      <c r="D8" s="37"/>
      <c r="E8" s="37"/>
      <c r="F8" s="37"/>
      <c r="G8" s="37"/>
      <c r="H8" s="37"/>
    </row>
    <row r="9" spans="1:8" x14ac:dyDescent="0.4">
      <c r="B9" s="11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9" s="110"/>
      <c r="D9" s="110"/>
      <c r="E9" s="110"/>
      <c r="F9" s="110"/>
      <c r="G9" s="110"/>
      <c r="H9" s="110"/>
    </row>
    <row r="10" spans="1:8" x14ac:dyDescent="0.4">
      <c r="B10" s="110"/>
      <c r="C10" s="110"/>
      <c r="D10" s="110"/>
      <c r="E10" s="110"/>
      <c r="F10" s="110"/>
      <c r="G10" s="110"/>
      <c r="H10" s="110"/>
    </row>
    <row r="11" spans="1:8" x14ac:dyDescent="0.4">
      <c r="B11" s="37"/>
      <c r="C11" s="37"/>
      <c r="D11" s="37"/>
      <c r="E11" s="37"/>
      <c r="F11" s="37"/>
      <c r="G11" s="37"/>
      <c r="H11" s="37"/>
    </row>
    <row r="12" spans="1:8" x14ac:dyDescent="0.4">
      <c r="B12" s="94" t="s">
        <v>626</v>
      </c>
      <c r="C12" s="92"/>
      <c r="D12" s="92"/>
      <c r="E12" s="92"/>
      <c r="F12" s="92"/>
      <c r="G12" s="92"/>
      <c r="H12" s="92"/>
    </row>
    <row r="13" spans="1:8" ht="28.05" customHeight="1" x14ac:dyDescent="0.4">
      <c r="B13" s="61" t="s">
        <v>432</v>
      </c>
      <c r="C13" s="124" t="str">
        <f>IF(기초자료입력!C12&lt;&gt;"",기초자료입력!C12,"")</f>
        <v>전주고 교복구매건</v>
      </c>
      <c r="D13" s="125"/>
      <c r="E13" s="125"/>
      <c r="F13" s="125"/>
      <c r="G13" s="125"/>
      <c r="H13" s="126"/>
    </row>
    <row r="14" spans="1:8" ht="28.05" customHeight="1" x14ac:dyDescent="0.4">
      <c r="B14" s="61" t="s">
        <v>93</v>
      </c>
      <c r="C14" s="124" t="str">
        <f>IF(기초자료입력!C15&lt;&gt;"","금"&amp;TEXT(기초자료입력!C15,"#,##0")&amp;"원 (부가세포함)","")</f>
        <v>금20,000,000원 (부가세포함)</v>
      </c>
      <c r="D14" s="125"/>
      <c r="E14" s="125"/>
      <c r="F14" s="125"/>
      <c r="G14" s="125"/>
      <c r="H14" s="126"/>
    </row>
    <row r="15" spans="1:8" ht="28.05" customHeight="1" x14ac:dyDescent="0.4">
      <c r="B15" s="61" t="s">
        <v>627</v>
      </c>
      <c r="C15" s="124" t="str">
        <f>IF(기초자료입력!C16&lt;&gt;"",기초자료입력!C16&amp;"벌","")</f>
        <v>200벌</v>
      </c>
      <c r="D15" s="125"/>
      <c r="E15" s="125"/>
      <c r="F15" s="125"/>
      <c r="G15" s="125"/>
      <c r="H15" s="126"/>
    </row>
    <row r="16" spans="1:8" ht="28.05" customHeight="1" x14ac:dyDescent="0.4">
      <c r="B16" s="61" t="s">
        <v>628</v>
      </c>
      <c r="C16" s="124" t="s">
        <v>629</v>
      </c>
      <c r="D16" s="125"/>
      <c r="E16" s="125"/>
      <c r="F16" s="125"/>
      <c r="G16" s="125"/>
      <c r="H16" s="126"/>
    </row>
    <row r="17" spans="2:8" ht="28.05" customHeight="1" x14ac:dyDescent="0.4">
      <c r="B17" s="61" t="s">
        <v>630</v>
      </c>
      <c r="C17" s="124" t="str">
        <f>IF(기초자료입력!C14&lt;&gt;"","단가입찰, 지역제한, "&amp;기초자료입력!C14,"단가입찰, 지역제한, 2단계입찰(규격·가격동시)")</f>
        <v>단가입찰, 지역제한, 일반경쟁입찰</v>
      </c>
      <c r="D17" s="125"/>
      <c r="E17" s="125"/>
      <c r="F17" s="125"/>
      <c r="G17" s="125"/>
      <c r="H17" s="126"/>
    </row>
    <row r="18" spans="2:8" ht="28.05" customHeight="1" x14ac:dyDescent="0.4">
      <c r="B18" s="61" t="s">
        <v>30</v>
      </c>
      <c r="C18" s="124" t="str">
        <f>IF(기초자료입력!C17&lt;&gt;"",TEXT(기초자료입력!C17,"yyyy. m. d."),"")</f>
        <v>2027. 1. 1.</v>
      </c>
      <c r="D18" s="125"/>
      <c r="E18" s="125"/>
      <c r="F18" s="125"/>
      <c r="G18" s="125"/>
      <c r="H18" s="126"/>
    </row>
    <row r="19" spans="2:8" ht="28.05" customHeight="1" x14ac:dyDescent="0.4">
      <c r="B19" s="61" t="s">
        <v>631</v>
      </c>
      <c r="C19" s="124" t="str">
        <f>IF(기초자료입력!C4&lt;&gt;"",기초자료입력!C4&amp;" 지정 장소","")</f>
        <v>전주고 지정 장소</v>
      </c>
      <c r="D19" s="125"/>
      <c r="E19" s="125"/>
      <c r="F19" s="125"/>
      <c r="G19" s="125"/>
      <c r="H19" s="126"/>
    </row>
    <row r="20" spans="2:8" ht="48" customHeight="1" x14ac:dyDescent="0.4">
      <c r="B20" s="61" t="s">
        <v>632</v>
      </c>
      <c r="C20" s="99" t="s">
        <v>633</v>
      </c>
      <c r="D20" s="99"/>
      <c r="E20" s="99"/>
      <c r="F20" s="99"/>
      <c r="G20" s="99"/>
      <c r="H20" s="99"/>
    </row>
    <row r="21" spans="2:8" x14ac:dyDescent="0.4">
      <c r="B21" s="37"/>
      <c r="C21" s="37"/>
      <c r="D21" s="37"/>
      <c r="E21" s="37"/>
      <c r="F21" s="37"/>
      <c r="G21" s="37"/>
      <c r="H21" s="37"/>
    </row>
    <row r="22" spans="2:8" x14ac:dyDescent="0.4">
      <c r="B22" s="94" t="s">
        <v>634</v>
      </c>
      <c r="C22" s="92"/>
      <c r="D22" s="92"/>
      <c r="E22" s="92"/>
      <c r="F22" s="92"/>
      <c r="G22" s="92"/>
      <c r="H22" s="92"/>
    </row>
    <row r="23" spans="2:8" ht="82.05" customHeight="1" x14ac:dyDescent="0.4">
      <c r="B23" s="128" t="s">
        <v>635</v>
      </c>
      <c r="C23" s="128"/>
      <c r="D23" s="128"/>
      <c r="E23" s="128"/>
      <c r="F23" s="128"/>
      <c r="G23" s="128"/>
      <c r="H23" s="128"/>
    </row>
    <row r="24" spans="2:8" hidden="1" x14ac:dyDescent="0.4">
      <c r="B24" s="128"/>
      <c r="C24" s="128"/>
      <c r="D24" s="128"/>
      <c r="E24" s="128"/>
      <c r="F24" s="128"/>
      <c r="G24" s="128"/>
      <c r="H24" s="128"/>
    </row>
    <row r="25" spans="2:8" x14ac:dyDescent="0.4">
      <c r="B25" s="37"/>
      <c r="C25" s="37"/>
      <c r="D25" s="37"/>
      <c r="E25" s="37"/>
      <c r="F25" s="37"/>
      <c r="G25" s="37"/>
      <c r="H25" s="37"/>
    </row>
    <row r="26" spans="2:8" x14ac:dyDescent="0.4">
      <c r="B26" s="94" t="s">
        <v>636</v>
      </c>
      <c r="C26" s="92"/>
      <c r="D26" s="92"/>
      <c r="E26" s="92"/>
      <c r="F26" s="92"/>
      <c r="G26" s="92"/>
      <c r="H26" s="92"/>
    </row>
    <row r="27" spans="2:8" ht="67.95" customHeight="1" x14ac:dyDescent="0.4">
      <c r="B27" s="128" t="s">
        <v>637</v>
      </c>
      <c r="C27" s="128"/>
      <c r="D27" s="128"/>
      <c r="E27" s="128"/>
      <c r="F27" s="128"/>
      <c r="G27" s="128"/>
      <c r="H27" s="128"/>
    </row>
    <row r="28" spans="2:8" hidden="1" x14ac:dyDescent="0.4">
      <c r="B28" s="128"/>
      <c r="C28" s="128"/>
      <c r="D28" s="128"/>
      <c r="E28" s="128"/>
      <c r="F28" s="128"/>
      <c r="G28" s="128"/>
      <c r="H28" s="128"/>
    </row>
    <row r="29" spans="2:8" x14ac:dyDescent="0.4">
      <c r="B29" s="37"/>
      <c r="C29" s="37"/>
      <c r="D29" s="37"/>
      <c r="E29" s="37"/>
      <c r="F29" s="37"/>
      <c r="G29" s="37"/>
      <c r="H29" s="37"/>
    </row>
    <row r="30" spans="2:8" x14ac:dyDescent="0.4">
      <c r="B30" s="94" t="s">
        <v>638</v>
      </c>
      <c r="C30" s="92"/>
      <c r="D30" s="92"/>
      <c r="E30" s="92"/>
      <c r="F30" s="92"/>
      <c r="G30" s="92"/>
      <c r="H30" s="92"/>
    </row>
    <row r="31" spans="2:8" ht="45" customHeight="1" x14ac:dyDescent="0.4">
      <c r="B31" s="128" t="s">
        <v>639</v>
      </c>
      <c r="C31" s="128"/>
      <c r="D31" s="128"/>
      <c r="E31" s="128"/>
      <c r="F31" s="128"/>
      <c r="G31" s="128"/>
      <c r="H31" s="128"/>
    </row>
    <row r="32" spans="2:8" hidden="1" x14ac:dyDescent="0.4">
      <c r="B32" s="128"/>
      <c r="C32" s="128"/>
      <c r="D32" s="128"/>
      <c r="E32" s="128"/>
      <c r="F32" s="128"/>
      <c r="G32" s="128"/>
      <c r="H32" s="128"/>
    </row>
    <row r="33" spans="2:8" x14ac:dyDescent="0.4">
      <c r="B33" s="37"/>
      <c r="C33" s="37"/>
      <c r="D33" s="37"/>
      <c r="E33" s="37"/>
      <c r="F33" s="37"/>
      <c r="G33" s="37"/>
      <c r="H33" s="37"/>
    </row>
    <row r="34" spans="2:8" x14ac:dyDescent="0.4">
      <c r="B34" s="94" t="s">
        <v>640</v>
      </c>
      <c r="C34" s="92"/>
      <c r="D34" s="92"/>
      <c r="E34" s="92"/>
      <c r="F34" s="92"/>
      <c r="G34" s="92"/>
      <c r="H34" s="92"/>
    </row>
    <row r="35" spans="2:8" ht="145.05000000000001" customHeight="1" x14ac:dyDescent="0.4">
      <c r="B35" s="128"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28"/>
      <c r="D35" s="128"/>
      <c r="E35" s="128"/>
      <c r="F35" s="128"/>
      <c r="G35" s="128"/>
      <c r="H35" s="128"/>
    </row>
    <row r="36" spans="2:8" hidden="1" x14ac:dyDescent="0.4">
      <c r="B36" s="128"/>
      <c r="C36" s="128"/>
      <c r="D36" s="128"/>
      <c r="E36" s="128"/>
      <c r="F36" s="128"/>
      <c r="G36" s="128"/>
      <c r="H36" s="128"/>
    </row>
    <row r="37" spans="2:8" x14ac:dyDescent="0.4">
      <c r="B37" s="37"/>
      <c r="C37" s="37"/>
      <c r="D37" s="37"/>
      <c r="E37" s="37"/>
      <c r="F37" s="37"/>
      <c r="G37" s="37"/>
      <c r="H37" s="37"/>
    </row>
    <row r="38" spans="2:8" x14ac:dyDescent="0.4">
      <c r="B38" s="94" t="s">
        <v>641</v>
      </c>
      <c r="C38" s="92"/>
      <c r="D38" s="92"/>
      <c r="E38" s="92"/>
      <c r="F38" s="92"/>
      <c r="G38" s="92"/>
      <c r="H38" s="92"/>
    </row>
    <row r="39" spans="2:8" ht="58.05" customHeight="1" x14ac:dyDescent="0.4">
      <c r="B39" s="128" t="s">
        <v>642</v>
      </c>
      <c r="C39" s="128"/>
      <c r="D39" s="128"/>
      <c r="E39" s="128"/>
      <c r="F39" s="128"/>
      <c r="G39" s="128"/>
      <c r="H39" s="128"/>
    </row>
    <row r="40" spans="2:8" hidden="1" x14ac:dyDescent="0.4">
      <c r="B40" s="128"/>
      <c r="C40" s="128"/>
      <c r="D40" s="128"/>
      <c r="E40" s="128"/>
      <c r="F40" s="128"/>
      <c r="G40" s="128"/>
      <c r="H40" s="128"/>
    </row>
    <row r="41" spans="2:8" x14ac:dyDescent="0.4">
      <c r="B41" s="37"/>
      <c r="C41" s="37"/>
      <c r="D41" s="37"/>
      <c r="E41" s="37"/>
      <c r="F41" s="37"/>
      <c r="G41" s="37"/>
      <c r="H41" s="37"/>
    </row>
    <row r="42" spans="2:8" x14ac:dyDescent="0.4">
      <c r="B42" s="94" t="s">
        <v>643</v>
      </c>
      <c r="C42" s="92"/>
      <c r="D42" s="92"/>
      <c r="E42" s="92"/>
      <c r="F42" s="92"/>
      <c r="G42" s="92"/>
      <c r="H42" s="92"/>
    </row>
    <row r="43" spans="2:8" ht="82.05" customHeight="1" x14ac:dyDescent="0.4">
      <c r="B43" s="128" t="s">
        <v>644</v>
      </c>
      <c r="C43" s="128"/>
      <c r="D43" s="128"/>
      <c r="E43" s="128"/>
      <c r="F43" s="128"/>
      <c r="G43" s="128"/>
      <c r="H43" s="128"/>
    </row>
    <row r="44" spans="2:8" hidden="1" x14ac:dyDescent="0.4">
      <c r="B44" s="128"/>
      <c r="C44" s="128"/>
      <c r="D44" s="128"/>
      <c r="E44" s="128"/>
      <c r="F44" s="128"/>
      <c r="G44" s="128"/>
      <c r="H44" s="128"/>
    </row>
    <row r="45" spans="2:8" x14ac:dyDescent="0.4">
      <c r="B45" s="37"/>
      <c r="C45" s="37"/>
      <c r="D45" s="37"/>
      <c r="E45" s="37"/>
      <c r="F45" s="37"/>
      <c r="G45" s="37"/>
      <c r="H45" s="37"/>
    </row>
    <row r="46" spans="2:8" x14ac:dyDescent="0.4">
      <c r="B46" s="94" t="s">
        <v>645</v>
      </c>
      <c r="C46" s="92"/>
      <c r="D46" s="92"/>
      <c r="E46" s="92"/>
      <c r="F46" s="92"/>
      <c r="G46" s="92"/>
      <c r="H46" s="92"/>
    </row>
    <row r="47" spans="2:8" ht="78" customHeight="1" x14ac:dyDescent="0.4">
      <c r="B47" s="128" t="s">
        <v>646</v>
      </c>
      <c r="C47" s="128"/>
      <c r="D47" s="128"/>
      <c r="E47" s="128"/>
      <c r="F47" s="128"/>
      <c r="G47" s="128"/>
      <c r="H47" s="128"/>
    </row>
    <row r="48" spans="2:8" hidden="1" x14ac:dyDescent="0.4">
      <c r="B48" s="128"/>
      <c r="C48" s="128"/>
      <c r="D48" s="128"/>
      <c r="E48" s="128"/>
      <c r="F48" s="128"/>
      <c r="G48" s="128"/>
      <c r="H48" s="128"/>
    </row>
    <row r="49" spans="2:8" x14ac:dyDescent="0.4">
      <c r="B49" s="37"/>
      <c r="C49" s="37"/>
      <c r="D49" s="37"/>
      <c r="E49" s="37"/>
      <c r="F49" s="37"/>
      <c r="G49" s="37"/>
      <c r="H49" s="37"/>
    </row>
    <row r="50" spans="2:8" x14ac:dyDescent="0.4">
      <c r="B50" s="94" t="s">
        <v>647</v>
      </c>
      <c r="C50" s="92"/>
      <c r="D50" s="92"/>
      <c r="E50" s="92"/>
      <c r="F50" s="92"/>
      <c r="G50" s="92"/>
      <c r="H50" s="92"/>
    </row>
    <row r="51" spans="2:8" ht="37.950000000000003" customHeight="1" x14ac:dyDescent="0.4">
      <c r="B51" s="128" t="s">
        <v>648</v>
      </c>
      <c r="C51" s="128"/>
      <c r="D51" s="128"/>
      <c r="E51" s="128"/>
      <c r="F51" s="128"/>
      <c r="G51" s="128"/>
      <c r="H51" s="128"/>
    </row>
    <row r="52" spans="2:8" hidden="1" x14ac:dyDescent="0.4">
      <c r="B52" s="128"/>
      <c r="C52" s="128"/>
      <c r="D52" s="128"/>
      <c r="E52" s="128"/>
      <c r="F52" s="128"/>
      <c r="G52" s="128"/>
      <c r="H52" s="128"/>
    </row>
    <row r="53" spans="2:8" x14ac:dyDescent="0.4">
      <c r="B53" s="37"/>
      <c r="C53" s="37"/>
      <c r="D53" s="37"/>
      <c r="E53" s="37"/>
      <c r="F53" s="37"/>
      <c r="G53" s="37"/>
      <c r="H53" s="37"/>
    </row>
    <row r="54" spans="2:8" x14ac:dyDescent="0.4">
      <c r="B54" s="94" t="s">
        <v>649</v>
      </c>
      <c r="C54" s="92"/>
      <c r="D54" s="92"/>
      <c r="E54" s="92"/>
      <c r="F54" s="92"/>
      <c r="G54" s="92"/>
      <c r="H54" s="92"/>
    </row>
    <row r="55" spans="2:8" ht="45" customHeight="1" x14ac:dyDescent="0.4">
      <c r="B55" s="128" t="s">
        <v>650</v>
      </c>
      <c r="C55" s="128"/>
      <c r="D55" s="128"/>
      <c r="E55" s="128"/>
      <c r="F55" s="128"/>
      <c r="G55" s="128"/>
      <c r="H55" s="128"/>
    </row>
    <row r="56" spans="2:8" hidden="1" x14ac:dyDescent="0.4">
      <c r="B56" s="128"/>
      <c r="C56" s="128"/>
      <c r="D56" s="128"/>
      <c r="E56" s="128"/>
      <c r="F56" s="128"/>
      <c r="G56" s="128"/>
      <c r="H56" s="128"/>
    </row>
    <row r="57" spans="2:8" x14ac:dyDescent="0.4">
      <c r="B57" s="37"/>
      <c r="C57" s="37"/>
      <c r="D57" s="37"/>
      <c r="E57" s="37"/>
      <c r="F57" s="37"/>
      <c r="G57" s="37"/>
      <c r="H57" s="37"/>
    </row>
    <row r="58" spans="2:8" x14ac:dyDescent="0.4">
      <c r="B58" s="94" t="s">
        <v>651</v>
      </c>
      <c r="C58" s="92"/>
      <c r="D58" s="92"/>
      <c r="E58" s="92"/>
      <c r="F58" s="92"/>
      <c r="G58" s="92"/>
      <c r="H58" s="92"/>
    </row>
    <row r="59" spans="2:8" ht="45" customHeight="1" x14ac:dyDescent="0.4">
      <c r="B59" s="128" t="s">
        <v>652</v>
      </c>
      <c r="C59" s="128"/>
      <c r="D59" s="128"/>
      <c r="E59" s="128"/>
      <c r="F59" s="128"/>
      <c r="G59" s="128"/>
      <c r="H59" s="128"/>
    </row>
    <row r="60" spans="2:8" hidden="1" x14ac:dyDescent="0.4">
      <c r="B60" s="128"/>
      <c r="C60" s="128"/>
      <c r="D60" s="128"/>
      <c r="E60" s="128"/>
      <c r="F60" s="128"/>
      <c r="G60" s="128"/>
      <c r="H60" s="128"/>
    </row>
    <row r="61" spans="2:8" x14ac:dyDescent="0.4">
      <c r="B61" s="37"/>
      <c r="C61" s="37"/>
      <c r="D61" s="37"/>
      <c r="E61" s="37"/>
      <c r="F61" s="37"/>
      <c r="G61" s="37"/>
      <c r="H61" s="37"/>
    </row>
    <row r="62" spans="2:8" x14ac:dyDescent="0.4">
      <c r="B62" s="94" t="s">
        <v>653</v>
      </c>
      <c r="C62" s="92"/>
      <c r="D62" s="92"/>
      <c r="E62" s="92"/>
      <c r="F62" s="92"/>
      <c r="G62" s="92"/>
      <c r="H62" s="92"/>
    </row>
    <row r="63" spans="2:8" ht="48" customHeight="1" x14ac:dyDescent="0.4">
      <c r="B63" s="128" t="s">
        <v>654</v>
      </c>
      <c r="C63" s="128"/>
      <c r="D63" s="128"/>
      <c r="E63" s="128"/>
      <c r="F63" s="128"/>
      <c r="G63" s="128"/>
      <c r="H63" s="128"/>
    </row>
    <row r="64" spans="2:8" hidden="1" x14ac:dyDescent="0.4">
      <c r="B64" s="128"/>
      <c r="C64" s="128"/>
      <c r="D64" s="128"/>
      <c r="E64" s="128"/>
      <c r="F64" s="128"/>
      <c r="G64" s="128"/>
      <c r="H64" s="128"/>
    </row>
    <row r="65" spans="2:8" x14ac:dyDescent="0.4">
      <c r="B65" s="37"/>
      <c r="C65" s="37"/>
      <c r="D65" s="37"/>
      <c r="E65" s="37"/>
      <c r="F65" s="37"/>
      <c r="G65" s="37"/>
      <c r="H65" s="37"/>
    </row>
    <row r="66" spans="2:8" x14ac:dyDescent="0.4">
      <c r="B66" s="122" t="str">
        <f>IF(기초자료입력!C8&lt;&gt;"",TEXT(기초자료입력!C8,"yyyy. m. d."),"20○○. ○○. ○○.")</f>
        <v>2026. 1. 1.</v>
      </c>
      <c r="C66" s="122"/>
      <c r="D66" s="122"/>
      <c r="E66" s="122"/>
      <c r="F66" s="122"/>
      <c r="G66" s="122"/>
      <c r="H66" s="122"/>
    </row>
    <row r="67" spans="2:8" x14ac:dyDescent="0.4">
      <c r="B67" s="37"/>
      <c r="C67" s="37"/>
      <c r="D67" s="37"/>
      <c r="E67" s="37"/>
      <c r="F67" s="37"/>
      <c r="G67" s="37"/>
      <c r="H67" s="37"/>
    </row>
    <row r="68" spans="2:8" x14ac:dyDescent="0.4">
      <c r="B68" s="127" t="str">
        <f>IF(기초자료입력!C4&lt;&gt;"",기초자료입력!C4&amp;"장","○○○○학교장")</f>
        <v>전주고장</v>
      </c>
      <c r="C68" s="122"/>
      <c r="D68" s="122"/>
      <c r="E68" s="122"/>
      <c r="F68" s="122"/>
      <c r="G68" s="122"/>
      <c r="H68" s="122"/>
    </row>
    <row r="69" spans="2:8" x14ac:dyDescent="0.4">
      <c r="B69" s="37"/>
      <c r="C69" s="37"/>
      <c r="D69" s="37"/>
      <c r="E69" s="37"/>
      <c r="F69" s="37"/>
      <c r="G69" s="37"/>
      <c r="H69" s="37"/>
    </row>
    <row r="70" spans="2:8" x14ac:dyDescent="0.4">
      <c r="B70" s="37"/>
      <c r="C70" s="37"/>
      <c r="D70" s="37"/>
      <c r="E70" s="37"/>
      <c r="F70" s="37"/>
      <c r="G70" s="37"/>
      <c r="H70" s="37"/>
    </row>
    <row r="71" spans="2:8" ht="31.95" customHeight="1" x14ac:dyDescent="0.4">
      <c r="B71" s="110"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71" s="110"/>
      <c r="D71" s="110"/>
      <c r="E71" s="110"/>
      <c r="F71" s="110"/>
      <c r="G71" s="110"/>
      <c r="H71" s="110"/>
    </row>
  </sheetData>
  <mergeCells count="39">
    <mergeCell ref="C15:H15"/>
    <mergeCell ref="C16:H16"/>
    <mergeCell ref="B50:H50"/>
    <mergeCell ref="B51:H52"/>
    <mergeCell ref="B30:H30"/>
    <mergeCell ref="A1:H1"/>
    <mergeCell ref="B3:H3"/>
    <mergeCell ref="B5:H6"/>
    <mergeCell ref="B7:H7"/>
    <mergeCell ref="B9:H10"/>
    <mergeCell ref="B12:H12"/>
    <mergeCell ref="C20:H20"/>
    <mergeCell ref="B22:H22"/>
    <mergeCell ref="B23:H24"/>
    <mergeCell ref="B26:H26"/>
    <mergeCell ref="B27:H28"/>
    <mergeCell ref="C13:H13"/>
    <mergeCell ref="C14:H14"/>
    <mergeCell ref="B39:H40"/>
    <mergeCell ref="B42:H42"/>
    <mergeCell ref="B43:H44"/>
    <mergeCell ref="B46:H46"/>
    <mergeCell ref="B47:H48"/>
    <mergeCell ref="C17:H17"/>
    <mergeCell ref="C18:H18"/>
    <mergeCell ref="C19:H19"/>
    <mergeCell ref="B68:H68"/>
    <mergeCell ref="B71:H71"/>
    <mergeCell ref="B55:H56"/>
    <mergeCell ref="B58:H58"/>
    <mergeCell ref="B59:H60"/>
    <mergeCell ref="B62:H62"/>
    <mergeCell ref="B63:H64"/>
    <mergeCell ref="B66:H66"/>
    <mergeCell ref="B54:H54"/>
    <mergeCell ref="B31:H32"/>
    <mergeCell ref="B34:H34"/>
    <mergeCell ref="B35:H36"/>
    <mergeCell ref="B38:H3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FBFCC-6E10-4F5D-B840-ADD65A45521A}">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9"/>
      <c r="B1" s="91"/>
      <c r="C1" s="91"/>
      <c r="D1" s="91"/>
      <c r="E1" s="91"/>
      <c r="F1" s="91"/>
      <c r="G1" s="91"/>
      <c r="H1" s="91"/>
    </row>
    <row r="3" spans="1:8" ht="22.05" customHeight="1" x14ac:dyDescent="0.4">
      <c r="B3" s="130" t="str">
        <f>IF(기초자료입력!C5&lt;&gt;"",기초자료입력!C5,"20○○")&amp;"학년도 "&amp;IF(기초자료입력!C4&lt;&gt;"",기초자료입력!C4,"○○○○학교")&amp;" 교복 학교주관구매 계약 특수조건(예시)"</f>
        <v>2026학년도 전주고 교복 학교주관구매 계약 특수조건(예시)</v>
      </c>
      <c r="C3" s="131"/>
      <c r="D3" s="131"/>
      <c r="E3" s="131"/>
      <c r="F3" s="131"/>
      <c r="G3" s="131"/>
      <c r="H3" s="131"/>
    </row>
    <row r="4" spans="1:8" ht="22.05" customHeight="1" x14ac:dyDescent="0.4">
      <c r="B4" s="131"/>
      <c r="C4" s="131"/>
      <c r="D4" s="131"/>
      <c r="E4" s="131"/>
      <c r="F4" s="131"/>
      <c r="G4" s="131"/>
      <c r="H4" s="131"/>
    </row>
    <row r="5" spans="1:8" x14ac:dyDescent="0.4">
      <c r="B5" s="37"/>
      <c r="C5" s="37"/>
      <c r="D5" s="37"/>
      <c r="E5" s="37"/>
      <c r="F5" s="37"/>
      <c r="G5" s="37"/>
      <c r="H5" s="37"/>
    </row>
    <row r="6" spans="1:8" ht="60" customHeight="1" x14ac:dyDescent="0.4">
      <c r="B6" s="11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 교복 학교주관구매 계약을 체결함에 있어 전주고장(이하 「학교」라 한다)과 계약상대자 ○○교복사 대표 ○○○(이하 「공급자」라 한다)간에 본 계약의 성실한 이행을 위하여 다음과 같이 계약특수조건을 정한다.</v>
      </c>
      <c r="C6" s="110"/>
      <c r="D6" s="110"/>
      <c r="E6" s="110"/>
      <c r="F6" s="110"/>
      <c r="G6" s="110"/>
      <c r="H6" s="110"/>
    </row>
    <row r="7" spans="1:8" x14ac:dyDescent="0.4">
      <c r="B7" s="110"/>
      <c r="C7" s="110"/>
      <c r="D7" s="110"/>
      <c r="E7" s="110"/>
      <c r="F7" s="110"/>
      <c r="G7" s="110"/>
      <c r="H7" s="110"/>
    </row>
    <row r="8" spans="1:8" x14ac:dyDescent="0.4">
      <c r="B8" s="110"/>
      <c r="C8" s="110"/>
      <c r="D8" s="110"/>
      <c r="E8" s="110"/>
      <c r="F8" s="110"/>
      <c r="G8" s="110"/>
      <c r="H8" s="110"/>
    </row>
    <row r="9" spans="1:8" x14ac:dyDescent="0.4">
      <c r="B9" s="37"/>
      <c r="C9" s="37"/>
      <c r="D9" s="37"/>
      <c r="E9" s="37"/>
      <c r="F9" s="37"/>
      <c r="G9" s="37"/>
      <c r="H9" s="37"/>
    </row>
    <row r="10" spans="1:8" x14ac:dyDescent="0.4">
      <c r="B10" s="94" t="s">
        <v>655</v>
      </c>
      <c r="C10" s="92"/>
      <c r="D10" s="92"/>
      <c r="E10" s="92"/>
      <c r="F10" s="92"/>
      <c r="G10" s="92"/>
      <c r="H10" s="92"/>
    </row>
    <row r="11" spans="1:8" ht="205.95" customHeight="1" x14ac:dyDescent="0.4">
      <c r="B11" s="128"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8"/>
      <c r="D11" s="128"/>
      <c r="E11" s="128"/>
      <c r="F11" s="128"/>
      <c r="G11" s="128"/>
      <c r="H11" s="128"/>
    </row>
    <row r="12" spans="1:8" hidden="1" x14ac:dyDescent="0.4">
      <c r="B12" s="128"/>
      <c r="C12" s="128"/>
      <c r="D12" s="128"/>
      <c r="E12" s="128"/>
      <c r="F12" s="128"/>
      <c r="G12" s="128"/>
      <c r="H12" s="128"/>
    </row>
    <row r="13" spans="1:8" x14ac:dyDescent="0.4">
      <c r="B13" s="37"/>
      <c r="C13" s="37"/>
      <c r="D13" s="37"/>
      <c r="E13" s="37"/>
      <c r="F13" s="37"/>
      <c r="G13" s="37"/>
      <c r="H13" s="37"/>
    </row>
    <row r="14" spans="1:8" x14ac:dyDescent="0.4">
      <c r="B14" s="94" t="s">
        <v>656</v>
      </c>
      <c r="C14" s="92"/>
      <c r="D14" s="92"/>
      <c r="E14" s="92"/>
      <c r="F14" s="92"/>
      <c r="G14" s="92"/>
      <c r="H14" s="92"/>
    </row>
    <row r="15" spans="1:8" ht="253.95" customHeight="1" x14ac:dyDescent="0.4">
      <c r="B15" s="128" t="s">
        <v>657</v>
      </c>
      <c r="C15" s="128"/>
      <c r="D15" s="128"/>
      <c r="E15" s="128"/>
      <c r="F15" s="128"/>
      <c r="G15" s="128"/>
      <c r="H15" s="128"/>
    </row>
    <row r="16" spans="1:8" hidden="1" x14ac:dyDescent="0.4">
      <c r="B16" s="128"/>
      <c r="C16" s="128"/>
      <c r="D16" s="128"/>
      <c r="E16" s="128"/>
      <c r="F16" s="128"/>
      <c r="G16" s="128"/>
      <c r="H16" s="128"/>
    </row>
    <row r="17" spans="2:8" x14ac:dyDescent="0.4">
      <c r="B17" s="37"/>
      <c r="C17" s="37"/>
      <c r="D17" s="37"/>
      <c r="E17" s="37"/>
      <c r="F17" s="37"/>
      <c r="G17" s="37"/>
      <c r="H17" s="37"/>
    </row>
    <row r="18" spans="2:8" x14ac:dyDescent="0.4">
      <c r="B18" s="94" t="s">
        <v>658</v>
      </c>
      <c r="C18" s="92"/>
      <c r="D18" s="92"/>
      <c r="E18" s="92"/>
      <c r="F18" s="92"/>
      <c r="G18" s="92"/>
      <c r="H18" s="92"/>
    </row>
    <row r="19" spans="2:8" ht="85.95" customHeight="1" x14ac:dyDescent="0.4">
      <c r="B19" s="128"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28"/>
      <c r="D19" s="128"/>
      <c r="E19" s="128"/>
      <c r="F19" s="128"/>
      <c r="G19" s="128"/>
      <c r="H19" s="128"/>
    </row>
    <row r="20" spans="2:8" hidden="1" x14ac:dyDescent="0.4">
      <c r="B20" s="128"/>
      <c r="C20" s="128"/>
      <c r="D20" s="128"/>
      <c r="E20" s="128"/>
      <c r="F20" s="128"/>
      <c r="G20" s="128"/>
      <c r="H20" s="128"/>
    </row>
    <row r="21" spans="2:8" x14ac:dyDescent="0.4">
      <c r="B21" s="37"/>
      <c r="C21" s="37"/>
      <c r="D21" s="37"/>
      <c r="E21" s="37"/>
      <c r="F21" s="37"/>
      <c r="G21" s="37"/>
      <c r="H21" s="37"/>
    </row>
    <row r="22" spans="2:8" x14ac:dyDescent="0.4">
      <c r="B22" s="94" t="s">
        <v>659</v>
      </c>
      <c r="C22" s="92"/>
      <c r="D22" s="92"/>
      <c r="E22" s="92"/>
      <c r="F22" s="92"/>
      <c r="G22" s="92"/>
      <c r="H22" s="92"/>
    </row>
    <row r="23" spans="2:8" ht="109.95" customHeight="1" x14ac:dyDescent="0.4">
      <c r="B23" s="128" t="s">
        <v>660</v>
      </c>
      <c r="C23" s="128"/>
      <c r="D23" s="128"/>
      <c r="E23" s="128"/>
      <c r="F23" s="128"/>
      <c r="G23" s="128"/>
      <c r="H23" s="128"/>
    </row>
    <row r="24" spans="2:8" hidden="1" x14ac:dyDescent="0.4">
      <c r="B24" s="128"/>
      <c r="C24" s="128"/>
      <c r="D24" s="128"/>
      <c r="E24" s="128"/>
      <c r="F24" s="128"/>
      <c r="G24" s="128"/>
      <c r="H24" s="128"/>
    </row>
    <row r="25" spans="2:8" x14ac:dyDescent="0.4">
      <c r="B25" s="37"/>
      <c r="C25" s="37"/>
      <c r="D25" s="37"/>
      <c r="E25" s="37"/>
      <c r="F25" s="37"/>
      <c r="G25" s="37"/>
      <c r="H25" s="37"/>
    </row>
    <row r="26" spans="2:8" x14ac:dyDescent="0.4">
      <c r="B26" s="94" t="s">
        <v>661</v>
      </c>
      <c r="C26" s="92"/>
      <c r="D26" s="92"/>
      <c r="E26" s="92"/>
      <c r="F26" s="92"/>
      <c r="G26" s="92"/>
      <c r="H26" s="92"/>
    </row>
    <row r="27" spans="2:8" ht="205.95" customHeight="1" x14ac:dyDescent="0.4">
      <c r="B27" s="128" t="s">
        <v>662</v>
      </c>
      <c r="C27" s="128"/>
      <c r="D27" s="128"/>
      <c r="E27" s="128"/>
      <c r="F27" s="128"/>
      <c r="G27" s="128"/>
      <c r="H27" s="128"/>
    </row>
    <row r="28" spans="2:8" hidden="1" x14ac:dyDescent="0.4">
      <c r="B28" s="128"/>
      <c r="C28" s="128"/>
      <c r="D28" s="128"/>
      <c r="E28" s="128"/>
      <c r="F28" s="128"/>
      <c r="G28" s="128"/>
      <c r="H28" s="128"/>
    </row>
    <row r="29" spans="2:8" x14ac:dyDescent="0.4">
      <c r="B29" s="37"/>
      <c r="C29" s="37"/>
      <c r="D29" s="37"/>
      <c r="E29" s="37"/>
      <c r="F29" s="37"/>
      <c r="G29" s="37"/>
      <c r="H29" s="37"/>
    </row>
    <row r="30" spans="2:8" x14ac:dyDescent="0.4">
      <c r="B30" s="94" t="s">
        <v>663</v>
      </c>
      <c r="C30" s="92"/>
      <c r="D30" s="92"/>
      <c r="E30" s="92"/>
      <c r="F30" s="92"/>
      <c r="G30" s="92"/>
      <c r="H30" s="92"/>
    </row>
    <row r="31" spans="2:8" ht="253.95" customHeight="1" x14ac:dyDescent="0.4">
      <c r="B31" s="128" t="s">
        <v>664</v>
      </c>
      <c r="C31" s="128"/>
      <c r="D31" s="128"/>
      <c r="E31" s="128"/>
      <c r="F31" s="128"/>
      <c r="G31" s="128"/>
      <c r="H31" s="128"/>
    </row>
    <row r="32" spans="2:8" hidden="1" x14ac:dyDescent="0.4">
      <c r="B32" s="128"/>
      <c r="C32" s="128"/>
      <c r="D32" s="128"/>
      <c r="E32" s="128"/>
      <c r="F32" s="128"/>
      <c r="G32" s="128"/>
      <c r="H32" s="128"/>
    </row>
    <row r="33" spans="2:8" x14ac:dyDescent="0.4">
      <c r="B33" s="37"/>
      <c r="C33" s="37"/>
      <c r="D33" s="37"/>
      <c r="E33" s="37"/>
      <c r="F33" s="37"/>
      <c r="G33" s="37"/>
      <c r="H33" s="37"/>
    </row>
    <row r="34" spans="2:8" x14ac:dyDescent="0.4">
      <c r="B34" s="94" t="s">
        <v>665</v>
      </c>
      <c r="C34" s="92"/>
      <c r="D34" s="92"/>
      <c r="E34" s="92"/>
      <c r="F34" s="92"/>
      <c r="G34" s="92"/>
      <c r="H34" s="92"/>
    </row>
    <row r="35" spans="2:8" ht="109.95" customHeight="1" x14ac:dyDescent="0.4">
      <c r="B35" s="128" t="s">
        <v>666</v>
      </c>
      <c r="C35" s="128"/>
      <c r="D35" s="128"/>
      <c r="E35" s="128"/>
      <c r="F35" s="128"/>
      <c r="G35" s="128"/>
      <c r="H35" s="128"/>
    </row>
    <row r="36" spans="2:8" hidden="1" x14ac:dyDescent="0.4">
      <c r="B36" s="128"/>
      <c r="C36" s="128"/>
      <c r="D36" s="128"/>
      <c r="E36" s="128"/>
      <c r="F36" s="128"/>
      <c r="G36" s="128"/>
      <c r="H36" s="128"/>
    </row>
    <row r="37" spans="2:8" x14ac:dyDescent="0.4">
      <c r="B37" s="37"/>
      <c r="C37" s="37"/>
      <c r="D37" s="37"/>
      <c r="E37" s="37"/>
      <c r="F37" s="37"/>
      <c r="G37" s="37"/>
      <c r="H37" s="37"/>
    </row>
    <row r="38" spans="2:8" x14ac:dyDescent="0.4">
      <c r="B38" s="94" t="s">
        <v>667</v>
      </c>
      <c r="C38" s="92"/>
      <c r="D38" s="92"/>
      <c r="E38" s="92"/>
      <c r="F38" s="92"/>
      <c r="G38" s="92"/>
      <c r="H38" s="92"/>
    </row>
    <row r="39" spans="2:8" ht="157.94999999999999" customHeight="1" x14ac:dyDescent="0.4">
      <c r="B39" s="128" t="s">
        <v>668</v>
      </c>
      <c r="C39" s="128"/>
      <c r="D39" s="128"/>
      <c r="E39" s="128"/>
      <c r="F39" s="128"/>
      <c r="G39" s="128"/>
      <c r="H39" s="128"/>
    </row>
    <row r="40" spans="2:8" hidden="1" x14ac:dyDescent="0.4">
      <c r="B40" s="128"/>
      <c r="C40" s="128"/>
      <c r="D40" s="128"/>
      <c r="E40" s="128"/>
      <c r="F40" s="128"/>
      <c r="G40" s="128"/>
      <c r="H40" s="128"/>
    </row>
    <row r="41" spans="2:8" x14ac:dyDescent="0.4">
      <c r="B41" s="37"/>
      <c r="C41" s="37"/>
      <c r="D41" s="37"/>
      <c r="E41" s="37"/>
      <c r="F41" s="37"/>
      <c r="G41" s="37"/>
      <c r="H41" s="37"/>
    </row>
    <row r="42" spans="2:8" x14ac:dyDescent="0.4">
      <c r="B42" s="94" t="s">
        <v>669</v>
      </c>
      <c r="C42" s="92"/>
      <c r="D42" s="92"/>
      <c r="E42" s="92"/>
      <c r="F42" s="92"/>
      <c r="G42" s="92"/>
      <c r="H42" s="92"/>
    </row>
    <row r="43" spans="2:8" ht="61.95" customHeight="1" x14ac:dyDescent="0.4">
      <c r="B43" s="128" t="s">
        <v>670</v>
      </c>
      <c r="C43" s="128"/>
      <c r="D43" s="128"/>
      <c r="E43" s="128"/>
      <c r="F43" s="128"/>
      <c r="G43" s="128"/>
      <c r="H43" s="128"/>
    </row>
    <row r="44" spans="2:8" hidden="1" x14ac:dyDescent="0.4">
      <c r="B44" s="128"/>
      <c r="C44" s="128"/>
      <c r="D44" s="128"/>
      <c r="E44" s="128"/>
      <c r="F44" s="128"/>
      <c r="G44" s="128"/>
      <c r="H44" s="128"/>
    </row>
    <row r="45" spans="2:8" x14ac:dyDescent="0.4">
      <c r="B45" s="37"/>
      <c r="C45" s="37"/>
      <c r="D45" s="37"/>
      <c r="E45" s="37"/>
      <c r="F45" s="37"/>
      <c r="G45" s="37"/>
      <c r="H45" s="37"/>
    </row>
    <row r="46" spans="2:8" x14ac:dyDescent="0.4">
      <c r="B46" s="94" t="s">
        <v>671</v>
      </c>
      <c r="C46" s="92"/>
      <c r="D46" s="92"/>
      <c r="E46" s="92"/>
      <c r="F46" s="92"/>
      <c r="G46" s="92"/>
      <c r="H46" s="92"/>
    </row>
    <row r="47" spans="2:8" ht="181.95" customHeight="1" x14ac:dyDescent="0.4">
      <c r="B47" s="128" t="s">
        <v>672</v>
      </c>
      <c r="C47" s="128"/>
      <c r="D47" s="128"/>
      <c r="E47" s="128"/>
      <c r="F47" s="128"/>
      <c r="G47" s="128"/>
      <c r="H47" s="128"/>
    </row>
    <row r="48" spans="2:8" hidden="1" x14ac:dyDescent="0.4">
      <c r="B48" s="128"/>
      <c r="C48" s="128"/>
      <c r="D48" s="128"/>
      <c r="E48" s="128"/>
      <c r="F48" s="128"/>
      <c r="G48" s="128"/>
      <c r="H48" s="128"/>
    </row>
    <row r="49" spans="2:8" x14ac:dyDescent="0.4">
      <c r="B49" s="37"/>
      <c r="C49" s="37"/>
      <c r="D49" s="37"/>
      <c r="E49" s="37"/>
      <c r="F49" s="37"/>
      <c r="G49" s="37"/>
      <c r="H49" s="37"/>
    </row>
    <row r="50" spans="2:8" x14ac:dyDescent="0.4">
      <c r="B50" s="94" t="s">
        <v>673</v>
      </c>
      <c r="C50" s="92"/>
      <c r="D50" s="92"/>
      <c r="E50" s="92"/>
      <c r="F50" s="92"/>
      <c r="G50" s="92"/>
      <c r="H50" s="92"/>
    </row>
    <row r="51" spans="2:8" ht="109.95" customHeight="1" x14ac:dyDescent="0.4">
      <c r="B51" s="128" t="s">
        <v>674</v>
      </c>
      <c r="C51" s="128"/>
      <c r="D51" s="128"/>
      <c r="E51" s="128"/>
      <c r="F51" s="128"/>
      <c r="G51" s="128"/>
      <c r="H51" s="128"/>
    </row>
    <row r="52" spans="2:8" hidden="1" x14ac:dyDescent="0.4">
      <c r="B52" s="128"/>
      <c r="C52" s="128"/>
      <c r="D52" s="128"/>
      <c r="E52" s="128"/>
      <c r="F52" s="128"/>
      <c r="G52" s="128"/>
      <c r="H52" s="128"/>
    </row>
    <row r="53" spans="2:8" x14ac:dyDescent="0.4">
      <c r="B53" s="37"/>
      <c r="C53" s="37"/>
      <c r="D53" s="37"/>
      <c r="E53" s="37"/>
      <c r="F53" s="37"/>
      <c r="G53" s="37"/>
      <c r="H53" s="37"/>
    </row>
    <row r="54" spans="2:8" x14ac:dyDescent="0.4">
      <c r="B54" s="94" t="s">
        <v>675</v>
      </c>
      <c r="C54" s="92"/>
      <c r="D54" s="92"/>
      <c r="E54" s="92"/>
      <c r="F54" s="92"/>
      <c r="G54" s="92"/>
      <c r="H54" s="92"/>
    </row>
    <row r="55" spans="2:8" ht="61.95" customHeight="1" x14ac:dyDescent="0.4">
      <c r="B55" s="128" t="s">
        <v>676</v>
      </c>
      <c r="C55" s="128"/>
      <c r="D55" s="128"/>
      <c r="E55" s="128"/>
      <c r="F55" s="128"/>
      <c r="G55" s="128"/>
      <c r="H55" s="128"/>
    </row>
    <row r="56" spans="2:8" hidden="1" x14ac:dyDescent="0.4">
      <c r="B56" s="128"/>
      <c r="C56" s="128"/>
      <c r="D56" s="128"/>
      <c r="E56" s="128"/>
      <c r="F56" s="128"/>
      <c r="G56" s="128"/>
      <c r="H56" s="128"/>
    </row>
    <row r="57" spans="2:8" x14ac:dyDescent="0.4">
      <c r="B57" s="37"/>
      <c r="C57" s="37"/>
      <c r="D57" s="37"/>
      <c r="E57" s="37"/>
      <c r="F57" s="37"/>
      <c r="G57" s="37"/>
      <c r="H57" s="37"/>
    </row>
    <row r="58" spans="2:8" x14ac:dyDescent="0.4">
      <c r="B58" s="94" t="s">
        <v>677</v>
      </c>
      <c r="C58" s="92"/>
      <c r="D58" s="92"/>
      <c r="E58" s="92"/>
      <c r="F58" s="92"/>
      <c r="G58" s="92"/>
      <c r="H58" s="92"/>
    </row>
    <row r="59" spans="2:8" ht="61.95" customHeight="1" x14ac:dyDescent="0.4">
      <c r="B59" s="128" t="s">
        <v>678</v>
      </c>
      <c r="C59" s="128"/>
      <c r="D59" s="128"/>
      <c r="E59" s="128"/>
      <c r="F59" s="128"/>
      <c r="G59" s="128"/>
      <c r="H59" s="128"/>
    </row>
    <row r="60" spans="2:8" hidden="1" x14ac:dyDescent="0.4">
      <c r="B60" s="128"/>
      <c r="C60" s="128"/>
      <c r="D60" s="128"/>
      <c r="E60" s="128"/>
      <c r="F60" s="128"/>
      <c r="G60" s="128"/>
      <c r="H60" s="128"/>
    </row>
    <row r="61" spans="2:8" x14ac:dyDescent="0.4">
      <c r="B61" s="37"/>
      <c r="C61" s="37"/>
      <c r="D61" s="37"/>
      <c r="E61" s="37"/>
      <c r="F61" s="37"/>
      <c r="G61" s="37"/>
      <c r="H61" s="37"/>
    </row>
    <row r="62" spans="2:8" x14ac:dyDescent="0.4">
      <c r="B62" s="94" t="s">
        <v>679</v>
      </c>
      <c r="C62" s="92"/>
      <c r="D62" s="92"/>
      <c r="E62" s="92"/>
      <c r="F62" s="92"/>
      <c r="G62" s="92"/>
      <c r="H62" s="92"/>
    </row>
    <row r="63" spans="2:8" ht="109.95" customHeight="1" x14ac:dyDescent="0.4">
      <c r="B63" s="128" t="s">
        <v>680</v>
      </c>
      <c r="C63" s="128"/>
      <c r="D63" s="128"/>
      <c r="E63" s="128"/>
      <c r="F63" s="128"/>
      <c r="G63" s="128"/>
      <c r="H63" s="128"/>
    </row>
    <row r="64" spans="2:8" hidden="1" x14ac:dyDescent="0.4">
      <c r="B64" s="128"/>
      <c r="C64" s="128"/>
      <c r="D64" s="128"/>
      <c r="E64" s="128"/>
      <c r="F64" s="128"/>
      <c r="G64" s="128"/>
      <c r="H64" s="128"/>
    </row>
    <row r="65" spans="2:8" x14ac:dyDescent="0.4">
      <c r="B65" s="37"/>
      <c r="C65" s="37"/>
      <c r="D65" s="37"/>
      <c r="E65" s="37"/>
      <c r="F65" s="37"/>
      <c r="G65" s="37"/>
      <c r="H65" s="37"/>
    </row>
    <row r="66" spans="2:8" x14ac:dyDescent="0.4">
      <c r="B66" s="94" t="s">
        <v>681</v>
      </c>
      <c r="C66" s="92"/>
      <c r="D66" s="92"/>
      <c r="E66" s="92"/>
      <c r="F66" s="92"/>
      <c r="G66" s="92"/>
      <c r="H66" s="92"/>
    </row>
    <row r="67" spans="2:8" ht="37.950000000000003" customHeight="1" x14ac:dyDescent="0.4">
      <c r="B67" s="128" t="s">
        <v>682</v>
      </c>
      <c r="C67" s="128"/>
      <c r="D67" s="128"/>
      <c r="E67" s="128"/>
      <c r="F67" s="128"/>
      <c r="G67" s="128"/>
      <c r="H67" s="128"/>
    </row>
    <row r="68" spans="2:8" hidden="1" x14ac:dyDescent="0.4">
      <c r="B68" s="128"/>
      <c r="C68" s="128"/>
      <c r="D68" s="128"/>
      <c r="E68" s="128"/>
      <c r="F68" s="128"/>
      <c r="G68" s="128"/>
      <c r="H68" s="128"/>
    </row>
    <row r="69" spans="2:8" x14ac:dyDescent="0.4">
      <c r="B69" s="37"/>
      <c r="C69" s="37"/>
      <c r="D69" s="37"/>
      <c r="E69" s="37"/>
      <c r="F69" s="37"/>
      <c r="G69" s="37"/>
      <c r="H69" s="37"/>
    </row>
    <row r="70" spans="2:8" x14ac:dyDescent="0.4">
      <c r="B70" s="94" t="s">
        <v>683</v>
      </c>
      <c r="C70" s="92"/>
      <c r="D70" s="92"/>
      <c r="E70" s="92"/>
      <c r="F70" s="92"/>
      <c r="G70" s="92"/>
      <c r="H70" s="92"/>
    </row>
    <row r="71" spans="2:8" ht="37.950000000000003" customHeight="1" x14ac:dyDescent="0.4">
      <c r="B71" s="128" t="s">
        <v>684</v>
      </c>
      <c r="C71" s="128"/>
      <c r="D71" s="128"/>
      <c r="E71" s="128"/>
      <c r="F71" s="128"/>
      <c r="G71" s="128"/>
      <c r="H71" s="128"/>
    </row>
    <row r="72" spans="2:8" hidden="1" x14ac:dyDescent="0.4">
      <c r="B72" s="128"/>
      <c r="C72" s="128"/>
      <c r="D72" s="128"/>
      <c r="E72" s="128"/>
      <c r="F72" s="128"/>
      <c r="G72" s="128"/>
      <c r="H72" s="128"/>
    </row>
    <row r="73" spans="2:8" x14ac:dyDescent="0.4">
      <c r="B73" s="37"/>
      <c r="C73" s="37"/>
      <c r="D73" s="37"/>
      <c r="E73" s="37"/>
      <c r="F73" s="37"/>
      <c r="G73" s="37"/>
      <c r="H73" s="37"/>
    </row>
    <row r="74" spans="2:8" x14ac:dyDescent="0.4">
      <c r="B74" s="94" t="s">
        <v>685</v>
      </c>
      <c r="C74" s="92"/>
      <c r="D74" s="92"/>
      <c r="E74" s="92"/>
      <c r="F74" s="92"/>
      <c r="G74" s="92"/>
      <c r="H74" s="92"/>
    </row>
    <row r="75" spans="2:8" ht="109.95" customHeight="1" x14ac:dyDescent="0.4">
      <c r="B75" s="128" t="s">
        <v>686</v>
      </c>
      <c r="C75" s="128"/>
      <c r="D75" s="128"/>
      <c r="E75" s="128"/>
      <c r="F75" s="128"/>
      <c r="G75" s="128"/>
      <c r="H75" s="128"/>
    </row>
    <row r="76" spans="2:8" hidden="1" x14ac:dyDescent="0.4">
      <c r="B76" s="128"/>
      <c r="C76" s="128"/>
      <c r="D76" s="128"/>
      <c r="E76" s="128"/>
      <c r="F76" s="128"/>
      <c r="G76" s="128"/>
      <c r="H76" s="128"/>
    </row>
    <row r="77" spans="2:8" x14ac:dyDescent="0.4">
      <c r="B77" s="37"/>
      <c r="C77" s="37"/>
      <c r="D77" s="37"/>
      <c r="E77" s="37"/>
      <c r="F77" s="37"/>
      <c r="G77" s="37"/>
      <c r="H77" s="37"/>
    </row>
    <row r="78" spans="2:8" x14ac:dyDescent="0.4">
      <c r="B78" s="94" t="s">
        <v>687</v>
      </c>
      <c r="C78" s="92"/>
      <c r="D78" s="92"/>
      <c r="E78" s="92"/>
      <c r="F78" s="92"/>
      <c r="G78" s="92"/>
      <c r="H78" s="92"/>
    </row>
    <row r="79" spans="2:8" ht="205.95" customHeight="1" x14ac:dyDescent="0.4">
      <c r="B79" s="128" t="s">
        <v>688</v>
      </c>
      <c r="C79" s="128"/>
      <c r="D79" s="128"/>
      <c r="E79" s="128"/>
      <c r="F79" s="128"/>
      <c r="G79" s="128"/>
      <c r="H79" s="128"/>
    </row>
    <row r="80" spans="2:8" hidden="1" x14ac:dyDescent="0.4">
      <c r="B80" s="128"/>
      <c r="C80" s="128"/>
      <c r="D80" s="128"/>
      <c r="E80" s="128"/>
      <c r="F80" s="128"/>
      <c r="G80" s="128"/>
      <c r="H80" s="128"/>
    </row>
    <row r="81" spans="2:8" x14ac:dyDescent="0.4">
      <c r="B81" s="37"/>
      <c r="C81" s="37"/>
      <c r="D81" s="37"/>
      <c r="E81" s="37"/>
      <c r="F81" s="37"/>
      <c r="G81" s="37"/>
      <c r="H81" s="37"/>
    </row>
    <row r="82" spans="2:8" x14ac:dyDescent="0.4">
      <c r="B82" s="94" t="s">
        <v>689</v>
      </c>
      <c r="C82" s="92"/>
      <c r="D82" s="92"/>
      <c r="E82" s="92"/>
      <c r="F82" s="92"/>
      <c r="G82" s="92"/>
      <c r="H82" s="92"/>
    </row>
    <row r="83" spans="2:8" ht="61.95" customHeight="1" x14ac:dyDescent="0.4">
      <c r="B83" s="128" t="s">
        <v>690</v>
      </c>
      <c r="C83" s="128"/>
      <c r="D83" s="128"/>
      <c r="E83" s="128"/>
      <c r="F83" s="128"/>
      <c r="G83" s="128"/>
      <c r="H83" s="128"/>
    </row>
    <row r="84" spans="2:8" hidden="1" x14ac:dyDescent="0.4">
      <c r="B84" s="128"/>
      <c r="C84" s="128"/>
      <c r="D84" s="128"/>
      <c r="E84" s="128"/>
      <c r="F84" s="128"/>
      <c r="G84" s="128"/>
      <c r="H84" s="128"/>
    </row>
    <row r="85" spans="2:8" x14ac:dyDescent="0.4">
      <c r="B85" s="37"/>
      <c r="C85" s="37"/>
      <c r="D85" s="37"/>
      <c r="E85" s="37"/>
      <c r="F85" s="37"/>
      <c r="G85" s="37"/>
      <c r="H85" s="37"/>
    </row>
    <row r="86" spans="2:8" x14ac:dyDescent="0.4">
      <c r="B86" s="37"/>
      <c r="C86" s="37"/>
      <c r="D86" s="37"/>
      <c r="E86" s="37"/>
      <c r="F86" s="37"/>
      <c r="G86" s="37"/>
      <c r="H86" s="37"/>
    </row>
  </sheetData>
  <mergeCells count="41">
    <mergeCell ref="B26:H26"/>
    <mergeCell ref="A1:H1"/>
    <mergeCell ref="B3:H4"/>
    <mergeCell ref="B6:H8"/>
    <mergeCell ref="B10:H10"/>
    <mergeCell ref="B11:H12"/>
    <mergeCell ref="B14:H14"/>
    <mergeCell ref="B15:H16"/>
    <mergeCell ref="B18:H18"/>
    <mergeCell ref="B19:H20"/>
    <mergeCell ref="B22:H22"/>
    <mergeCell ref="B23:H24"/>
    <mergeCell ref="B50:H50"/>
    <mergeCell ref="B27:H28"/>
    <mergeCell ref="B30:H30"/>
    <mergeCell ref="B31:H32"/>
    <mergeCell ref="B34:H34"/>
    <mergeCell ref="B35:H36"/>
    <mergeCell ref="B38:H38"/>
    <mergeCell ref="B39:H40"/>
    <mergeCell ref="B42:H42"/>
    <mergeCell ref="B43:H44"/>
    <mergeCell ref="B46:H46"/>
    <mergeCell ref="B47:H48"/>
    <mergeCell ref="B74:H74"/>
    <mergeCell ref="B51:H52"/>
    <mergeCell ref="B54:H54"/>
    <mergeCell ref="B55:H56"/>
    <mergeCell ref="B58:H58"/>
    <mergeCell ref="B59:H60"/>
    <mergeCell ref="B62:H62"/>
    <mergeCell ref="B63:H64"/>
    <mergeCell ref="B66:H66"/>
    <mergeCell ref="B67:H68"/>
    <mergeCell ref="B70:H70"/>
    <mergeCell ref="B71:H72"/>
    <mergeCell ref="B75:H76"/>
    <mergeCell ref="B78:H78"/>
    <mergeCell ref="B79:H80"/>
    <mergeCell ref="B82:H82"/>
    <mergeCell ref="B83:H8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E65B2-F1F3-4A90-8C15-5CD29E47FD98}">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8"/>
    </row>
    <row r="3" spans="1:7" x14ac:dyDescent="0.4">
      <c r="B3" s="127" t="s">
        <v>322</v>
      </c>
      <c r="C3" s="122"/>
      <c r="D3" s="122"/>
      <c r="E3" s="122"/>
      <c r="F3" s="122"/>
      <c r="G3" s="122"/>
    </row>
    <row r="4" spans="1:7" x14ac:dyDescent="0.4">
      <c r="B4" s="122" t="s">
        <v>323</v>
      </c>
      <c r="C4" s="122"/>
      <c r="D4" s="122"/>
      <c r="E4" s="122"/>
      <c r="F4" s="122"/>
      <c r="G4" s="122"/>
    </row>
    <row r="5" spans="1:7" x14ac:dyDescent="0.4">
      <c r="B5" s="28" t="s">
        <v>86</v>
      </c>
      <c r="C5" s="29" t="str">
        <f>IF(기초자료입력!C4&lt;&gt;"",기초자료입력!C4,"")</f>
        <v>전주고</v>
      </c>
      <c r="D5" s="29" t="s">
        <v>87</v>
      </c>
      <c r="E5" s="29">
        <f>IF(기초자료입력!C5&lt;&gt;"",기초자료입력!C5,"")</f>
        <v>2026</v>
      </c>
      <c r="F5" s="29" t="s">
        <v>324</v>
      </c>
      <c r="G5" s="28" t="str">
        <f>IF(COUNTA(기초자료입력!B72:B81)&gt;0,기초자료입력!D82,"")</f>
        <v/>
      </c>
    </row>
    <row r="6" spans="1:7" x14ac:dyDescent="0.4">
      <c r="B6" s="132" t="str">
        <f>IF(기초자료입력!C22&lt;&gt;"",기초자료입력!C22,"제안서 평가항목 및 배점기준")</f>
        <v>전주고 교복구매건</v>
      </c>
      <c r="C6" s="133"/>
      <c r="D6" s="133"/>
      <c r="E6" s="133"/>
      <c r="F6" s="133"/>
      <c r="G6" s="133"/>
    </row>
    <row r="7" spans="1:7" ht="30" customHeight="1" x14ac:dyDescent="0.4">
      <c r="B7" s="110" t="s">
        <v>325</v>
      </c>
      <c r="C7" s="110"/>
      <c r="D7" s="110"/>
      <c r="E7" s="110"/>
      <c r="F7" s="110"/>
      <c r="G7" s="110"/>
    </row>
    <row r="8" spans="1:7" x14ac:dyDescent="0.4">
      <c r="B8" s="30"/>
      <c r="C8" s="30"/>
      <c r="D8" s="30"/>
      <c r="E8" s="30"/>
      <c r="F8" s="30"/>
      <c r="G8" s="30"/>
    </row>
    <row r="9" spans="1:7" x14ac:dyDescent="0.4">
      <c r="B9" s="31" t="s">
        <v>326</v>
      </c>
      <c r="C9" s="31" t="s">
        <v>75</v>
      </c>
      <c r="D9" s="31" t="s">
        <v>327</v>
      </c>
      <c r="E9" s="31" t="s">
        <v>76</v>
      </c>
      <c r="F9" s="31" t="s">
        <v>328</v>
      </c>
      <c r="G9" s="31" t="s">
        <v>316</v>
      </c>
    </row>
    <row r="10" spans="1:7" ht="24" customHeight="1" x14ac:dyDescent="0.4">
      <c r="B10" s="28" t="str">
        <f>IF(기초자료입력!B72&lt;&gt;"","평가","")</f>
        <v/>
      </c>
      <c r="C10" s="32" t="str">
        <f>IF(기초자료입력!B72&lt;&gt;"",기초자료입력!B72,"")</f>
        <v/>
      </c>
      <c r="D10" s="29" t="s">
        <v>329</v>
      </c>
      <c r="E10" s="33" t="str">
        <f>IF(기초자료입력!C72&lt;&gt;"",기초자료입력!C72,"")</f>
        <v/>
      </c>
      <c r="F10" s="33" t="str">
        <f>IF(기초자료입력!D72&lt;&gt;"",기초자료입력!D72,"")</f>
        <v/>
      </c>
      <c r="G10" s="28" t="str">
        <f>IF(AND(기초자료입력!B72&lt;&gt;"",기초자료입력!D72&lt;=기초자료입력!C72),"정상","")</f>
        <v/>
      </c>
    </row>
    <row r="11" spans="1:7" ht="24" customHeight="1" x14ac:dyDescent="0.4">
      <c r="B11" s="28" t="str">
        <f>IF(기초자료입력!B73&lt;&gt;"","평가","")</f>
        <v/>
      </c>
      <c r="C11" s="32" t="str">
        <f>IF(기초자료입력!B73&lt;&gt;"",기초자료입력!B73,"")</f>
        <v/>
      </c>
      <c r="D11" s="29" t="s">
        <v>329</v>
      </c>
      <c r="E11" s="33" t="str">
        <f>IF(기초자료입력!C73&lt;&gt;"",기초자료입력!C73,"")</f>
        <v/>
      </c>
      <c r="F11" s="33" t="str">
        <f>IF(기초자료입력!D73&lt;&gt;"",기초자료입력!D73,"")</f>
        <v/>
      </c>
      <c r="G11" s="28" t="str">
        <f>IF(AND(기초자료입력!B73&lt;&gt;"",기초자료입력!D73&lt;=기초자료입력!C73),"정상","")</f>
        <v/>
      </c>
    </row>
    <row r="12" spans="1:7" ht="24" customHeight="1" x14ac:dyDescent="0.4">
      <c r="B12" s="28" t="str">
        <f>IF(기초자료입력!B74&lt;&gt;"","평가","")</f>
        <v/>
      </c>
      <c r="C12" s="32" t="str">
        <f>IF(기초자료입력!B74&lt;&gt;"",기초자료입력!B74,"")</f>
        <v/>
      </c>
      <c r="D12" s="29" t="s">
        <v>329</v>
      </c>
      <c r="E12" s="33" t="str">
        <f>IF(기초자료입력!C74&lt;&gt;"",기초자료입력!C74,"")</f>
        <v/>
      </c>
      <c r="F12" s="33" t="str">
        <f>IF(기초자료입력!D74&lt;&gt;"",기초자료입력!D74,"")</f>
        <v/>
      </c>
      <c r="G12" s="28" t="str">
        <f>IF(AND(기초자료입력!B74&lt;&gt;"",기초자료입력!D74&lt;=기초자료입력!C74),"정상","")</f>
        <v/>
      </c>
    </row>
    <row r="13" spans="1:7" ht="24" customHeight="1" x14ac:dyDescent="0.4">
      <c r="B13" s="28" t="str">
        <f>IF(기초자료입력!B75&lt;&gt;"","평가","")</f>
        <v/>
      </c>
      <c r="C13" s="32" t="str">
        <f>IF(기초자료입력!B75&lt;&gt;"",기초자료입력!B75,"")</f>
        <v/>
      </c>
      <c r="D13" s="29" t="s">
        <v>329</v>
      </c>
      <c r="E13" s="33" t="str">
        <f>IF(기초자료입력!C75&lt;&gt;"",기초자료입력!C75,"")</f>
        <v/>
      </c>
      <c r="F13" s="33" t="str">
        <f>IF(기초자료입력!D75&lt;&gt;"",기초자료입력!D75,"")</f>
        <v/>
      </c>
      <c r="G13" s="28" t="str">
        <f>IF(AND(기초자료입력!B75&lt;&gt;"",기초자료입력!D75&lt;=기초자료입력!C75),"정상","")</f>
        <v/>
      </c>
    </row>
    <row r="14" spans="1:7" ht="24" customHeight="1" x14ac:dyDescent="0.4">
      <c r="B14" s="28" t="str">
        <f>IF(기초자료입력!B76&lt;&gt;"","평가","")</f>
        <v/>
      </c>
      <c r="C14" s="32" t="str">
        <f>IF(기초자료입력!B76&lt;&gt;"",기초자료입력!B76,"")</f>
        <v/>
      </c>
      <c r="D14" s="29" t="s">
        <v>329</v>
      </c>
      <c r="E14" s="33" t="str">
        <f>IF(기초자료입력!C76&lt;&gt;"",기초자료입력!C76,"")</f>
        <v/>
      </c>
      <c r="F14" s="33" t="str">
        <f>IF(기초자료입력!D76&lt;&gt;"",기초자료입력!D76,"")</f>
        <v/>
      </c>
      <c r="G14" s="28" t="str">
        <f>IF(AND(기초자료입력!B76&lt;&gt;"",기초자료입력!D76&lt;=기초자료입력!C76),"정상","")</f>
        <v/>
      </c>
    </row>
    <row r="15" spans="1:7" ht="24" customHeight="1" x14ac:dyDescent="0.4">
      <c r="B15" s="28" t="str">
        <f>IF(기초자료입력!B77&lt;&gt;"","평가","")</f>
        <v/>
      </c>
      <c r="C15" s="32" t="str">
        <f>IF(기초자료입력!B77&lt;&gt;"",기초자료입력!B77,"")</f>
        <v/>
      </c>
      <c r="D15" s="29" t="s">
        <v>329</v>
      </c>
      <c r="E15" s="33" t="str">
        <f>IF(기초자료입력!C77&lt;&gt;"",기초자료입력!C77,"")</f>
        <v/>
      </c>
      <c r="F15" s="33" t="str">
        <f>IF(기초자료입력!D77&lt;&gt;"",기초자료입력!D77,"")</f>
        <v/>
      </c>
      <c r="G15" s="28" t="str">
        <f>IF(AND(기초자료입력!B77&lt;&gt;"",기초자료입력!D77&lt;=기초자료입력!C77),"정상","")</f>
        <v/>
      </c>
    </row>
    <row r="16" spans="1:7" ht="24" customHeight="1" x14ac:dyDescent="0.4">
      <c r="B16" s="28" t="str">
        <f>IF(기초자료입력!B78&lt;&gt;"","평가","")</f>
        <v/>
      </c>
      <c r="C16" s="32" t="str">
        <f>IF(기초자료입력!B78&lt;&gt;"",기초자료입력!B78,"")</f>
        <v/>
      </c>
      <c r="D16" s="29" t="s">
        <v>329</v>
      </c>
      <c r="E16" s="33" t="str">
        <f>IF(기초자료입력!C78&lt;&gt;"",기초자료입력!C78,"")</f>
        <v/>
      </c>
      <c r="F16" s="33" t="str">
        <f>IF(기초자료입력!D78&lt;&gt;"",기초자료입력!D78,"")</f>
        <v/>
      </c>
      <c r="G16" s="28" t="str">
        <f>IF(AND(기초자료입력!B78&lt;&gt;"",기초자료입력!D78&lt;=기초자료입력!C78),"정상","")</f>
        <v/>
      </c>
    </row>
    <row r="17" spans="2:7" ht="24" customHeight="1" x14ac:dyDescent="0.4">
      <c r="B17" s="28" t="str">
        <f>IF(기초자료입력!B79&lt;&gt;"","평가","")</f>
        <v/>
      </c>
      <c r="C17" s="32" t="str">
        <f>IF(기초자료입력!B79&lt;&gt;"",기초자료입력!B79,"")</f>
        <v/>
      </c>
      <c r="D17" s="29" t="s">
        <v>329</v>
      </c>
      <c r="E17" s="33" t="str">
        <f>IF(기초자료입력!C79&lt;&gt;"",기초자료입력!C79,"")</f>
        <v/>
      </c>
      <c r="F17" s="33" t="str">
        <f>IF(기초자료입력!D79&lt;&gt;"",기초자료입력!D79,"")</f>
        <v/>
      </c>
      <c r="G17" s="28" t="str">
        <f>IF(AND(기초자료입력!B79&lt;&gt;"",기초자료입력!D79&lt;=기초자료입력!C79),"정상","")</f>
        <v/>
      </c>
    </row>
    <row r="18" spans="2:7" ht="24" customHeight="1" x14ac:dyDescent="0.4">
      <c r="B18" s="28" t="str">
        <f>IF(기초자료입력!B80&lt;&gt;"","평가","")</f>
        <v/>
      </c>
      <c r="C18" s="32" t="str">
        <f>IF(기초자료입력!B80&lt;&gt;"",기초자료입력!B80,"")</f>
        <v/>
      </c>
      <c r="D18" s="29" t="s">
        <v>329</v>
      </c>
      <c r="E18" s="33" t="str">
        <f>IF(기초자료입력!C80&lt;&gt;"",기초자료입력!C80,"")</f>
        <v/>
      </c>
      <c r="F18" s="33" t="str">
        <f>IF(기초자료입력!D80&lt;&gt;"",기초자료입력!D80,"")</f>
        <v/>
      </c>
      <c r="G18" s="28" t="str">
        <f>IF(AND(기초자료입력!B80&lt;&gt;"",기초자료입력!D80&lt;=기초자료입력!C80),"정상","")</f>
        <v/>
      </c>
    </row>
    <row r="19" spans="2:7" ht="24" customHeight="1" x14ac:dyDescent="0.4">
      <c r="B19" s="28" t="str">
        <f>IF(기초자료입력!B81&lt;&gt;"","평가","")</f>
        <v/>
      </c>
      <c r="C19" s="32" t="str">
        <f>IF(기초자료입력!B81&lt;&gt;"",기초자료입력!B81,"")</f>
        <v/>
      </c>
      <c r="D19" s="29" t="s">
        <v>329</v>
      </c>
      <c r="E19" s="33" t="str">
        <f>IF(기초자료입력!C81&lt;&gt;"",기초자료입력!C81,"")</f>
        <v/>
      </c>
      <c r="F19" s="33" t="str">
        <f>IF(기초자료입력!D81&lt;&gt;"",기초자료입력!D81,"")</f>
        <v/>
      </c>
      <c r="G19" s="28" t="str">
        <f>IF(AND(기초자료입력!B81&lt;&gt;"",기초자료입력!D81&lt;=기초자료입력!C81),"정상","")</f>
        <v/>
      </c>
    </row>
    <row r="20" spans="2:7" x14ac:dyDescent="0.4">
      <c r="B20" s="96" t="s">
        <v>330</v>
      </c>
      <c r="C20" s="134"/>
      <c r="D20" s="134"/>
      <c r="E20" s="34">
        <f>SUM(E10:E19)</f>
        <v>0</v>
      </c>
      <c r="F20" s="34">
        <f>기초자료입력!D82</f>
        <v>0</v>
      </c>
      <c r="G20" s="31"/>
    </row>
    <row r="21" spans="2:7" x14ac:dyDescent="0.4">
      <c r="B21" s="30"/>
      <c r="C21" s="30"/>
      <c r="D21" s="30"/>
      <c r="E21" s="30"/>
      <c r="F21" s="30"/>
      <c r="G21" s="30"/>
    </row>
    <row r="22" spans="2:7" x14ac:dyDescent="0.4">
      <c r="B22" s="123" t="s">
        <v>331</v>
      </c>
      <c r="C22" s="110"/>
      <c r="D22" s="110"/>
      <c r="E22" s="110"/>
      <c r="F22" s="110"/>
      <c r="G22" s="110"/>
    </row>
    <row r="23" spans="2:7" ht="30" customHeight="1" x14ac:dyDescent="0.4">
      <c r="B23" s="110" t="s">
        <v>332</v>
      </c>
      <c r="C23" s="110"/>
      <c r="D23" s="110"/>
      <c r="E23" s="110"/>
      <c r="F23" s="110"/>
      <c r="G23" s="110"/>
    </row>
    <row r="24" spans="2:7" ht="30" customHeight="1" x14ac:dyDescent="0.4">
      <c r="B24" s="110" t="s">
        <v>333</v>
      </c>
      <c r="C24" s="110"/>
      <c r="D24" s="110"/>
      <c r="E24" s="110"/>
      <c r="F24" s="110"/>
      <c r="G24" s="110"/>
    </row>
    <row r="25" spans="2:7" ht="30" customHeight="1" x14ac:dyDescent="0.4">
      <c r="B25" s="110" t="s">
        <v>334</v>
      </c>
      <c r="C25" s="110"/>
      <c r="D25" s="110"/>
      <c r="E25" s="110"/>
      <c r="F25" s="110"/>
      <c r="G25" s="110"/>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B8EC8-25CA-4C0F-AB20-F616182A3623}">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x14ac:dyDescent="0.4">
      <c r="A1" s="18"/>
    </row>
    <row r="2" spans="1:9" x14ac:dyDescent="0.4">
      <c r="I2" s="35" t="s">
        <v>335</v>
      </c>
    </row>
    <row r="3" spans="1:9" x14ac:dyDescent="0.4">
      <c r="B3" s="127" t="s">
        <v>336</v>
      </c>
      <c r="C3" s="122"/>
      <c r="D3" s="122"/>
      <c r="E3" s="122"/>
      <c r="F3" s="122"/>
      <c r="G3" s="122"/>
      <c r="I3">
        <v>1</v>
      </c>
    </row>
    <row r="4" spans="1:9" x14ac:dyDescent="0.4">
      <c r="B4" s="127" t="s">
        <v>337</v>
      </c>
      <c r="C4" s="122"/>
      <c r="D4" s="122"/>
      <c r="E4" s="122"/>
      <c r="F4" s="122"/>
      <c r="G4" s="122"/>
    </row>
    <row r="5" spans="1:9" x14ac:dyDescent="0.4">
      <c r="B5" s="36" t="s">
        <v>86</v>
      </c>
      <c r="C5" s="36" t="str">
        <f>IF(기초자료입력!C4&lt;&gt;"",기초자료입력!C4,"")</f>
        <v>전주고</v>
      </c>
      <c r="D5" s="36" t="s">
        <v>87</v>
      </c>
      <c r="E5" s="36">
        <f>IF(기초자료입력!C5&lt;&gt;"",기초자료입력!C5,"")</f>
        <v>2026</v>
      </c>
      <c r="F5" s="36" t="s">
        <v>338</v>
      </c>
      <c r="G5" s="36" t="str">
        <f>IFERROR(INDEX(기초자료입력!$B$44:$B$53,I3),"")</f>
        <v>스마트</v>
      </c>
    </row>
    <row r="6" spans="1:9" ht="24" customHeight="1" x14ac:dyDescent="0.4">
      <c r="B6" s="110" t="s">
        <v>339</v>
      </c>
      <c r="C6" s="110"/>
      <c r="D6" s="110"/>
      <c r="E6" s="110"/>
      <c r="F6" s="110"/>
      <c r="G6" s="110"/>
    </row>
    <row r="7" spans="1:9" x14ac:dyDescent="0.4">
      <c r="B7" s="37"/>
      <c r="C7" s="37"/>
      <c r="D7" s="37"/>
      <c r="E7" s="37"/>
      <c r="F7" s="37"/>
      <c r="G7" s="37"/>
    </row>
    <row r="8" spans="1:9" x14ac:dyDescent="0.4">
      <c r="B8" s="31" t="s">
        <v>326</v>
      </c>
      <c r="C8" s="31" t="s">
        <v>75</v>
      </c>
      <c r="D8" s="31" t="s">
        <v>327</v>
      </c>
      <c r="E8" s="31" t="s">
        <v>76</v>
      </c>
      <c r="F8" s="31" t="s">
        <v>328</v>
      </c>
      <c r="G8" s="36"/>
    </row>
    <row r="9" spans="1:9" ht="22.05" customHeight="1" x14ac:dyDescent="0.4">
      <c r="B9" s="135" t="s">
        <v>340</v>
      </c>
      <c r="C9" s="99" t="s">
        <v>341</v>
      </c>
      <c r="D9" s="32" t="s">
        <v>342</v>
      </c>
      <c r="E9" s="28">
        <v>10</v>
      </c>
      <c r="F9" s="119">
        <f>IFERROR(INDEX(기초자료입력!$C$44:$C$53,I3),"")</f>
        <v>3</v>
      </c>
      <c r="G9" s="29"/>
    </row>
    <row r="10" spans="1:9" ht="22.05" customHeight="1" x14ac:dyDescent="0.4">
      <c r="B10" s="135"/>
      <c r="C10" s="99"/>
      <c r="D10" s="32" t="s">
        <v>343</v>
      </c>
      <c r="E10" s="28">
        <v>8</v>
      </c>
      <c r="F10" s="119"/>
      <c r="G10" s="29"/>
    </row>
    <row r="11" spans="1:9" ht="22.05" customHeight="1" x14ac:dyDescent="0.4">
      <c r="B11" s="135"/>
      <c r="C11" s="99"/>
      <c r="D11" s="32" t="s">
        <v>344</v>
      </c>
      <c r="E11" s="28">
        <v>6</v>
      </c>
      <c r="F11" s="119"/>
      <c r="G11" s="29"/>
    </row>
    <row r="12" spans="1:9" ht="22.05" customHeight="1" x14ac:dyDescent="0.4">
      <c r="B12" s="135"/>
      <c r="C12" s="99"/>
      <c r="D12" s="32" t="s">
        <v>345</v>
      </c>
      <c r="E12" s="28">
        <v>4</v>
      </c>
      <c r="F12" s="119"/>
      <c r="G12" s="29"/>
    </row>
    <row r="13" spans="1:9" ht="22.05" customHeight="1" x14ac:dyDescent="0.4">
      <c r="B13" s="135"/>
      <c r="C13" s="99" t="s">
        <v>346</v>
      </c>
      <c r="D13" s="32" t="s">
        <v>347</v>
      </c>
      <c r="E13" s="28">
        <v>10</v>
      </c>
      <c r="F13" s="119">
        <f>IFERROR(INDEX(기초자료입력!$D$44:$D$53,I3),"")</f>
        <v>3</v>
      </c>
      <c r="G13" s="29"/>
    </row>
    <row r="14" spans="1:9" ht="22.05" customHeight="1" x14ac:dyDescent="0.4">
      <c r="B14" s="135"/>
      <c r="C14" s="99"/>
      <c r="D14" s="32" t="s">
        <v>348</v>
      </c>
      <c r="E14" s="28">
        <v>8</v>
      </c>
      <c r="F14" s="119"/>
      <c r="G14" s="29"/>
    </row>
    <row r="15" spans="1:9" ht="22.05" customHeight="1" x14ac:dyDescent="0.4">
      <c r="B15" s="135"/>
      <c r="C15" s="99"/>
      <c r="D15" s="32" t="s">
        <v>349</v>
      </c>
      <c r="E15" s="28">
        <v>5</v>
      </c>
      <c r="F15" s="119"/>
      <c r="G15" s="29"/>
    </row>
    <row r="16" spans="1:9" ht="22.05" customHeight="1" x14ac:dyDescent="0.4">
      <c r="B16" s="135"/>
      <c r="C16" s="99" t="s">
        <v>350</v>
      </c>
      <c r="D16" s="32" t="s">
        <v>351</v>
      </c>
      <c r="E16" s="28">
        <v>15</v>
      </c>
      <c r="F16" s="119">
        <f>IFERROR(INDEX(기초자료입력!$E$44:$E$53,I3),"")</f>
        <v>3</v>
      </c>
      <c r="G16" s="29"/>
    </row>
    <row r="17" spans="2:7" ht="22.05" customHeight="1" x14ac:dyDescent="0.4">
      <c r="B17" s="135"/>
      <c r="C17" s="99"/>
      <c r="D17" s="32" t="s">
        <v>352</v>
      </c>
      <c r="E17" s="28">
        <v>12</v>
      </c>
      <c r="F17" s="119"/>
      <c r="G17" s="29"/>
    </row>
    <row r="18" spans="2:7" ht="22.05" customHeight="1" x14ac:dyDescent="0.4">
      <c r="B18" s="135"/>
      <c r="C18" s="99"/>
      <c r="D18" s="32" t="s">
        <v>353</v>
      </c>
      <c r="E18" s="28">
        <v>9</v>
      </c>
      <c r="F18" s="119"/>
      <c r="G18" s="29"/>
    </row>
    <row r="19" spans="2:7" ht="22.05" customHeight="1" x14ac:dyDescent="0.4">
      <c r="B19" s="135"/>
      <c r="C19" s="99"/>
      <c r="D19" s="32" t="s">
        <v>354</v>
      </c>
      <c r="E19" s="28">
        <v>5</v>
      </c>
      <c r="F19" s="119"/>
      <c r="G19" s="29"/>
    </row>
    <row r="20" spans="2:7" ht="22.05" customHeight="1" x14ac:dyDescent="0.4">
      <c r="B20" s="135"/>
      <c r="C20" s="99" t="s">
        <v>355</v>
      </c>
      <c r="D20" s="32" t="s">
        <v>356</v>
      </c>
      <c r="E20" s="28">
        <v>15</v>
      </c>
      <c r="F20" s="119">
        <f>IFERROR(INDEX(기초자료입력!$F$44:$F$53,I3),"")</f>
        <v>3</v>
      </c>
      <c r="G20" s="29"/>
    </row>
    <row r="21" spans="2:7" ht="22.05" customHeight="1" x14ac:dyDescent="0.4">
      <c r="B21" s="135"/>
      <c r="C21" s="99"/>
      <c r="D21" s="32" t="s">
        <v>357</v>
      </c>
      <c r="E21" s="28">
        <v>0</v>
      </c>
      <c r="F21" s="119"/>
      <c r="G21" s="29"/>
    </row>
    <row r="22" spans="2:7" x14ac:dyDescent="0.4">
      <c r="B22" s="96" t="s">
        <v>296</v>
      </c>
      <c r="C22" s="134"/>
      <c r="D22" s="134" t="s">
        <v>358</v>
      </c>
      <c r="E22" s="96"/>
      <c r="F22" s="31">
        <f>IF(OR(F9="",F13="",F16="",F20=""),"",F9+F13+F16+F20)</f>
        <v>12</v>
      </c>
      <c r="G22" s="29"/>
    </row>
    <row r="23" spans="2:7" x14ac:dyDescent="0.4">
      <c r="B23" s="37"/>
      <c r="C23" s="37"/>
      <c r="D23" s="37"/>
      <c r="E23" s="37"/>
      <c r="F23" s="37"/>
      <c r="G23" s="37"/>
    </row>
    <row r="24" spans="2:7" ht="30" customHeight="1" x14ac:dyDescent="0.4">
      <c r="B24" s="11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24" s="110"/>
      <c r="D24" s="110"/>
      <c r="E24" s="110"/>
      <c r="F24" s="110"/>
      <c r="G24" s="110"/>
    </row>
    <row r="25" spans="2:7" x14ac:dyDescent="0.4">
      <c r="B25" s="122" t="s">
        <v>320</v>
      </c>
      <c r="C25" s="122"/>
      <c r="D25" s="122"/>
      <c r="E25" s="122"/>
      <c r="F25" s="122"/>
      <c r="G25" s="122"/>
    </row>
    <row r="26" spans="2:7" x14ac:dyDescent="0.4">
      <c r="B26" s="122" t="s">
        <v>359</v>
      </c>
      <c r="C26" s="122"/>
      <c r="D26" s="122"/>
      <c r="E26" s="122"/>
      <c r="F26" s="122"/>
      <c r="G26" s="122"/>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F6167-DC4C-4928-8163-9539232FFC95}">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8"/>
    </row>
    <row r="2" spans="1:9" x14ac:dyDescent="0.4">
      <c r="I2" s="35" t="s">
        <v>335</v>
      </c>
    </row>
    <row r="3" spans="1:9" x14ac:dyDescent="0.4">
      <c r="B3" s="127" t="s">
        <v>360</v>
      </c>
      <c r="C3" s="122"/>
      <c r="D3" s="122"/>
      <c r="E3" s="122"/>
      <c r="F3" s="122"/>
      <c r="I3">
        <v>1</v>
      </c>
    </row>
    <row r="4" spans="1:9" x14ac:dyDescent="0.4">
      <c r="B4" s="127" t="s">
        <v>361</v>
      </c>
      <c r="C4" s="122"/>
      <c r="D4" s="122"/>
      <c r="E4" s="122"/>
      <c r="F4" s="122"/>
    </row>
    <row r="5" spans="1:9" x14ac:dyDescent="0.4">
      <c r="B5" s="36" t="s">
        <v>86</v>
      </c>
      <c r="C5" s="36" t="str">
        <f>IF(기초자료입력!C4&lt;&gt;"",기초자료입력!C4,"")</f>
        <v>전주고</v>
      </c>
      <c r="D5" s="36" t="s">
        <v>87</v>
      </c>
      <c r="E5" s="36">
        <f>IF(기초자료입력!C5&lt;&gt;"",기초자료입력!C5,"")</f>
        <v>2026</v>
      </c>
      <c r="F5" s="36" t="s">
        <v>362</v>
      </c>
    </row>
    <row r="6" spans="1:9" x14ac:dyDescent="0.4">
      <c r="B6" s="122" t="str">
        <f>IFERROR(INDEX(기초자료입력!$B$44:$B$53,I3),"")</f>
        <v>스마트</v>
      </c>
      <c r="C6" s="122"/>
      <c r="D6" s="122"/>
      <c r="E6" s="122"/>
      <c r="F6" s="122"/>
    </row>
    <row r="7" spans="1:9" ht="24" customHeight="1" x14ac:dyDescent="0.4">
      <c r="B7" s="110" t="s">
        <v>339</v>
      </c>
      <c r="C7" s="110"/>
      <c r="D7" s="110"/>
      <c r="E7" s="110"/>
      <c r="F7" s="110"/>
    </row>
    <row r="8" spans="1:9" x14ac:dyDescent="0.4">
      <c r="B8" s="31" t="s">
        <v>326</v>
      </c>
      <c r="C8" s="31" t="s">
        <v>75</v>
      </c>
      <c r="D8" s="31" t="s">
        <v>327</v>
      </c>
      <c r="E8" s="31" t="s">
        <v>76</v>
      </c>
      <c r="F8" s="31" t="s">
        <v>328</v>
      </c>
    </row>
    <row r="9" spans="1:9" ht="45" customHeight="1" x14ac:dyDescent="0.4">
      <c r="B9" s="135" t="s">
        <v>363</v>
      </c>
      <c r="C9" s="28" t="s">
        <v>364</v>
      </c>
      <c r="D9" s="32" t="s">
        <v>365</v>
      </c>
      <c r="E9" s="28">
        <v>15</v>
      </c>
      <c r="F9" s="28">
        <f>IFERROR(IF(INDEX(기초자료입력!$H$44:$H$53,I3)="탁월",15,IF(INDEX(기초자료입력!$H$44:$H$53,I3)="우수",12,IF(INDEX(기초자료입력!$H$44:$H$53,I3)="보통",9,IF(INDEX(기초자료입력!$H$44:$H$53,I3)="미흡",6,IF(INDEX(기초자료입력!$H$44:$H$53,I3)="불량",3,""))))),"")</f>
        <v>15</v>
      </c>
    </row>
    <row r="10" spans="1:9" ht="45" customHeight="1" x14ac:dyDescent="0.4">
      <c r="B10" s="135"/>
      <c r="C10" s="28" t="s">
        <v>366</v>
      </c>
      <c r="D10" s="32" t="s">
        <v>367</v>
      </c>
      <c r="E10" s="28">
        <v>10</v>
      </c>
      <c r="F10" s="28">
        <f>IFERROR(IF(INDEX(기초자료입력!$I$44:$I$53,I3)="탁월",10,IF(INDEX(기초자료입력!$I$44:$I$53,I3)="우수",8,IF(INDEX(기초자료입력!$I$44:$I$53,I3)="보통",6,IF(INDEX(기초자료입력!$I$44:$I$53,I3)="미흡",4,IF(INDEX(기초자료입력!$I$44:$I$53,I3)="불량",2,""))))),"")</f>
        <v>8</v>
      </c>
    </row>
    <row r="11" spans="1:9" ht="45" customHeight="1" x14ac:dyDescent="0.4">
      <c r="B11" s="135"/>
      <c r="C11" s="28" t="s">
        <v>368</v>
      </c>
      <c r="D11" s="32" t="s">
        <v>369</v>
      </c>
      <c r="E11" s="28">
        <v>15</v>
      </c>
      <c r="F11" s="28">
        <f>IFERROR(IF(INDEX(기초자료입력!$J$44:$J$53,I3)="탁월",15,IF(INDEX(기초자료입력!$J$44:$J$53,I3)="우수",12,IF(INDEX(기초자료입력!$J$44:$J$53,I3)="보통",9,IF(INDEX(기초자료입력!$J$44:$J$53,I3)="미흡",6,IF(INDEX(기초자료입력!$J$44:$J$53,I3)="불량",3,""))))),"")</f>
        <v>15</v>
      </c>
    </row>
    <row r="12" spans="1:9" ht="45" customHeight="1" x14ac:dyDescent="0.4">
      <c r="B12" s="135"/>
      <c r="C12" s="28" t="s">
        <v>370</v>
      </c>
      <c r="D12" s="32" t="s">
        <v>371</v>
      </c>
      <c r="E12" s="28">
        <v>10</v>
      </c>
      <c r="F12" s="28">
        <f>IFERROR(IF(INDEX(기초자료입력!$K$44:$K$53,I3)="탁월",10,IF(INDEX(기초자료입력!$K$44:$K$53,I3)="우수",8,IF(INDEX(기초자료입력!$K$44:$K$53,I3)="보통",6,IF(INDEX(기초자료입력!$K$44:$K$53,I3)="미흡",4,IF(INDEX(기초자료입력!$K$44:$K$53,I3)="불량",2,""))))),"")</f>
        <v>10</v>
      </c>
    </row>
    <row r="13" spans="1:9" ht="45" customHeight="1" x14ac:dyDescent="0.4">
      <c r="B13" s="135"/>
      <c r="C13" s="28" t="s">
        <v>372</v>
      </c>
      <c r="D13" s="32" t="s">
        <v>373</v>
      </c>
      <c r="E13" s="28" t="s">
        <v>374</v>
      </c>
      <c r="F13" s="28">
        <f>IFERROR(INDEX(기초자료입력!$L$44:$L$53,I3),"")</f>
        <v>1</v>
      </c>
    </row>
    <row r="14" spans="1:9" x14ac:dyDescent="0.4">
      <c r="B14" s="134" t="s">
        <v>296</v>
      </c>
      <c r="C14" s="134"/>
      <c r="D14" s="134" t="s">
        <v>358</v>
      </c>
      <c r="E14" s="96"/>
      <c r="F14" s="31">
        <f>IF(OR(F9="",F10="",F11="",F12="",F13=""),"",F9+F10+F11+F12+F13)</f>
        <v>49</v>
      </c>
    </row>
    <row r="15" spans="1:9" x14ac:dyDescent="0.4">
      <c r="B15" s="37"/>
      <c r="C15" s="37"/>
      <c r="D15" s="37"/>
      <c r="E15" s="37"/>
      <c r="F15" s="37"/>
    </row>
    <row r="16" spans="1:9" ht="30" customHeight="1" x14ac:dyDescent="0.4">
      <c r="B16" s="11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16" s="110"/>
      <c r="D16" s="110"/>
      <c r="E16" s="110"/>
      <c r="F16" s="110"/>
    </row>
    <row r="17" spans="2:6" x14ac:dyDescent="0.4">
      <c r="B17" s="122" t="s">
        <v>320</v>
      </c>
      <c r="C17" s="122"/>
      <c r="D17" s="122"/>
      <c r="E17" s="122"/>
      <c r="F17" s="122"/>
    </row>
    <row r="18" spans="2:6" x14ac:dyDescent="0.4">
      <c r="B18" s="122" t="s">
        <v>375</v>
      </c>
      <c r="C18" s="122"/>
      <c r="D18" s="122"/>
      <c r="E18" s="122"/>
      <c r="F18" s="122"/>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3D049-F905-4B29-8483-235B9087C240}">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x14ac:dyDescent="0.4">
      <c r="A1" s="18"/>
    </row>
    <row r="2" spans="1:7" x14ac:dyDescent="0.4">
      <c r="G2" s="35" t="s">
        <v>335</v>
      </c>
    </row>
    <row r="3" spans="1:7" x14ac:dyDescent="0.4">
      <c r="B3" s="136" t="str">
        <f>IF(기초자료입력!C5&lt;&gt;"",기초자료입력!C5,"20○○")&amp;"년도 신입생 교복 제출서류 자기확인서"</f>
        <v>2026년도 신입생 교복 제출서류 자기확인서</v>
      </c>
      <c r="C3" s="137"/>
      <c r="D3" s="137"/>
      <c r="E3" s="137"/>
      <c r="G3">
        <v>1</v>
      </c>
    </row>
    <row r="4" spans="1:7" x14ac:dyDescent="0.4">
      <c r="B4" s="38"/>
      <c r="C4" s="38"/>
      <c r="D4" s="38"/>
      <c r="E4" s="38"/>
    </row>
    <row r="5" spans="1:7" ht="19.95" customHeight="1" x14ac:dyDescent="0.4">
      <c r="B5" s="138" t="s">
        <v>376</v>
      </c>
      <c r="C5" s="138"/>
      <c r="D5" s="138"/>
      <c r="E5" s="138"/>
    </row>
    <row r="6" spans="1:7" x14ac:dyDescent="0.4">
      <c r="B6" s="38"/>
      <c r="C6" s="38"/>
      <c r="D6" s="38"/>
      <c r="E6" s="38"/>
    </row>
    <row r="7" spans="1:7" ht="24" customHeight="1" x14ac:dyDescent="0.4">
      <c r="B7" s="39" t="s">
        <v>52</v>
      </c>
      <c r="C7" s="39" t="s">
        <v>377</v>
      </c>
      <c r="D7" s="39" t="s">
        <v>378</v>
      </c>
      <c r="E7" s="39" t="s">
        <v>379</v>
      </c>
    </row>
    <row r="8" spans="1:7" ht="19.95" customHeight="1" x14ac:dyDescent="0.4">
      <c r="B8" s="40" t="str">
        <f>IFERROR(IF(INDEX(기초자료입력!$B$44:$B$53,$G$3)=0,"",INDEX(기초자료입력!$B$44:$B$53,$G$3)),"")</f>
        <v>스마트</v>
      </c>
      <c r="C8" s="41" t="str">
        <f>IFERROR(IF(INDEX(기초자료입력!$S$44:$S$53,$G$3)="","",INDEX(기초자료입력!$S$44:$S$53,$G$3)),"")</f>
        <v>상상로</v>
      </c>
      <c r="D8" s="41" t="str">
        <f>IFERROR(IF(INDEX(기초자료입력!$X$44:$X$53,$G$3)="","",INDEX(기초자료입력!$X$44:$X$53,$G$3)),"")</f>
        <v/>
      </c>
      <c r="E8" s="40"/>
    </row>
    <row r="9" spans="1:7" x14ac:dyDescent="0.4">
      <c r="B9" s="42"/>
      <c r="C9" s="43"/>
      <c r="D9" s="43"/>
      <c r="E9" s="42"/>
    </row>
    <row r="10" spans="1:7" ht="24" customHeight="1" x14ac:dyDescent="0.4">
      <c r="B10" s="39" t="s">
        <v>380</v>
      </c>
      <c r="C10" s="39" t="s">
        <v>47</v>
      </c>
      <c r="D10" s="39" t="s">
        <v>381</v>
      </c>
      <c r="E10" s="39" t="s">
        <v>382</v>
      </c>
    </row>
    <row r="11" spans="1:7" ht="16.05" customHeight="1" x14ac:dyDescent="0.4">
      <c r="B11" s="44" t="s">
        <v>383</v>
      </c>
      <c r="C11" s="45" t="s">
        <v>384</v>
      </c>
      <c r="D11" s="45"/>
      <c r="E11" s="44"/>
    </row>
    <row r="12" spans="1:7" ht="16.05" customHeight="1" x14ac:dyDescent="0.4">
      <c r="B12" s="44" t="s">
        <v>385</v>
      </c>
      <c r="C12" s="45" t="s">
        <v>384</v>
      </c>
      <c r="D12" s="45"/>
      <c r="E12" s="44"/>
    </row>
    <row r="13" spans="1:7" ht="16.05" customHeight="1" x14ac:dyDescent="0.4">
      <c r="B13" s="44" t="s">
        <v>386</v>
      </c>
      <c r="C13" s="45" t="s">
        <v>384</v>
      </c>
      <c r="D13" s="45"/>
      <c r="E13" s="44"/>
    </row>
    <row r="14" spans="1:7" ht="16.05" customHeight="1" x14ac:dyDescent="0.4">
      <c r="B14" s="44" t="s">
        <v>387</v>
      </c>
      <c r="C14" s="45" t="s">
        <v>384</v>
      </c>
      <c r="D14" s="45"/>
      <c r="E14" s="44" t="s">
        <v>388</v>
      </c>
    </row>
    <row r="15" spans="1:7" ht="16.05" customHeight="1" x14ac:dyDescent="0.4">
      <c r="B15" s="44" t="s">
        <v>389</v>
      </c>
      <c r="C15" s="45" t="s">
        <v>384</v>
      </c>
      <c r="D15" s="45"/>
      <c r="E15" s="44"/>
    </row>
    <row r="16" spans="1:7" ht="16.05" customHeight="1" x14ac:dyDescent="0.4">
      <c r="B16" s="44" t="s">
        <v>390</v>
      </c>
      <c r="C16" s="45" t="s">
        <v>384</v>
      </c>
      <c r="D16" s="45"/>
      <c r="E16" s="44"/>
    </row>
    <row r="17" spans="2:5" ht="16.05" customHeight="1" x14ac:dyDescent="0.4">
      <c r="B17" s="44" t="s">
        <v>391</v>
      </c>
      <c r="C17" s="45" t="s">
        <v>384</v>
      </c>
      <c r="D17" s="45"/>
      <c r="E17" s="44"/>
    </row>
    <row r="18" spans="2:5" ht="16.05" customHeight="1" x14ac:dyDescent="0.4">
      <c r="B18" s="44" t="s">
        <v>392</v>
      </c>
      <c r="C18" s="45" t="s">
        <v>384</v>
      </c>
      <c r="D18" s="45"/>
      <c r="E18" s="44"/>
    </row>
    <row r="19" spans="2:5" ht="16.05" customHeight="1" x14ac:dyDescent="0.4">
      <c r="B19" s="44" t="s">
        <v>393</v>
      </c>
      <c r="C19" s="45" t="s">
        <v>384</v>
      </c>
      <c r="D19" s="45"/>
      <c r="E19" s="44"/>
    </row>
    <row r="20" spans="2:5" ht="16.05" customHeight="1" x14ac:dyDescent="0.4">
      <c r="B20" s="44" t="s">
        <v>394</v>
      </c>
      <c r="C20" s="45" t="s">
        <v>384</v>
      </c>
      <c r="D20" s="45"/>
      <c r="E20" s="44"/>
    </row>
    <row r="21" spans="2:5" ht="16.05" customHeight="1" x14ac:dyDescent="0.4">
      <c r="B21" s="44" t="s">
        <v>395</v>
      </c>
      <c r="C21" s="45" t="s">
        <v>384</v>
      </c>
      <c r="D21" s="45"/>
      <c r="E21" s="44"/>
    </row>
    <row r="22" spans="2:5" ht="24" customHeight="1" x14ac:dyDescent="0.4">
      <c r="B22" s="44" t="s">
        <v>396</v>
      </c>
      <c r="C22" s="45" t="s">
        <v>384</v>
      </c>
      <c r="D22" s="45"/>
      <c r="E22" s="44" t="s">
        <v>397</v>
      </c>
    </row>
    <row r="23" spans="2:5" ht="16.05" customHeight="1" x14ac:dyDescent="0.4">
      <c r="B23" s="44" t="s">
        <v>398</v>
      </c>
      <c r="C23" s="45" t="s">
        <v>399</v>
      </c>
      <c r="D23" s="45"/>
      <c r="E23" s="44" t="s">
        <v>400</v>
      </c>
    </row>
    <row r="24" spans="2:5" ht="16.05" customHeight="1" x14ac:dyDescent="0.4">
      <c r="B24" s="44" t="s">
        <v>401</v>
      </c>
      <c r="C24" s="45" t="s">
        <v>399</v>
      </c>
      <c r="D24" s="45"/>
      <c r="E24" s="44" t="s">
        <v>400</v>
      </c>
    </row>
    <row r="25" spans="2:5" ht="16.05" customHeight="1" x14ac:dyDescent="0.4">
      <c r="B25" s="44" t="s">
        <v>402</v>
      </c>
      <c r="C25" s="45" t="s">
        <v>399</v>
      </c>
      <c r="D25" s="45"/>
      <c r="E25" s="44" t="s">
        <v>400</v>
      </c>
    </row>
    <row r="26" spans="2:5" ht="16.05" customHeight="1" x14ac:dyDescent="0.4">
      <c r="B26" s="44" t="s">
        <v>403</v>
      </c>
      <c r="C26" s="45" t="s">
        <v>399</v>
      </c>
      <c r="D26" s="45"/>
      <c r="E26" s="44" t="s">
        <v>400</v>
      </c>
    </row>
    <row r="27" spans="2:5" ht="16.05" customHeight="1" x14ac:dyDescent="0.4">
      <c r="B27" s="44" t="s">
        <v>404</v>
      </c>
      <c r="C27" s="45" t="s">
        <v>399</v>
      </c>
      <c r="D27" s="45"/>
      <c r="E27" s="44" t="s">
        <v>400</v>
      </c>
    </row>
    <row r="28" spans="2:5" ht="16.05" customHeight="1" x14ac:dyDescent="0.4">
      <c r="B28" s="44" t="s">
        <v>405</v>
      </c>
      <c r="C28" s="45" t="s">
        <v>399</v>
      </c>
      <c r="D28" s="45"/>
      <c r="E28" s="44" t="s">
        <v>400</v>
      </c>
    </row>
    <row r="29" spans="2:5" ht="16.05" customHeight="1" x14ac:dyDescent="0.4">
      <c r="B29" s="44" t="s">
        <v>406</v>
      </c>
      <c r="C29" s="45" t="s">
        <v>399</v>
      </c>
      <c r="D29" s="45"/>
      <c r="E29" s="44" t="s">
        <v>400</v>
      </c>
    </row>
    <row r="30" spans="2:5" ht="16.05" customHeight="1" x14ac:dyDescent="0.4">
      <c r="B30" s="44" t="s">
        <v>407</v>
      </c>
      <c r="C30" s="45" t="s">
        <v>408</v>
      </c>
      <c r="D30" s="45"/>
      <c r="E30" s="44" t="s">
        <v>409</v>
      </c>
    </row>
  </sheetData>
  <mergeCells count="2">
    <mergeCell ref="B3:E3"/>
    <mergeCell ref="B5:E5"/>
  </mergeCells>
  <phoneticPr fontId="6"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E3AC-148C-43C5-86EB-F8CB0ECBEB9A}">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8"/>
    </row>
    <row r="2" spans="1:9" x14ac:dyDescent="0.4">
      <c r="I2" s="35" t="s">
        <v>335</v>
      </c>
    </row>
    <row r="3" spans="1:9" x14ac:dyDescent="0.4">
      <c r="B3" s="127" t="s">
        <v>410</v>
      </c>
      <c r="C3" s="122"/>
      <c r="D3" s="122"/>
      <c r="E3" s="122"/>
      <c r="F3" s="122"/>
      <c r="I3">
        <v>1</v>
      </c>
    </row>
    <row r="4" spans="1:9" ht="28.05" customHeight="1" x14ac:dyDescent="0.4">
      <c r="B4" s="110" t="s">
        <v>411</v>
      </c>
      <c r="C4" s="110"/>
      <c r="D4" s="110"/>
      <c r="E4" s="110"/>
      <c r="F4" s="110"/>
    </row>
    <row r="5" spans="1:9" x14ac:dyDescent="0.4">
      <c r="B5" s="28" t="s">
        <v>52</v>
      </c>
      <c r="C5" s="139" t="str">
        <f>IFERROR(IF(INDEX(기초자료입력!$B$44:$B$53,$I$3)=0,"",INDEX(기초자료입력!$B$44:$B$53,$I$3)),"")</f>
        <v>스마트</v>
      </c>
      <c r="D5" s="139"/>
      <c r="E5" s="139"/>
      <c r="F5" s="119"/>
    </row>
    <row r="6" spans="1:9" x14ac:dyDescent="0.4">
      <c r="B6" s="30"/>
      <c r="C6" s="30"/>
      <c r="D6" s="30"/>
      <c r="E6" s="30"/>
      <c r="F6" s="30"/>
    </row>
    <row r="7" spans="1:9" x14ac:dyDescent="0.4">
      <c r="B7" s="31" t="s">
        <v>326</v>
      </c>
      <c r="C7" s="31" t="s">
        <v>75</v>
      </c>
      <c r="D7" s="31" t="s">
        <v>327</v>
      </c>
      <c r="E7" s="31" t="s">
        <v>76</v>
      </c>
      <c r="F7" s="31" t="s">
        <v>412</v>
      </c>
    </row>
    <row r="8" spans="1:9" ht="22.05" customHeight="1" x14ac:dyDescent="0.4">
      <c r="B8" s="135" t="s">
        <v>340</v>
      </c>
      <c r="C8" s="99" t="s">
        <v>413</v>
      </c>
      <c r="D8" s="32" t="s">
        <v>342</v>
      </c>
      <c r="E8" s="28">
        <v>10</v>
      </c>
      <c r="F8" s="119">
        <f>IFERROR(IF(INDEX(기초자료입력!$B$44:$B$53,$I$3)=0,"",INDEX(기초자료입력!$N$44:$N$53,$I$3)),"")</f>
        <v>1</v>
      </c>
    </row>
    <row r="9" spans="1:9" ht="22.05" customHeight="1" x14ac:dyDescent="0.4">
      <c r="B9" s="135"/>
      <c r="C9" s="99"/>
      <c r="D9" s="32" t="s">
        <v>343</v>
      </c>
      <c r="E9" s="28">
        <v>8</v>
      </c>
      <c r="F9" s="119"/>
    </row>
    <row r="10" spans="1:9" ht="22.05" customHeight="1" x14ac:dyDescent="0.4">
      <c r="B10" s="135"/>
      <c r="C10" s="99"/>
      <c r="D10" s="32" t="s">
        <v>414</v>
      </c>
      <c r="E10" s="28">
        <v>6</v>
      </c>
      <c r="F10" s="119"/>
    </row>
    <row r="11" spans="1:9" ht="22.05" customHeight="1" x14ac:dyDescent="0.4">
      <c r="B11" s="135"/>
      <c r="C11" s="99"/>
      <c r="D11" s="32" t="s">
        <v>345</v>
      </c>
      <c r="E11" s="28">
        <v>4</v>
      </c>
      <c r="F11" s="119"/>
    </row>
    <row r="12" spans="1:9" ht="22.05" customHeight="1" x14ac:dyDescent="0.4">
      <c r="B12" s="135"/>
      <c r="C12" s="99" t="s">
        <v>415</v>
      </c>
      <c r="D12" s="32" t="s">
        <v>347</v>
      </c>
      <c r="E12" s="28">
        <v>10</v>
      </c>
      <c r="F12" s="119">
        <f>IFERROR(IF(INDEX(기초자료입력!$B$44:$B$53,$I$3)=0,"",INDEX(기초자료입력!$O$44:$O$53,$I$3)),"")</f>
        <v>1</v>
      </c>
    </row>
    <row r="13" spans="1:9" ht="22.05" customHeight="1" x14ac:dyDescent="0.4">
      <c r="B13" s="135"/>
      <c r="C13" s="99"/>
      <c r="D13" s="32" t="s">
        <v>348</v>
      </c>
      <c r="E13" s="28">
        <v>8</v>
      </c>
      <c r="F13" s="119"/>
    </row>
    <row r="14" spans="1:9" ht="22.05" customHeight="1" x14ac:dyDescent="0.4">
      <c r="B14" s="135"/>
      <c r="C14" s="99"/>
      <c r="D14" s="32" t="s">
        <v>349</v>
      </c>
      <c r="E14" s="28">
        <v>5</v>
      </c>
      <c r="F14" s="119"/>
    </row>
    <row r="15" spans="1:9" ht="22.05" customHeight="1" x14ac:dyDescent="0.4">
      <c r="B15" s="135"/>
      <c r="C15" s="99" t="s">
        <v>416</v>
      </c>
      <c r="D15" s="32" t="s">
        <v>351</v>
      </c>
      <c r="E15" s="28">
        <v>15</v>
      </c>
      <c r="F15" s="119">
        <f>IFERROR(IF(INDEX(기초자료입력!$B$44:$B$53,$I$3)=0,"",INDEX(기초자료입력!$P$44:$P$53,$I$3)),"")</f>
        <v>1</v>
      </c>
    </row>
    <row r="16" spans="1:9" ht="22.05" customHeight="1" x14ac:dyDescent="0.4">
      <c r="B16" s="135"/>
      <c r="C16" s="99"/>
      <c r="D16" s="32" t="s">
        <v>417</v>
      </c>
      <c r="E16" s="28">
        <v>12</v>
      </c>
      <c r="F16" s="119"/>
    </row>
    <row r="17" spans="2:6" ht="22.05" customHeight="1" x14ac:dyDescent="0.4">
      <c r="B17" s="135"/>
      <c r="C17" s="99"/>
      <c r="D17" s="32" t="s">
        <v>418</v>
      </c>
      <c r="E17" s="28">
        <v>9</v>
      </c>
      <c r="F17" s="119"/>
    </row>
    <row r="18" spans="2:6" ht="22.05" customHeight="1" x14ac:dyDescent="0.4">
      <c r="B18" s="135"/>
      <c r="C18" s="99"/>
      <c r="D18" s="32" t="s">
        <v>419</v>
      </c>
      <c r="E18" s="28">
        <v>5</v>
      </c>
      <c r="F18" s="119"/>
    </row>
    <row r="19" spans="2:6" ht="22.05" customHeight="1" x14ac:dyDescent="0.4">
      <c r="B19" s="135"/>
      <c r="C19" s="99" t="s">
        <v>355</v>
      </c>
      <c r="D19" s="32" t="s">
        <v>356</v>
      </c>
      <c r="E19" s="28">
        <v>15</v>
      </c>
      <c r="F19" s="119">
        <f>IFERROR(IF(INDEX(기초자료입력!$B$44:$B$53,$I$3)=0,"",INDEX(기초자료입력!$Q$44:$Q$53,$I$3)),"")</f>
        <v>1</v>
      </c>
    </row>
    <row r="20" spans="2:6" ht="22.05" customHeight="1" x14ac:dyDescent="0.4">
      <c r="B20" s="135"/>
      <c r="C20" s="99"/>
      <c r="D20" s="32" t="s">
        <v>357</v>
      </c>
      <c r="E20" s="28">
        <v>0</v>
      </c>
      <c r="F20" s="119"/>
    </row>
    <row r="21" spans="2:6" x14ac:dyDescent="0.4">
      <c r="B21" s="96" t="s">
        <v>296</v>
      </c>
      <c r="C21" s="134"/>
      <c r="D21" s="134" t="s">
        <v>358</v>
      </c>
      <c r="E21" s="96"/>
      <c r="F21" s="31">
        <f>IF(OR(F8="",F12="",F15="",F19=""),"",F8+F12+F15+F19)</f>
        <v>4</v>
      </c>
    </row>
    <row r="22" spans="2:6" x14ac:dyDescent="0.4">
      <c r="B22" s="30"/>
      <c r="C22" s="30"/>
      <c r="D22" s="30"/>
      <c r="E22" s="30"/>
      <c r="F22" s="30"/>
    </row>
    <row r="23" spans="2:6" ht="28.05" customHeight="1" x14ac:dyDescent="0.4">
      <c r="B23" s="110" t="s">
        <v>420</v>
      </c>
      <c r="C23" s="110"/>
      <c r="D23" s="110"/>
      <c r="E23" s="110"/>
      <c r="F23" s="110"/>
    </row>
    <row r="24" spans="2:6" x14ac:dyDescent="0.4">
      <c r="B24" s="30"/>
      <c r="C24" s="30"/>
      <c r="D24" s="30"/>
      <c r="E24" s="30"/>
      <c r="F24" s="30"/>
    </row>
    <row r="25" spans="2:6" x14ac:dyDescent="0.4">
      <c r="B25" s="133" t="str">
        <f>"업체명: "&amp;IFERROR(IF(INDEX(기초자료입력!$B$44:$B$53,$I$3)=0,"",INDEX(기초자료입력!$B$44:$B$53,$I$3)),"")&amp;"     작성자:                         대표자: "&amp;IFERROR(IF(INDEX(기초자료입력!$S$44:$S$53,$I$3)="","",INDEX(기초자료입력!$S$44:$S$53,$I$3)),"")&amp;"          (인)"</f>
        <v>업체명: 스마트     작성자:                         대표자: 상상로          (인)</v>
      </c>
      <c r="C25" s="133"/>
      <c r="D25" s="133"/>
      <c r="E25" s="133"/>
      <c r="F25" s="133"/>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64AAA-B5A8-4C73-9A52-5F1FF00BD311}">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8"/>
    </row>
    <row r="2" spans="1:14" ht="10.050000000000001" customHeight="1" x14ac:dyDescent="0.4">
      <c r="N2" s="35" t="s">
        <v>335</v>
      </c>
    </row>
    <row r="3" spans="1:14" ht="30" customHeight="1" x14ac:dyDescent="0.4">
      <c r="B3" s="140" t="s">
        <v>421</v>
      </c>
      <c r="C3" s="135"/>
      <c r="D3" s="135"/>
      <c r="E3" s="135"/>
      <c r="F3" s="135"/>
      <c r="G3" s="135"/>
      <c r="H3" s="135"/>
      <c r="I3" s="135"/>
      <c r="J3" s="135"/>
      <c r="K3" s="135" t="s">
        <v>422</v>
      </c>
      <c r="L3" s="135"/>
      <c r="N3">
        <v>1</v>
      </c>
    </row>
    <row r="4" spans="1:14" ht="24" customHeight="1" x14ac:dyDescent="0.4">
      <c r="B4" s="135"/>
      <c r="C4" s="135"/>
      <c r="D4" s="135"/>
      <c r="E4" s="135"/>
      <c r="F4" s="135"/>
      <c r="G4" s="135"/>
      <c r="H4" s="135"/>
      <c r="I4" s="135"/>
      <c r="J4" s="135"/>
      <c r="K4" s="135"/>
      <c r="L4" s="135"/>
    </row>
    <row r="5" spans="1:14" x14ac:dyDescent="0.4">
      <c r="B5" s="30"/>
      <c r="C5" s="30"/>
      <c r="D5" s="30"/>
      <c r="E5" s="30"/>
      <c r="F5" s="30"/>
      <c r="G5" s="30"/>
      <c r="H5" s="30"/>
      <c r="I5" s="30"/>
      <c r="J5" s="30"/>
      <c r="K5" s="30"/>
      <c r="L5" s="30"/>
    </row>
    <row r="6" spans="1:14" ht="22.95" customHeight="1" x14ac:dyDescent="0.4">
      <c r="B6" s="135" t="s">
        <v>423</v>
      </c>
      <c r="C6" s="135"/>
      <c r="D6" s="135" t="s">
        <v>424</v>
      </c>
      <c r="E6" s="119"/>
      <c r="F6" s="119" t="str">
        <f>IFERROR(IF(INDEX(기초자료입력!$B$44:$B$53,$N$3)=0,"",INDEX(기초자료입력!$B$44:$B$53,$N$3)),"")</f>
        <v>스마트</v>
      </c>
      <c r="G6" s="119"/>
      <c r="H6" s="119"/>
      <c r="I6" s="28" t="s">
        <v>425</v>
      </c>
      <c r="J6" s="119"/>
      <c r="K6" s="119"/>
      <c r="L6" s="119"/>
    </row>
    <row r="7" spans="1:14" ht="22.95" customHeight="1" x14ac:dyDescent="0.4">
      <c r="B7" s="135"/>
      <c r="C7" s="135"/>
      <c r="D7" s="119" t="s">
        <v>426</v>
      </c>
      <c r="E7" s="119"/>
      <c r="F7" s="119"/>
      <c r="G7" s="119"/>
      <c r="H7" s="119"/>
      <c r="I7" s="28" t="s">
        <v>427</v>
      </c>
      <c r="J7" s="119"/>
      <c r="K7" s="119"/>
      <c r="L7" s="119"/>
    </row>
    <row r="8" spans="1:14" ht="22.95" customHeight="1" x14ac:dyDescent="0.4">
      <c r="B8" s="135"/>
      <c r="C8" s="135"/>
      <c r="D8" s="119" t="s">
        <v>377</v>
      </c>
      <c r="E8" s="119"/>
      <c r="F8" s="119" t="str">
        <f>IFERROR(IF(INDEX(기초자료입력!$S$44:$S$53,$N$3)="","",INDEX(기초자료입력!$S$44:$S$53,$N$3)),"")</f>
        <v>상상로</v>
      </c>
      <c r="G8" s="119"/>
      <c r="H8" s="119"/>
      <c r="I8" s="28" t="s">
        <v>428</v>
      </c>
      <c r="J8" s="119"/>
      <c r="K8" s="119"/>
      <c r="L8" s="119"/>
    </row>
    <row r="9" spans="1:14" ht="22.95" customHeight="1" x14ac:dyDescent="0.4">
      <c r="B9" s="46"/>
      <c r="C9" s="46"/>
      <c r="D9" s="46"/>
      <c r="E9" s="46"/>
      <c r="F9" s="46"/>
      <c r="G9" s="46"/>
      <c r="H9" s="46"/>
      <c r="I9" s="46"/>
      <c r="J9" s="46"/>
      <c r="K9" s="46"/>
      <c r="L9" s="46"/>
    </row>
    <row r="10" spans="1:14" ht="22.95" customHeight="1" x14ac:dyDescent="0.4">
      <c r="B10" s="135" t="s">
        <v>429</v>
      </c>
      <c r="C10" s="135"/>
      <c r="D10" s="135" t="s">
        <v>430</v>
      </c>
      <c r="E10" s="119"/>
      <c r="F10" s="119" t="str">
        <f>IF(기초자료입력!$C$4="","",기초자료입력!$C$4&amp;" 공고 제20○○-00호")</f>
        <v>전주고 공고 제20○○-00호</v>
      </c>
      <c r="G10" s="119"/>
      <c r="H10" s="119"/>
      <c r="I10" s="28" t="s">
        <v>431</v>
      </c>
      <c r="J10" s="119"/>
      <c r="K10" s="119"/>
      <c r="L10" s="119"/>
    </row>
    <row r="11" spans="1:14" ht="22.95" customHeight="1" x14ac:dyDescent="0.4">
      <c r="B11" s="135"/>
      <c r="C11" s="135"/>
      <c r="D11" s="119" t="s">
        <v>432</v>
      </c>
      <c r="E11" s="119"/>
      <c r="F11" s="119" t="str">
        <f>IF(OR(기초자료입력!$C$4="",기초자료입력!$C$5=""),"",기초자료입력!$C$4&amp;" "&amp;기초자료입력!$C$5&amp;"학년도 교복 학교주관 구매 입찰")</f>
        <v>전주고 2026학년도 교복 학교주관 구매 입찰</v>
      </c>
      <c r="G11" s="119"/>
      <c r="H11" s="119"/>
      <c r="I11" s="119"/>
      <c r="J11" s="119"/>
      <c r="K11" s="119"/>
      <c r="L11" s="119"/>
    </row>
    <row r="12" spans="1:14" x14ac:dyDescent="0.4">
      <c r="B12" s="46"/>
      <c r="C12" s="46"/>
      <c r="D12" s="46"/>
      <c r="E12" s="46"/>
      <c r="F12" s="46"/>
      <c r="G12" s="46"/>
      <c r="H12" s="46"/>
      <c r="I12" s="46"/>
      <c r="J12" s="46"/>
      <c r="K12" s="46"/>
      <c r="L12" s="46"/>
    </row>
    <row r="13" spans="1:14" ht="40.049999999999997" customHeight="1" x14ac:dyDescent="0.4">
      <c r="B13" s="119" t="s">
        <v>433</v>
      </c>
      <c r="C13" s="119"/>
      <c r="D13" s="135" t="s">
        <v>434</v>
      </c>
      <c r="E13" s="135"/>
      <c r="F13" s="135"/>
      <c r="G13" s="135"/>
      <c r="H13" s="135"/>
      <c r="I13" s="135"/>
      <c r="J13" s="135"/>
      <c r="K13" s="135"/>
      <c r="L13" s="135"/>
    </row>
    <row r="14" spans="1:14" x14ac:dyDescent="0.4">
      <c r="B14" s="46"/>
      <c r="C14" s="46"/>
      <c r="D14" s="46"/>
      <c r="E14" s="46"/>
      <c r="F14" s="46"/>
      <c r="G14" s="46"/>
      <c r="H14" s="46"/>
      <c r="I14" s="46"/>
      <c r="J14" s="46"/>
      <c r="K14" s="46"/>
      <c r="L14" s="46"/>
    </row>
    <row r="15" spans="1:14" ht="22.05" customHeight="1" x14ac:dyDescent="0.4">
      <c r="B15" s="135" t="s">
        <v>435</v>
      </c>
      <c r="C15" s="135"/>
      <c r="D15" s="135" t="s">
        <v>436</v>
      </c>
      <c r="E15" s="135"/>
      <c r="F15" s="135"/>
      <c r="G15" s="135"/>
      <c r="H15" s="135"/>
      <c r="I15" s="135" t="s">
        <v>437</v>
      </c>
      <c r="J15" s="135"/>
      <c r="K15" s="135"/>
      <c r="L15" s="135"/>
    </row>
    <row r="16" spans="1:14" ht="22.05" customHeight="1" x14ac:dyDescent="0.4">
      <c r="B16" s="135"/>
      <c r="C16" s="135"/>
      <c r="D16" s="135"/>
      <c r="E16" s="135"/>
      <c r="F16" s="135"/>
      <c r="G16" s="135"/>
      <c r="H16" s="135"/>
      <c r="I16" s="135"/>
      <c r="J16" s="135"/>
      <c r="K16" s="135"/>
      <c r="L16" s="135"/>
    </row>
    <row r="17" spans="2:12" ht="22.05" customHeight="1" x14ac:dyDescent="0.4">
      <c r="B17" s="135"/>
      <c r="C17" s="135"/>
      <c r="D17" s="135"/>
      <c r="E17" s="135"/>
      <c r="F17" s="135"/>
      <c r="G17" s="135"/>
      <c r="H17" s="135"/>
      <c r="I17" s="135"/>
      <c r="J17" s="135"/>
      <c r="K17" s="135"/>
      <c r="L17" s="135"/>
    </row>
    <row r="18" spans="2:12" ht="22.05" customHeight="1" x14ac:dyDescent="0.4">
      <c r="B18" s="135"/>
      <c r="C18" s="135"/>
      <c r="D18" s="135"/>
      <c r="E18" s="135"/>
      <c r="F18" s="135"/>
      <c r="G18" s="135"/>
      <c r="H18" s="135"/>
      <c r="I18" s="135"/>
      <c r="J18" s="135"/>
      <c r="K18" s="135"/>
      <c r="L18" s="135"/>
    </row>
    <row r="19" spans="2:12" x14ac:dyDescent="0.4">
      <c r="B19" s="30"/>
      <c r="C19" s="30"/>
      <c r="D19" s="30"/>
      <c r="E19" s="30"/>
      <c r="F19" s="30"/>
      <c r="G19" s="30"/>
      <c r="H19" s="30"/>
      <c r="I19" s="30"/>
      <c r="J19" s="30"/>
      <c r="K19" s="30"/>
      <c r="L19" s="30"/>
    </row>
    <row r="20" spans="2:12" ht="42" customHeight="1" x14ac:dyDescent="0.4">
      <c r="B20" s="11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10"/>
      <c r="D20" s="110"/>
      <c r="E20" s="110"/>
      <c r="F20" s="110"/>
      <c r="G20" s="110"/>
      <c r="H20" s="110"/>
      <c r="I20" s="110"/>
      <c r="J20" s="110"/>
      <c r="K20" s="110"/>
      <c r="L20" s="110"/>
    </row>
    <row r="21" spans="2:12" x14ac:dyDescent="0.4">
      <c r="B21" s="133" t="s">
        <v>438</v>
      </c>
      <c r="C21" s="133"/>
      <c r="D21" s="133"/>
      <c r="E21" s="133"/>
      <c r="F21" s="133"/>
      <c r="G21" s="133"/>
      <c r="H21" s="133"/>
      <c r="I21" s="133"/>
      <c r="J21" s="133"/>
      <c r="K21" s="133"/>
      <c r="L21" s="133"/>
    </row>
    <row r="22" spans="2:12" x14ac:dyDescent="0.4">
      <c r="B22" s="30"/>
      <c r="C22" s="30"/>
      <c r="D22" s="30"/>
      <c r="E22" s="30"/>
      <c r="F22" s="30"/>
      <c r="G22" s="30"/>
      <c r="H22" s="30"/>
      <c r="I22" s="30"/>
      <c r="J22" s="30"/>
      <c r="K22" s="30"/>
      <c r="L22" s="30"/>
    </row>
    <row r="23" spans="2:12" x14ac:dyDescent="0.4">
      <c r="B23" s="133" t="str">
        <f>IF(OR(기초자료입력!$C$4="",기초자료입력!$C$5=""),"","20"&amp;RIGHT(기초자료입력!$C$5,2)&amp;". . .")</f>
        <v>2026. . .</v>
      </c>
      <c r="C23" s="133"/>
      <c r="D23" s="133"/>
      <c r="E23" s="133"/>
      <c r="F23" s="133"/>
      <c r="G23" s="133"/>
      <c r="H23" s="133"/>
      <c r="I23" s="133"/>
      <c r="J23" s="133"/>
      <c r="K23" s="133"/>
      <c r="L23" s="133"/>
    </row>
    <row r="24" spans="2:12" x14ac:dyDescent="0.4">
      <c r="B24" s="133" t="str">
        <f>"업체명: "&amp;IFERROR(IF(INDEX(기초자료입력!$B$44:$B$53,$N$3)=0,"",INDEX(기초자료입력!$B$44:$B$53,$N$3)),"")&amp;"                 대표자: "&amp;IFERROR(IF(INDEX(기초자료입력!$S$44:$S$53,$N$3)="","",INDEX(기초자료입력!$S$44:$S$53,$N$3)),"")&amp;"          (인)"</f>
        <v>업체명: 스마트                 대표자: 상상로          (인)</v>
      </c>
      <c r="C24" s="133"/>
      <c r="D24" s="133"/>
      <c r="E24" s="133"/>
      <c r="F24" s="133"/>
      <c r="G24" s="133"/>
      <c r="H24" s="133"/>
      <c r="I24" s="133"/>
      <c r="J24" s="133"/>
      <c r="K24" s="133"/>
      <c r="L24" s="133"/>
    </row>
    <row r="25" spans="2:12" x14ac:dyDescent="0.4">
      <c r="B25" s="133" t="str">
        <f>IF(기초자료입력!$C$4="","○○○○학교장 귀하",기초자료입력!$C$4&amp;"장 귀하")</f>
        <v>전주고장 귀하</v>
      </c>
      <c r="C25" s="133"/>
      <c r="D25" s="133"/>
      <c r="E25" s="133"/>
      <c r="F25" s="133"/>
      <c r="G25" s="133"/>
      <c r="H25" s="133"/>
      <c r="I25" s="133"/>
      <c r="J25" s="133"/>
      <c r="K25" s="133"/>
      <c r="L25" s="133"/>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6" type="noConversion"/>
  <printOptions horizontalCentered="1" vertic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C35F1-1D2C-4C2E-BBD4-A7E1978A7306}">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8"/>
    </row>
    <row r="2" spans="1:7" ht="10.050000000000001" customHeight="1" x14ac:dyDescent="0.4">
      <c r="G2" s="35" t="s">
        <v>335</v>
      </c>
    </row>
    <row r="3" spans="1:7" ht="22.05" customHeight="1" x14ac:dyDescent="0.4">
      <c r="B3" s="114" t="s">
        <v>439</v>
      </c>
      <c r="C3" s="141"/>
      <c r="D3" s="141"/>
      <c r="E3" s="141"/>
      <c r="G3">
        <v>1</v>
      </c>
    </row>
    <row r="4" spans="1:7" ht="22.05" customHeight="1" x14ac:dyDescent="0.4">
      <c r="B4" s="141"/>
      <c r="C4" s="141"/>
      <c r="D4" s="141"/>
      <c r="E4" s="141"/>
    </row>
    <row r="5" spans="1:7" ht="28.05" customHeight="1" x14ac:dyDescent="0.4">
      <c r="B5" s="118" t="s">
        <v>440</v>
      </c>
      <c r="C5" s="118"/>
      <c r="D5" s="118"/>
      <c r="E5" s="118"/>
    </row>
    <row r="6" spans="1:7" ht="7.95" customHeight="1" x14ac:dyDescent="0.4">
      <c r="B6" s="19"/>
      <c r="C6" s="19"/>
      <c r="D6" s="19"/>
      <c r="E6" s="19"/>
    </row>
    <row r="7" spans="1:7" ht="19.95" customHeight="1" x14ac:dyDescent="0.4">
      <c r="B7" s="47" t="s">
        <v>441</v>
      </c>
      <c r="C7" s="142" t="str">
        <f>IFERROR(IF(INDEX(기초자료입력!$B$44:$B$53,$G$3)=0,"",INDEX(기초자료입력!$B$44:$B$53,$G$3)),"")</f>
        <v>스마트</v>
      </c>
      <c r="D7" s="142"/>
      <c r="E7" s="142"/>
    </row>
    <row r="8" spans="1:7" ht="19.95" customHeight="1" x14ac:dyDescent="0.4">
      <c r="B8" s="47" t="s">
        <v>442</v>
      </c>
      <c r="C8" s="142"/>
      <c r="D8" s="142"/>
      <c r="E8" s="142"/>
    </row>
    <row r="9" spans="1:7" ht="19.95" customHeight="1" x14ac:dyDescent="0.4">
      <c r="B9" s="47" t="s">
        <v>443</v>
      </c>
      <c r="C9" s="142"/>
      <c r="D9" s="142"/>
      <c r="E9" s="142"/>
    </row>
    <row r="10" spans="1:7" ht="7.95" customHeight="1" x14ac:dyDescent="0.4">
      <c r="B10" s="19"/>
      <c r="C10" s="19"/>
      <c r="D10" s="19"/>
      <c r="E10" s="19"/>
    </row>
    <row r="11" spans="1:7" ht="18" customHeight="1" x14ac:dyDescent="0.4">
      <c r="B11" s="11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전주고(주소지 전북 )가 시행하는 교복 ‘학교주관구매’가 원만히 추진될 수 있도록 20○○.00.00. 일자로 공고한 입찰에 참가하기에 신고합니다.</v>
      </c>
      <c r="C11" s="118"/>
      <c r="D11" s="118"/>
      <c r="E11" s="118"/>
    </row>
    <row r="12" spans="1:7" ht="18" customHeight="1" x14ac:dyDescent="0.4">
      <c r="B12" s="118"/>
      <c r="C12" s="118"/>
      <c r="D12" s="118"/>
      <c r="E12" s="118"/>
    </row>
    <row r="13" spans="1:7" ht="18" customHeight="1" x14ac:dyDescent="0.4">
      <c r="B13" s="118"/>
      <c r="C13" s="118"/>
      <c r="D13" s="118"/>
      <c r="E13" s="118"/>
    </row>
    <row r="14" spans="1:7" ht="7.95" customHeight="1" x14ac:dyDescent="0.4">
      <c r="B14" s="48"/>
      <c r="C14" s="48"/>
      <c r="D14" s="48"/>
      <c r="E14" s="48"/>
    </row>
    <row r="15" spans="1:7" ht="22.05" customHeight="1" x14ac:dyDescent="0.4">
      <c r="B15" s="118" t="s">
        <v>444</v>
      </c>
      <c r="C15" s="118"/>
      <c r="D15" s="118"/>
      <c r="E15" s="118"/>
    </row>
    <row r="16" spans="1:7" ht="22.05" customHeight="1" x14ac:dyDescent="0.4">
      <c r="B16" s="118"/>
      <c r="C16" s="118"/>
      <c r="D16" s="118"/>
      <c r="E16" s="118"/>
    </row>
    <row r="17" spans="2:5" ht="7.95" customHeight="1" x14ac:dyDescent="0.4">
      <c r="B17" s="19"/>
      <c r="C17" s="19"/>
      <c r="D17" s="19"/>
      <c r="E17" s="19"/>
    </row>
    <row r="18" spans="2:5" ht="19.95" customHeight="1" x14ac:dyDescent="0.4">
      <c r="B18" s="141" t="str">
        <f>IF(기초자료입력!$C$5="","20○○. ○○. ○○","20"&amp;RIGHT(기초자료입력!$C$5,2)&amp;". ○○. ○○")</f>
        <v>2026. ○○. ○○</v>
      </c>
      <c r="C18" s="141"/>
      <c r="D18" s="141"/>
      <c r="E18" s="141"/>
    </row>
    <row r="19" spans="2:5" ht="19.95" customHeight="1" x14ac:dyDescent="0.4">
      <c r="B19" s="141" t="s">
        <v>445</v>
      </c>
      <c r="C19" s="141"/>
      <c r="D19" s="141"/>
      <c r="E19" s="141"/>
    </row>
    <row r="20" spans="2:5" ht="19.95" customHeight="1" x14ac:dyDescent="0.4">
      <c r="B20" s="141" t="str">
        <f>IF(기초자료입력!$C$4="","○○○○학교장 귀하",기초자료입력!$C$4&amp;"장 귀하")</f>
        <v>전주고장 귀하</v>
      </c>
      <c r="C20" s="141"/>
      <c r="D20" s="141"/>
      <c r="E20" s="141"/>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1FD36-02C1-4812-873F-74D4AA7E9C6D}">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44" t="s">
        <v>446</v>
      </c>
      <c r="C1" s="145"/>
      <c r="D1" s="145"/>
      <c r="E1" s="145"/>
    </row>
    <row r="2" spans="2:7" ht="7.95" customHeight="1" x14ac:dyDescent="0.4">
      <c r="G2" s="35" t="s">
        <v>335</v>
      </c>
    </row>
    <row r="3" spans="2:7" ht="25.05" customHeight="1" x14ac:dyDescent="0.4">
      <c r="B3" s="146" t="str">
        <f>IF(기초자료입력!$C$5="","20○○학년도","20"&amp;RIGHT(기초자료입력!$C$5,2)&amp;"학년도")&amp;" "&amp;IF(기초자료입력!$C$4="","○○○○학교",기초자료입력!$C$4)&amp;" 교복(동·하복) 납품 제안서"</f>
        <v>2026학년도 전주고 교복(동·하복) 납품 제안서</v>
      </c>
      <c r="C3" s="147"/>
      <c r="D3" s="147"/>
      <c r="E3" s="147"/>
      <c r="G3">
        <v>1</v>
      </c>
    </row>
    <row r="4" spans="2:7" ht="25.05" customHeight="1" x14ac:dyDescent="0.4">
      <c r="B4" s="147"/>
      <c r="C4" s="147"/>
      <c r="D4" s="147"/>
      <c r="E4" s="147"/>
    </row>
    <row r="5" spans="2:7" ht="28.05" customHeight="1" x14ac:dyDescent="0.4">
      <c r="B5" s="138" t="s">
        <v>447</v>
      </c>
      <c r="C5" s="108"/>
      <c r="D5" s="108"/>
      <c r="E5" s="108"/>
    </row>
    <row r="6" spans="2:7" ht="6" customHeight="1" x14ac:dyDescent="0.4">
      <c r="B6" s="19"/>
      <c r="C6" s="19"/>
      <c r="D6" s="19"/>
      <c r="E6" s="19"/>
    </row>
    <row r="7" spans="2:7" ht="18" customHeight="1" x14ac:dyDescent="0.4">
      <c r="B7" s="143" t="s">
        <v>448</v>
      </c>
      <c r="C7" s="142"/>
      <c r="D7" s="142"/>
      <c r="E7" s="142"/>
    </row>
    <row r="8" spans="2:7" ht="18" customHeight="1" x14ac:dyDescent="0.4">
      <c r="B8" s="47" t="s">
        <v>449</v>
      </c>
      <c r="C8" s="142" t="str">
        <f>IFERROR(IF(INDEX(기초자료입력!$B$44:$B$53,$G$3)=0,"",INDEX(기초자료입력!$B$44:$B$53,$G$3)),"")</f>
        <v>스마트</v>
      </c>
      <c r="D8" s="142"/>
      <c r="E8" s="142"/>
    </row>
    <row r="9" spans="2:7" ht="18" customHeight="1" x14ac:dyDescent="0.4">
      <c r="B9" s="47" t="s">
        <v>377</v>
      </c>
      <c r="C9" s="142" t="str">
        <f>IFERROR(IF(INDEX(기초자료입력!$S$44:$S$53,$G$3)="","",INDEX(기초자료입력!$S$44:$S$53,$G$3)),"")</f>
        <v>상상로</v>
      </c>
      <c r="D9" s="142"/>
      <c r="E9" s="142"/>
    </row>
    <row r="10" spans="2:7" ht="18" customHeight="1" x14ac:dyDescent="0.4">
      <c r="B10" s="47" t="s">
        <v>450</v>
      </c>
      <c r="C10" s="142"/>
      <c r="D10" s="142"/>
      <c r="E10" s="142"/>
    </row>
    <row r="11" spans="2:7" ht="18" customHeight="1" x14ac:dyDescent="0.4">
      <c r="B11" s="47" t="s">
        <v>308</v>
      </c>
      <c r="C11" s="142"/>
      <c r="D11" s="142"/>
      <c r="E11" s="142"/>
    </row>
    <row r="12" spans="2:7" ht="18" customHeight="1" x14ac:dyDescent="0.4">
      <c r="B12" s="47" t="s">
        <v>378</v>
      </c>
      <c r="C12" s="142" t="str">
        <f>"전화: "&amp;IFERROR(IF(INDEX(기초자료입력!$X$44:$X$53,$G$3)="","",INDEX(기초자료입력!$X$44:$X$53,$G$3)),"")&amp;"                         FAX:"</f>
        <v>전화:                          FAX:</v>
      </c>
      <c r="D12" s="142"/>
      <c r="E12" s="142"/>
    </row>
    <row r="13" spans="2:7" ht="18" customHeight="1" x14ac:dyDescent="0.4">
      <c r="B13" s="47" t="s">
        <v>451</v>
      </c>
      <c r="C13" s="142"/>
      <c r="D13" s="142"/>
      <c r="E13" s="142"/>
    </row>
    <row r="14" spans="2:7" ht="18" customHeight="1" x14ac:dyDescent="0.4">
      <c r="B14" s="47" t="s">
        <v>452</v>
      </c>
      <c r="C14" s="142"/>
      <c r="D14" s="142"/>
      <c r="E14" s="142"/>
    </row>
    <row r="15" spans="2:7" ht="18" customHeight="1" x14ac:dyDescent="0.4">
      <c r="B15" s="47" t="s">
        <v>453</v>
      </c>
      <c r="C15" s="142"/>
      <c r="D15" s="142"/>
      <c r="E15" s="142"/>
    </row>
    <row r="16" spans="2:7" ht="24" customHeight="1" x14ac:dyDescent="0.4">
      <c r="B16" s="142" t="s">
        <v>454</v>
      </c>
      <c r="C16" s="142"/>
      <c r="D16" s="142"/>
      <c r="E16" s="142"/>
    </row>
    <row r="17" spans="2:5" ht="24" customHeight="1" x14ac:dyDescent="0.4">
      <c r="B17" s="142"/>
      <c r="C17" s="142"/>
      <c r="D17" s="142"/>
      <c r="E17" s="142"/>
    </row>
    <row r="18" spans="2:5" ht="6" customHeight="1" x14ac:dyDescent="0.4">
      <c r="B18" s="48"/>
      <c r="C18" s="48"/>
      <c r="D18" s="48"/>
      <c r="E18" s="48"/>
    </row>
    <row r="19" spans="2:5" ht="18" customHeight="1" x14ac:dyDescent="0.4">
      <c r="B19" s="143" t="s">
        <v>455</v>
      </c>
      <c r="C19" s="142"/>
      <c r="D19" s="142"/>
      <c r="E19" s="142"/>
    </row>
    <row r="20" spans="2:5" ht="16.05" customHeight="1" x14ac:dyDescent="0.4">
      <c r="B20" s="118" t="s">
        <v>456</v>
      </c>
      <c r="C20" s="118"/>
      <c r="D20" s="118"/>
      <c r="E20" s="118"/>
    </row>
    <row r="21" spans="2:5" ht="16.05" customHeight="1" x14ac:dyDescent="0.4">
      <c r="B21" s="118"/>
      <c r="C21" s="118"/>
      <c r="D21" s="118"/>
      <c r="E21" s="118"/>
    </row>
    <row r="22" spans="2:5" ht="16.05" customHeight="1" x14ac:dyDescent="0.4">
      <c r="B22" s="118"/>
      <c r="C22" s="118"/>
      <c r="D22" s="118"/>
      <c r="E22" s="118"/>
    </row>
    <row r="23" spans="2:5" ht="16.05" customHeight="1" x14ac:dyDescent="0.4">
      <c r="B23" s="118"/>
      <c r="C23" s="118"/>
      <c r="D23" s="118"/>
      <c r="E23" s="118"/>
    </row>
    <row r="24" spans="2:5" ht="16.05" customHeight="1" x14ac:dyDescent="0.4">
      <c r="B24" s="118"/>
      <c r="C24" s="118"/>
      <c r="D24" s="118"/>
      <c r="E24" s="118"/>
    </row>
    <row r="25" spans="2:5" ht="16.05" customHeight="1" x14ac:dyDescent="0.4">
      <c r="B25" s="118"/>
      <c r="C25" s="118"/>
      <c r="D25" s="118"/>
      <c r="E25" s="118"/>
    </row>
    <row r="26" spans="2:5" ht="16.05" customHeight="1" x14ac:dyDescent="0.4">
      <c r="B26" s="118"/>
      <c r="C26" s="118"/>
      <c r="D26" s="118"/>
      <c r="E26" s="118"/>
    </row>
    <row r="27" spans="2:5" ht="16.05" customHeight="1" x14ac:dyDescent="0.4">
      <c r="B27" s="118"/>
      <c r="C27" s="118"/>
      <c r="D27" s="118"/>
      <c r="E27" s="118"/>
    </row>
    <row r="28" spans="2:5" ht="6" customHeight="1" x14ac:dyDescent="0.4">
      <c r="B28" s="48"/>
      <c r="C28" s="48"/>
      <c r="D28" s="48"/>
      <c r="E28" s="48"/>
    </row>
    <row r="29" spans="2:5" ht="18" customHeight="1" x14ac:dyDescent="0.4">
      <c r="B29" s="141" t="str">
        <f>IF(기초자료입력!$C$5="","20○○. ○○. ○○","20"&amp;RIGHT(기초자료입력!$C$5,2)&amp;". ○○. ○○")</f>
        <v>2026. ○○. ○○</v>
      </c>
      <c r="C29" s="141"/>
      <c r="D29" s="141"/>
      <c r="E29" s="141"/>
    </row>
    <row r="30" spans="2:5" ht="18" customHeight="1" x14ac:dyDescent="0.4">
      <c r="B30" s="141" t="s">
        <v>457</v>
      </c>
      <c r="C30" s="141"/>
      <c r="D30" s="141"/>
      <c r="E30" s="141"/>
    </row>
    <row r="31" spans="2:5" ht="18" customHeight="1" x14ac:dyDescent="0.4">
      <c r="B31" s="141" t="str">
        <f>IF(기초자료입력!$C$4="","○○○○학교장 귀하",기초자료입력!$C$4&amp;"장 귀하")</f>
        <v>전주고장 귀하</v>
      </c>
      <c r="C31" s="141"/>
      <c r="D31" s="141"/>
      <c r="E31" s="141"/>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rintOptions horizontalCentered="1" vertic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76B86-4248-4AF8-BAE9-78BE21210B28}">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44" t="s">
        <v>458</v>
      </c>
      <c r="C1" s="145"/>
      <c r="D1" s="145"/>
      <c r="E1" s="145"/>
      <c r="F1" s="145"/>
      <c r="G1" s="145"/>
    </row>
    <row r="2" spans="2:9" ht="7.95" customHeight="1" x14ac:dyDescent="0.4">
      <c r="I2" s="35" t="s">
        <v>335</v>
      </c>
    </row>
    <row r="3" spans="2:9" ht="24" customHeight="1" x14ac:dyDescent="0.4">
      <c r="B3" s="114" t="s">
        <v>199</v>
      </c>
      <c r="C3" s="141"/>
      <c r="D3" s="141"/>
      <c r="E3" s="141"/>
      <c r="F3" s="141"/>
      <c r="G3" s="141"/>
      <c r="I3">
        <v>1</v>
      </c>
    </row>
    <row r="4" spans="2:9" ht="24" customHeight="1" x14ac:dyDescent="0.4">
      <c r="B4" s="141"/>
      <c r="C4" s="141"/>
      <c r="D4" s="141"/>
      <c r="E4" s="141"/>
      <c r="F4" s="141"/>
      <c r="G4" s="141"/>
    </row>
    <row r="5" spans="2:9" ht="19.95" customHeight="1" x14ac:dyDescent="0.4">
      <c r="B5" s="141" t="str">
        <f>"(제안자: "&amp;IFERROR(IF(INDEX(기초자료입력!$B$44:$B$53,$I$3)=0,"",INDEX(기초자료입력!$B$44:$B$53,$I$3)),"")&amp;")"</f>
        <v>(제안자: 스마트)</v>
      </c>
      <c r="C5" s="141"/>
      <c r="D5" s="141"/>
      <c r="E5" s="141"/>
      <c r="F5" s="141"/>
      <c r="G5" s="141"/>
    </row>
    <row r="6" spans="2:9" ht="6" customHeight="1" x14ac:dyDescent="0.4">
      <c r="B6" s="48"/>
      <c r="C6" s="48"/>
      <c r="D6" s="48"/>
      <c r="E6" s="48"/>
      <c r="F6" s="48"/>
      <c r="G6" s="48"/>
    </row>
    <row r="7" spans="2:9" ht="19.95" customHeight="1" x14ac:dyDescent="0.4">
      <c r="B7" s="114" t="s">
        <v>459</v>
      </c>
      <c r="C7" s="141"/>
      <c r="D7" s="141"/>
      <c r="E7" s="141"/>
      <c r="F7" s="141"/>
      <c r="G7" s="141"/>
    </row>
    <row r="8" spans="2:9" ht="6" customHeight="1" x14ac:dyDescent="0.4">
      <c r="B8" s="48"/>
      <c r="C8" s="48"/>
      <c r="D8" s="48"/>
      <c r="E8" s="48"/>
      <c r="F8" s="48"/>
      <c r="G8" s="48"/>
    </row>
    <row r="9" spans="2:9" ht="30" customHeight="1" x14ac:dyDescent="0.4">
      <c r="B9" s="49" t="s">
        <v>85</v>
      </c>
      <c r="C9" s="49" t="s">
        <v>460</v>
      </c>
      <c r="D9" s="49" t="s">
        <v>461</v>
      </c>
      <c r="E9" s="49" t="s">
        <v>462</v>
      </c>
      <c r="F9" s="49" t="s">
        <v>463</v>
      </c>
      <c r="G9" s="49" t="s">
        <v>316</v>
      </c>
    </row>
    <row r="10" spans="2:9" ht="24" customHeight="1" x14ac:dyDescent="0.4">
      <c r="B10" s="50">
        <v>1</v>
      </c>
      <c r="C10" s="51"/>
      <c r="D10" s="51"/>
      <c r="E10" s="51"/>
      <c r="F10" s="51"/>
      <c r="G10" s="51"/>
    </row>
    <row r="11" spans="2:9" ht="24" customHeight="1" x14ac:dyDescent="0.4">
      <c r="B11" s="50">
        <v>2</v>
      </c>
      <c r="C11" s="51"/>
      <c r="D11" s="51"/>
      <c r="E11" s="51"/>
      <c r="F11" s="51"/>
      <c r="G11" s="51"/>
    </row>
    <row r="12" spans="2:9" ht="24" customHeight="1" x14ac:dyDescent="0.4">
      <c r="B12" s="50">
        <v>3</v>
      </c>
      <c r="C12" s="51"/>
      <c r="D12" s="51"/>
      <c r="E12" s="51"/>
      <c r="F12" s="51"/>
      <c r="G12" s="51"/>
    </row>
    <row r="13" spans="2:9" ht="24" customHeight="1" x14ac:dyDescent="0.4">
      <c r="B13" s="50">
        <v>4</v>
      </c>
      <c r="C13" s="51"/>
      <c r="D13" s="51"/>
      <c r="E13" s="51"/>
      <c r="F13" s="51"/>
      <c r="G13" s="51"/>
    </row>
    <row r="14" spans="2:9" ht="24" customHeight="1" x14ac:dyDescent="0.4">
      <c r="B14" s="50">
        <v>5</v>
      </c>
      <c r="C14" s="51"/>
      <c r="D14" s="51"/>
      <c r="E14" s="51"/>
      <c r="F14" s="51"/>
      <c r="G14" s="51"/>
    </row>
    <row r="15" spans="2:9" ht="24" customHeight="1" x14ac:dyDescent="0.4">
      <c r="B15" s="50">
        <v>6</v>
      </c>
      <c r="C15" s="51"/>
      <c r="D15" s="51"/>
      <c r="E15" s="51"/>
      <c r="F15" s="51"/>
      <c r="G15" s="51"/>
    </row>
    <row r="16" spans="2:9" ht="24" customHeight="1" x14ac:dyDescent="0.4">
      <c r="B16" s="50">
        <v>7</v>
      </c>
      <c r="C16" s="51"/>
      <c r="D16" s="51"/>
      <c r="E16" s="51"/>
      <c r="F16" s="51"/>
      <c r="G16" s="51"/>
    </row>
    <row r="17" spans="2:7" ht="24" customHeight="1" x14ac:dyDescent="0.4">
      <c r="B17" s="50">
        <v>8</v>
      </c>
      <c r="C17" s="51"/>
      <c r="D17" s="51"/>
      <c r="E17" s="51"/>
      <c r="F17" s="51"/>
      <c r="G17" s="51"/>
    </row>
    <row r="18" spans="2:7" ht="24" customHeight="1" x14ac:dyDescent="0.4">
      <c r="B18" s="50">
        <v>9</v>
      </c>
      <c r="C18" s="51"/>
      <c r="D18" s="51"/>
      <c r="E18" s="51"/>
      <c r="F18" s="51"/>
      <c r="G18" s="51"/>
    </row>
    <row r="19" spans="2:7" ht="6" customHeight="1" x14ac:dyDescent="0.4">
      <c r="B19" s="48"/>
      <c r="C19" s="48"/>
      <c r="D19" s="48"/>
      <c r="E19" s="48"/>
      <c r="F19" s="48"/>
      <c r="G19" s="48"/>
    </row>
    <row r="20" spans="2:7" ht="18" customHeight="1" x14ac:dyDescent="0.4">
      <c r="B20" s="142" t="s">
        <v>464</v>
      </c>
      <c r="C20" s="142"/>
      <c r="D20" s="142"/>
      <c r="E20" s="142"/>
      <c r="F20" s="142"/>
      <c r="G20" s="142"/>
    </row>
    <row r="21" spans="2:7" ht="18" customHeight="1" x14ac:dyDescent="0.4">
      <c r="B21" s="142" t="s">
        <v>465</v>
      </c>
      <c r="C21" s="142"/>
      <c r="D21" s="142"/>
      <c r="E21" s="142"/>
      <c r="F21" s="142"/>
      <c r="G21" s="142"/>
    </row>
    <row r="22" spans="2:7" ht="7.95" customHeight="1" x14ac:dyDescent="0.4">
      <c r="B22" s="48"/>
      <c r="C22" s="48"/>
      <c r="D22" s="48"/>
      <c r="E22" s="48"/>
      <c r="F22" s="48"/>
      <c r="G22" s="48"/>
    </row>
    <row r="23" spans="2:7" ht="18" customHeight="1" x14ac:dyDescent="0.4">
      <c r="B23" s="141" t="str">
        <f>IF(기초자료입력!$C$5="","20○○.  .  .","20"&amp;RIGHT(기초자료입력!$C$5,2)&amp;".  .  .")</f>
        <v>2026.  .  .</v>
      </c>
      <c r="C23" s="141"/>
      <c r="D23" s="141"/>
      <c r="E23" s="141"/>
      <c r="F23" s="141"/>
      <c r="G23" s="141"/>
    </row>
    <row r="24" spans="2:7" ht="18" customHeight="1" x14ac:dyDescent="0.4">
      <c r="B24" s="141" t="s">
        <v>466</v>
      </c>
      <c r="C24" s="141"/>
      <c r="D24" s="141"/>
      <c r="E24" s="141"/>
      <c r="F24" s="141"/>
      <c r="G24" s="141"/>
    </row>
    <row r="25" spans="2:7" ht="18" customHeight="1" x14ac:dyDescent="0.4">
      <c r="B25" s="141" t="str">
        <f>IF(기초자료입력!$C$4="","○○○○학교장 귀하",기초자료입력!$C$4&amp;"장 귀하")</f>
        <v>전주고장 귀하</v>
      </c>
      <c r="C25" s="141"/>
      <c r="D25" s="141"/>
      <c r="E25" s="141"/>
      <c r="F25" s="141"/>
      <c r="G25" s="141"/>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vertic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CAA9A-F018-46F6-86EC-BFB7D658DFA3}">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44" t="s">
        <v>467</v>
      </c>
      <c r="C1" s="145"/>
      <c r="D1" s="145"/>
      <c r="E1" s="145"/>
    </row>
    <row r="2" spans="2:7" ht="7.95" customHeight="1" x14ac:dyDescent="0.4">
      <c r="G2" s="35" t="s">
        <v>335</v>
      </c>
    </row>
    <row r="3" spans="2:7" ht="24" customHeight="1" x14ac:dyDescent="0.4">
      <c r="B3" s="114" t="s">
        <v>468</v>
      </c>
      <c r="C3" s="141"/>
      <c r="D3" s="141"/>
      <c r="E3" s="141"/>
      <c r="G3">
        <v>1</v>
      </c>
    </row>
    <row r="4" spans="2:7" ht="24" customHeight="1" x14ac:dyDescent="0.4">
      <c r="B4" s="141"/>
      <c r="C4" s="141"/>
      <c r="D4" s="141"/>
      <c r="E4" s="141"/>
    </row>
    <row r="5" spans="2:7" ht="19.95" customHeight="1" x14ac:dyDescent="0.4">
      <c r="B5" s="141" t="str">
        <f>"(제안자: "&amp;IFERROR(IF(INDEX(기초자료입력!$B$44:$B$53,$G$3)=0,"",INDEX(기초자료입력!$B$44:$B$53,$G$3)),"")&amp;")"</f>
        <v>(제안자: 스마트)</v>
      </c>
      <c r="C5" s="141"/>
      <c r="D5" s="141"/>
      <c r="E5" s="141"/>
    </row>
    <row r="6" spans="2:7" ht="16.05" customHeight="1" x14ac:dyDescent="0.4">
      <c r="B6" s="141" t="s">
        <v>469</v>
      </c>
      <c r="C6" s="141"/>
      <c r="D6" s="141"/>
      <c r="E6" s="141"/>
    </row>
    <row r="7" spans="2:7" ht="18" customHeight="1" x14ac:dyDescent="0.4">
      <c r="B7" s="143" t="s">
        <v>470</v>
      </c>
      <c r="C7" s="142"/>
      <c r="D7" s="142"/>
      <c r="E7" s="142"/>
    </row>
    <row r="8" spans="2:7" ht="6" customHeight="1" x14ac:dyDescent="0.4">
      <c r="B8" s="48"/>
      <c r="C8" s="48"/>
      <c r="D8" s="48"/>
      <c r="E8" s="48"/>
    </row>
    <row r="9" spans="2:7" ht="22.05" customHeight="1" x14ac:dyDescent="0.4">
      <c r="B9" s="49" t="s">
        <v>326</v>
      </c>
      <c r="C9" s="49" t="s">
        <v>471</v>
      </c>
      <c r="D9" s="49" t="s">
        <v>472</v>
      </c>
      <c r="E9" s="49" t="s">
        <v>473</v>
      </c>
    </row>
    <row r="10" spans="2:7" ht="22.05" customHeight="1" x14ac:dyDescent="0.4">
      <c r="B10" s="141" t="s">
        <v>317</v>
      </c>
      <c r="C10" s="50" t="s">
        <v>474</v>
      </c>
      <c r="D10" s="50"/>
      <c r="E10" s="50"/>
    </row>
    <row r="11" spans="2:7" ht="22.05" customHeight="1" x14ac:dyDescent="0.4">
      <c r="B11" s="141"/>
      <c r="C11" s="50" t="s">
        <v>475</v>
      </c>
      <c r="D11" s="50"/>
      <c r="E11" s="50"/>
    </row>
    <row r="12" spans="2:7" ht="22.05" customHeight="1" x14ac:dyDescent="0.4">
      <c r="B12" s="141"/>
      <c r="C12" s="50" t="s">
        <v>476</v>
      </c>
      <c r="D12" s="50"/>
      <c r="E12" s="50"/>
    </row>
    <row r="13" spans="2:7" ht="22.05" customHeight="1" x14ac:dyDescent="0.4">
      <c r="B13" s="141"/>
      <c r="C13" s="50" t="s">
        <v>477</v>
      </c>
      <c r="D13" s="50"/>
      <c r="E13" s="50"/>
    </row>
    <row r="14" spans="2:7" ht="22.05" customHeight="1" x14ac:dyDescent="0.4">
      <c r="B14" s="141" t="s">
        <v>318</v>
      </c>
      <c r="C14" s="50" t="s">
        <v>478</v>
      </c>
      <c r="D14" s="50"/>
      <c r="E14" s="50"/>
    </row>
    <row r="15" spans="2:7" ht="22.05" customHeight="1" x14ac:dyDescent="0.4">
      <c r="B15" s="141"/>
      <c r="C15" s="50" t="s">
        <v>479</v>
      </c>
      <c r="D15" s="50"/>
      <c r="E15" s="50"/>
    </row>
    <row r="16" spans="2:7" ht="6" customHeight="1" x14ac:dyDescent="0.4">
      <c r="B16" s="48"/>
      <c r="C16" s="48"/>
      <c r="D16" s="48"/>
      <c r="E16" s="48"/>
    </row>
    <row r="17" spans="2:5" ht="19.95" customHeight="1" x14ac:dyDescent="0.4">
      <c r="B17" s="118" t="s">
        <v>480</v>
      </c>
      <c r="C17" s="118"/>
      <c r="D17" s="118"/>
      <c r="E17" s="118"/>
    </row>
    <row r="18" spans="2:5" ht="7.95" customHeight="1" x14ac:dyDescent="0.4">
      <c r="B18" s="48"/>
      <c r="C18" s="48"/>
      <c r="D18" s="48"/>
      <c r="E18" s="48"/>
    </row>
    <row r="19" spans="2:5" ht="18" customHeight="1" x14ac:dyDescent="0.4">
      <c r="B19" s="141" t="str">
        <f>IF(기초자료입력!$C$5="","20○○.  .  .","20"&amp;RIGHT(기초자료입력!$C$5,2)&amp;".  .  .")</f>
        <v>2026.  .  .</v>
      </c>
      <c r="C19" s="141"/>
      <c r="D19" s="141"/>
      <c r="E19" s="141"/>
    </row>
    <row r="20" spans="2:5" ht="18" customHeight="1" x14ac:dyDescent="0.4">
      <c r="B20" s="141" t="s">
        <v>466</v>
      </c>
      <c r="C20" s="141"/>
      <c r="D20" s="141"/>
      <c r="E20" s="141"/>
    </row>
    <row r="21" spans="2:5" ht="18" customHeight="1" x14ac:dyDescent="0.4">
      <c r="B21" s="141" t="str">
        <f>IF(기초자료입력!$C$4="","○○○○학교장 귀하",기초자료입력!$C$4&amp;"장 귀하")</f>
        <v>전주고장 귀하</v>
      </c>
      <c r="C21" s="141"/>
      <c r="D21" s="141"/>
      <c r="E21" s="141"/>
    </row>
  </sheetData>
  <mergeCells count="11">
    <mergeCell ref="B10:B13"/>
    <mergeCell ref="B1:E1"/>
    <mergeCell ref="B3:E4"/>
    <mergeCell ref="B5:E5"/>
    <mergeCell ref="B6:E6"/>
    <mergeCell ref="B7:E7"/>
    <mergeCell ref="B14:B15"/>
    <mergeCell ref="B17:E17"/>
    <mergeCell ref="B19:E19"/>
    <mergeCell ref="B20:E20"/>
    <mergeCell ref="B21:E21"/>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18E4F-60AD-4560-9806-A0F7B8EFFF48}">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8"/>
    </row>
    <row r="3" spans="1:7" ht="30" customHeight="1" x14ac:dyDescent="0.4">
      <c r="B3" s="115" t="s">
        <v>312</v>
      </c>
      <c r="C3" s="116"/>
      <c r="D3" s="116"/>
      <c r="E3" s="116"/>
      <c r="F3" s="116"/>
      <c r="G3" s="116"/>
    </row>
    <row r="4" spans="1:7" x14ac:dyDescent="0.4">
      <c r="B4" s="116" t="s">
        <v>313</v>
      </c>
      <c r="C4" s="116"/>
      <c r="D4" s="116"/>
      <c r="E4" s="116"/>
      <c r="F4" s="116"/>
      <c r="G4" s="116"/>
    </row>
    <row r="5" spans="1:7" x14ac:dyDescent="0.4">
      <c r="B5" s="19"/>
      <c r="C5" s="19"/>
      <c r="D5" s="19"/>
      <c r="E5" s="19"/>
      <c r="F5" s="19"/>
      <c r="G5" s="19"/>
    </row>
    <row r="6" spans="1:7" x14ac:dyDescent="0.4">
      <c r="B6" s="20" t="s">
        <v>86</v>
      </c>
      <c r="C6" s="20" t="str">
        <f>IF(기초자료입력!C4&lt;&gt;"",기초자료입력!C4,"")</f>
        <v>전주고</v>
      </c>
      <c r="D6" s="20" t="s">
        <v>87</v>
      </c>
      <c r="E6" s="20">
        <f>IF(기초자료입력!C5&lt;&gt;"",기초자료입력!C5,"")</f>
        <v>2026</v>
      </c>
      <c r="F6" s="20" t="s">
        <v>90</v>
      </c>
      <c r="G6" s="20" t="str">
        <f>IF(기초자료입력!C12&lt;&gt;"",기초자료입력!C12,"")</f>
        <v>전주고 교복구매건</v>
      </c>
    </row>
    <row r="7" spans="1:7" x14ac:dyDescent="0.4">
      <c r="B7" s="19"/>
      <c r="C7" s="19"/>
      <c r="D7" s="19"/>
      <c r="E7" s="19"/>
      <c r="F7" s="19"/>
      <c r="G7" s="19"/>
    </row>
    <row r="8" spans="1:7" x14ac:dyDescent="0.4">
      <c r="B8" s="114" t="s">
        <v>314</v>
      </c>
      <c r="C8" s="114"/>
      <c r="D8" s="26" t="s">
        <v>47</v>
      </c>
      <c r="E8" s="26" t="s">
        <v>315</v>
      </c>
      <c r="F8" s="114" t="s">
        <v>316</v>
      </c>
      <c r="G8" s="114"/>
    </row>
    <row r="9" spans="1:7" x14ac:dyDescent="0.4">
      <c r="B9" s="107" t="s">
        <v>317</v>
      </c>
      <c r="C9" s="20" t="str">
        <f>IF(기초자료입력!B29&lt;&gt;"",기초자료입력!B29,"후드 점퍼")</f>
        <v>상의</v>
      </c>
      <c r="D9" s="20">
        <f>IF(기초자료입력!C29&lt;&gt;"",기초자료입력!C29,1)</f>
        <v>200</v>
      </c>
      <c r="E9" s="20" t="str">
        <f>IF(SUM(기초자료입력!$D$29:$D$34)=0,"",TEXT(기초자료입력!D29/SUM(기초자료입력!$D$29:$D$34)*100,"0.0")&amp;"%")</f>
        <v>50.0%</v>
      </c>
      <c r="F9" s="118" t="s">
        <v>319</v>
      </c>
      <c r="G9" s="118"/>
    </row>
    <row r="10" spans="1:7" x14ac:dyDescent="0.4">
      <c r="B10" s="107"/>
      <c r="C10" s="20" t="str">
        <f>IF(기초자료입력!B30&lt;&gt;"",기초자료입력!B30,"집업티")</f>
        <v>하의</v>
      </c>
      <c r="D10" s="20">
        <f>IF(기초자료입력!C30&lt;&gt;"",기초자료입력!C30,1)</f>
        <v>200</v>
      </c>
      <c r="E10" s="20" t="str">
        <f>IF(SUM(기초자료입력!$D$29:$D$34)=0,"",TEXT(기초자료입력!D30/SUM(기초자료입력!$D$29:$D$34)*100,"0.0")&amp;"%")</f>
        <v>50.0%</v>
      </c>
      <c r="F10" s="118"/>
      <c r="G10" s="118"/>
    </row>
    <row r="11" spans="1:7" x14ac:dyDescent="0.4">
      <c r="B11" s="107"/>
      <c r="C11" s="20" t="str">
        <f>IF(기초자료입력!B31&lt;&gt;"",기초자료입력!B31,"맨투맨티")</f>
        <v>맨투맨티</v>
      </c>
      <c r="D11" s="20">
        <f>IF(기초자료입력!C31&lt;&gt;"",기초자료입력!C31,1)</f>
        <v>1</v>
      </c>
      <c r="E11" s="20" t="str">
        <f>IF(SUM(기초자료입력!$D$29:$D$34)=0,"",TEXT(기초자료입력!D31/SUM(기초자료입력!$D$29:$D$34)*100,"0.0")&amp;"%")</f>
        <v>0.0%</v>
      </c>
      <c r="F11" s="118"/>
      <c r="G11" s="118"/>
    </row>
    <row r="12" spans="1:7" x14ac:dyDescent="0.4">
      <c r="B12" s="107"/>
      <c r="C12" s="20" t="str">
        <f>IF(기초자료입력!B32&lt;&gt;"",기초자료입력!B32,"긴바지(치마)")</f>
        <v>긴바지(치마)</v>
      </c>
      <c r="D12" s="20">
        <f>IF(기초자료입력!C32&lt;&gt;"",기초자료입력!C32,1)</f>
        <v>1</v>
      </c>
      <c r="E12" s="20" t="str">
        <f>IF(SUM(기초자료입력!$D$29:$D$34)=0,"",TEXT(기초자료입력!D32/SUM(기초자료입력!$D$29:$D$34)*100,"0.0")&amp;"%")</f>
        <v>0.0%</v>
      </c>
      <c r="F12" s="118"/>
      <c r="G12" s="118"/>
    </row>
    <row r="13" spans="1:7" x14ac:dyDescent="0.4">
      <c r="B13" s="107" t="s">
        <v>318</v>
      </c>
      <c r="C13" s="20" t="str">
        <f>IF(기초자료입력!B33&lt;&gt;"",기초자료입력!B33,"반팔티")</f>
        <v>반팔티</v>
      </c>
      <c r="D13" s="20">
        <f>IF(기초자료입력!C33&lt;&gt;"",기초자료입력!C33,1)</f>
        <v>1</v>
      </c>
      <c r="E13" s="20" t="str">
        <f>IF(SUM(기초자료입력!$D$29:$D$34)=0,"",TEXT(기초자료입력!D33/SUM(기초자료입력!$D$29:$D$34)*100,"0.0")&amp;"%")</f>
        <v>0.0%</v>
      </c>
      <c r="F13" s="118"/>
      <c r="G13" s="118"/>
    </row>
    <row r="14" spans="1:7" x14ac:dyDescent="0.4">
      <c r="B14" s="107"/>
      <c r="C14" s="20" t="str">
        <f>IF(기초자료입력!B34&lt;&gt;"",기초자료입력!B34,"반바지")</f>
        <v>반바지</v>
      </c>
      <c r="D14" s="20">
        <f>IF(기초자료입력!C34&lt;&gt;"",기초자료입력!C34,1)</f>
        <v>1</v>
      </c>
      <c r="E14" s="20" t="str">
        <f>IF(SUM(기초자료입력!$D$29:$D$34)=0,"",TEXT(기초자료입력!D34/SUM(기초자료입력!$D$29:$D$34)*100,"0.0")&amp;"%")</f>
        <v>0.0%</v>
      </c>
      <c r="F14" s="118"/>
      <c r="G14" s="118"/>
    </row>
    <row r="15" spans="1:7" x14ac:dyDescent="0.4">
      <c r="B15" s="109" t="s">
        <v>296</v>
      </c>
      <c r="C15" s="109"/>
      <c r="D15" s="23">
        <f>SUM(D9:D14)</f>
        <v>404</v>
      </c>
      <c r="E15" s="23" t="str">
        <f>"100%"</f>
        <v>100%</v>
      </c>
      <c r="F15" s="109"/>
      <c r="G15" s="109"/>
    </row>
    <row r="16" spans="1:7" x14ac:dyDescent="0.4">
      <c r="B16" s="19"/>
      <c r="C16" s="19"/>
      <c r="D16" s="19"/>
      <c r="E16" s="19"/>
      <c r="F16" s="19"/>
      <c r="G16" s="19"/>
    </row>
    <row r="17" spans="2:7" x14ac:dyDescent="0.4">
      <c r="B17" s="106" t="s">
        <v>320</v>
      </c>
      <c r="C17" s="106"/>
      <c r="D17" s="106"/>
      <c r="E17" s="106"/>
      <c r="F17" s="106"/>
      <c r="G17" s="106"/>
    </row>
    <row r="18" spans="2:7" x14ac:dyDescent="0.4">
      <c r="B18" s="106" t="s">
        <v>321</v>
      </c>
      <c r="C18" s="106"/>
      <c r="D18" s="106"/>
      <c r="E18" s="106"/>
      <c r="F18" s="106"/>
      <c r="G18" s="106"/>
    </row>
    <row r="19" spans="2:7" x14ac:dyDescent="0.4">
      <c r="B19" s="106" t="str">
        <f>IF(기초자료입력!C4&lt;&gt;"",기초자료입력!C4,"○○○○학교")&amp;"장 귀하"</f>
        <v>전주고장 귀하</v>
      </c>
      <c r="C19" s="106"/>
      <c r="D19" s="106"/>
      <c r="E19" s="106"/>
      <c r="F19" s="106"/>
      <c r="G19" s="106"/>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9C1E9-ED3F-4D0B-B48A-FA60A48D4F76}">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44" t="s">
        <v>481</v>
      </c>
      <c r="C1" s="145"/>
      <c r="D1" s="145"/>
      <c r="E1" s="145"/>
    </row>
    <row r="2" spans="2:7" ht="7.95" customHeight="1" x14ac:dyDescent="0.4">
      <c r="G2" s="35" t="s">
        <v>335</v>
      </c>
    </row>
    <row r="3" spans="2:7" ht="25.95" customHeight="1" x14ac:dyDescent="0.4">
      <c r="B3" s="114" t="s">
        <v>208</v>
      </c>
      <c r="C3" s="141"/>
      <c r="D3" s="141"/>
      <c r="E3" s="141"/>
      <c r="G3">
        <v>1</v>
      </c>
    </row>
    <row r="4" spans="2:7" ht="25.95" customHeight="1" x14ac:dyDescent="0.4">
      <c r="B4" s="141"/>
      <c r="C4" s="141"/>
      <c r="D4" s="141"/>
      <c r="E4" s="141"/>
    </row>
    <row r="5" spans="2:7" ht="6" customHeight="1" x14ac:dyDescent="0.4">
      <c r="B5" s="48"/>
      <c r="C5" s="48"/>
      <c r="D5" s="48"/>
      <c r="E5" s="48"/>
    </row>
    <row r="6" spans="2:7" ht="18" customHeight="1" x14ac:dyDescent="0.4">
      <c r="B6" s="143" t="s">
        <v>482</v>
      </c>
      <c r="C6" s="142"/>
      <c r="D6" s="142"/>
      <c r="E6" s="142"/>
    </row>
    <row r="7" spans="2:7" ht="19.95" customHeight="1" x14ac:dyDescent="0.4">
      <c r="B7" s="118" t="s">
        <v>483</v>
      </c>
      <c r="C7" s="118"/>
      <c r="D7" s="118"/>
      <c r="E7" s="118"/>
    </row>
    <row r="8" spans="2:7" ht="6" customHeight="1" x14ac:dyDescent="0.4">
      <c r="B8" s="48"/>
      <c r="C8" s="48"/>
      <c r="D8" s="48"/>
      <c r="E8" s="48"/>
    </row>
    <row r="9" spans="2:7" ht="18" customHeight="1" x14ac:dyDescent="0.4">
      <c r="B9" s="143" t="s">
        <v>484</v>
      </c>
      <c r="C9" s="142"/>
      <c r="D9" s="142"/>
      <c r="E9" s="142"/>
    </row>
    <row r="10" spans="2:7" ht="19.95" customHeight="1" x14ac:dyDescent="0.4">
      <c r="B10" s="118" t="s">
        <v>485</v>
      </c>
      <c r="C10" s="118"/>
      <c r="D10" s="118"/>
      <c r="E10" s="118"/>
    </row>
    <row r="11" spans="2:7" ht="19.95" customHeight="1" x14ac:dyDescent="0.4">
      <c r="B11" s="118" t="s">
        <v>486</v>
      </c>
      <c r="C11" s="118"/>
      <c r="D11" s="118"/>
      <c r="E11" s="118"/>
    </row>
    <row r="12" spans="2:7" ht="19.95" customHeight="1" x14ac:dyDescent="0.4">
      <c r="B12" s="118" t="s">
        <v>487</v>
      </c>
      <c r="C12" s="118"/>
      <c r="D12" s="118"/>
      <c r="E12" s="118"/>
    </row>
    <row r="13" spans="2:7" ht="19.95" customHeight="1" x14ac:dyDescent="0.4">
      <c r="B13" s="118" t="s">
        <v>488</v>
      </c>
      <c r="C13" s="118"/>
      <c r="D13" s="118"/>
      <c r="E13" s="118"/>
    </row>
    <row r="14" spans="2:7" ht="6" customHeight="1" x14ac:dyDescent="0.4">
      <c r="B14" s="48"/>
      <c r="C14" s="48"/>
      <c r="D14" s="48"/>
      <c r="E14" s="48"/>
    </row>
    <row r="15" spans="2:7" ht="25.95" customHeight="1" x14ac:dyDescent="0.4">
      <c r="B15" s="148" t="s">
        <v>489</v>
      </c>
      <c r="C15" s="118"/>
      <c r="D15" s="118"/>
      <c r="E15" s="118"/>
    </row>
    <row r="16" spans="2:7" ht="18" customHeight="1" x14ac:dyDescent="0.4">
      <c r="B16" s="118" t="s">
        <v>490</v>
      </c>
      <c r="C16" s="118"/>
      <c r="D16" s="118"/>
      <c r="E16" s="118"/>
    </row>
    <row r="17" spans="2:5" ht="18" customHeight="1" x14ac:dyDescent="0.4">
      <c r="B17" s="118" t="s">
        <v>491</v>
      </c>
      <c r="C17" s="118"/>
      <c r="D17" s="118"/>
      <c r="E17" s="118"/>
    </row>
    <row r="18" spans="2:5" ht="19.95" customHeight="1" x14ac:dyDescent="0.4">
      <c r="B18" s="118" t="s">
        <v>492</v>
      </c>
      <c r="C18" s="118"/>
      <c r="D18" s="118"/>
      <c r="E18" s="118"/>
    </row>
    <row r="19" spans="2:5" ht="6" customHeight="1" x14ac:dyDescent="0.4">
      <c r="B19" s="48"/>
      <c r="C19" s="48"/>
      <c r="D19" s="48"/>
      <c r="E19" s="48"/>
    </row>
    <row r="20" spans="2:5" ht="18" customHeight="1" x14ac:dyDescent="0.4">
      <c r="B20" s="143" t="s">
        <v>493</v>
      </c>
      <c r="C20" s="142"/>
      <c r="D20" s="142"/>
      <c r="E20" s="142"/>
    </row>
    <row r="21" spans="2:5" ht="19.95" customHeight="1" x14ac:dyDescent="0.4">
      <c r="B21" s="118" t="s">
        <v>494</v>
      </c>
      <c r="C21" s="118"/>
      <c r="D21" s="118"/>
      <c r="E21" s="118"/>
    </row>
    <row r="22" spans="2:5" ht="18" customHeight="1" x14ac:dyDescent="0.4">
      <c r="B22" s="118" t="s">
        <v>495</v>
      </c>
      <c r="C22" s="118"/>
      <c r="D22" s="118"/>
      <c r="E22" s="118"/>
    </row>
    <row r="23" spans="2:5" ht="22.05" customHeight="1" x14ac:dyDescent="0.4">
      <c r="B23" s="118" t="s">
        <v>496</v>
      </c>
      <c r="C23" s="118"/>
      <c r="D23" s="118"/>
      <c r="E23" s="118"/>
    </row>
    <row r="24" spans="2:5" ht="22.05" customHeight="1" x14ac:dyDescent="0.4">
      <c r="B24" s="118"/>
      <c r="C24" s="118"/>
      <c r="D24" s="118"/>
      <c r="E24" s="118"/>
    </row>
    <row r="25" spans="2:5" ht="18" customHeight="1" x14ac:dyDescent="0.4">
      <c r="B25" s="118" t="s">
        <v>497</v>
      </c>
      <c r="C25" s="118"/>
      <c r="D25" s="118"/>
      <c r="E25" s="118"/>
    </row>
    <row r="26" spans="2:5" ht="18" customHeight="1" x14ac:dyDescent="0.4">
      <c r="B26" s="142" t="s">
        <v>498</v>
      </c>
      <c r="C26" s="142"/>
      <c r="D26" s="142"/>
      <c r="E26" s="142"/>
    </row>
    <row r="27" spans="2:5" ht="18" customHeight="1" x14ac:dyDescent="0.4">
      <c r="B27" s="142" t="s">
        <v>498</v>
      </c>
      <c r="C27" s="142"/>
      <c r="D27" s="142"/>
      <c r="E27" s="142"/>
    </row>
    <row r="28" spans="2:5" ht="7.95" customHeight="1" x14ac:dyDescent="0.4">
      <c r="B28" s="48"/>
      <c r="C28" s="48"/>
      <c r="D28" s="48"/>
      <c r="E28" s="48"/>
    </row>
    <row r="29" spans="2:5" ht="18" customHeight="1" x14ac:dyDescent="0.4">
      <c r="B29" s="141" t="str">
        <f>IF(기초자료입력!$C$5="","20○○년   월   일","20"&amp;RIGHT(기초자료입력!$C$5,2)&amp;"년   월   일")</f>
        <v>2026년   월   일</v>
      </c>
      <c r="C29" s="141"/>
      <c r="D29" s="141"/>
      <c r="E29" s="141"/>
    </row>
    <row r="30" spans="2:5" ht="18" customHeight="1" x14ac:dyDescent="0.4">
      <c r="B30" s="141" t="s">
        <v>466</v>
      </c>
      <c r="C30" s="141"/>
      <c r="D30" s="141"/>
      <c r="E30" s="141"/>
    </row>
    <row r="31" spans="2:5" ht="18" customHeight="1" x14ac:dyDescent="0.4">
      <c r="B31" s="141" t="str">
        <f>IF(기초자료입력!$C$4="","○○○○학교장 귀하",기초자료입력!$C$4&amp;"장 귀하")</f>
        <v>전주고장 귀하</v>
      </c>
      <c r="C31" s="141"/>
      <c r="D31" s="141"/>
      <c r="E31" s="141"/>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B1B2A-0B9C-426E-A6DD-016FEB0DC77D}">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8"/>
    </row>
    <row r="3" spans="1:6" ht="24" customHeight="1" x14ac:dyDescent="0.4">
      <c r="B3" s="152" t="s">
        <v>813</v>
      </c>
      <c r="C3" s="150"/>
      <c r="D3" s="150"/>
      <c r="E3" s="150"/>
      <c r="F3" s="150"/>
    </row>
    <row r="4" spans="1:6" ht="24" customHeight="1" x14ac:dyDescent="0.4">
      <c r="B4" s="150"/>
      <c r="C4" s="150"/>
      <c r="D4" s="150"/>
      <c r="E4" s="150"/>
      <c r="F4" s="150"/>
    </row>
    <row r="5" spans="1:6" ht="10.050000000000001" customHeight="1" x14ac:dyDescent="0.4">
      <c r="B5" s="56"/>
      <c r="C5" s="56"/>
      <c r="D5" s="56"/>
      <c r="E5" s="56"/>
      <c r="F5" s="56"/>
    </row>
    <row r="6" spans="1:6" ht="19.95" customHeight="1" x14ac:dyDescent="0.4">
      <c r="B6" s="149" t="s">
        <v>814</v>
      </c>
      <c r="C6" s="149"/>
      <c r="D6" s="149"/>
      <c r="E6" s="149"/>
      <c r="F6" s="149"/>
    </row>
    <row r="7" spans="1:6" ht="19.95" customHeight="1" x14ac:dyDescent="0.4">
      <c r="B7" s="149" t="s">
        <v>815</v>
      </c>
      <c r="C7" s="149"/>
      <c r="D7" s="149"/>
      <c r="E7" s="149"/>
      <c r="F7" s="149"/>
    </row>
    <row r="8" spans="1:6" ht="19.95" customHeight="1" x14ac:dyDescent="0.4">
      <c r="B8" s="149" t="s">
        <v>816</v>
      </c>
      <c r="C8" s="149"/>
      <c r="D8" s="149"/>
      <c r="E8" s="149"/>
      <c r="F8" s="149"/>
    </row>
    <row r="9" spans="1:6" ht="19.95" customHeight="1" x14ac:dyDescent="0.4">
      <c r="B9" s="149" t="s">
        <v>817</v>
      </c>
      <c r="C9" s="149"/>
      <c r="D9" s="149"/>
      <c r="E9" s="149"/>
      <c r="F9" s="149"/>
    </row>
    <row r="10" spans="1:6" ht="19.95" customHeight="1" x14ac:dyDescent="0.4">
      <c r="B10" s="149" t="s">
        <v>818</v>
      </c>
      <c r="C10" s="149"/>
      <c r="D10" s="149"/>
      <c r="E10" s="149"/>
      <c r="F10" s="149"/>
    </row>
    <row r="11" spans="1:6" ht="10.050000000000001" customHeight="1" x14ac:dyDescent="0.4">
      <c r="B11" s="56"/>
      <c r="C11" s="56"/>
      <c r="D11" s="56"/>
      <c r="E11" s="56"/>
      <c r="F11" s="56"/>
    </row>
    <row r="12" spans="1:6" ht="78" customHeight="1" x14ac:dyDescent="0.4">
      <c r="B12" s="151"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 교복(동·하복) 학교주관구매」제안서를 제출함에 있어 일체의 권한을 다음의 사람에게 위임합니다.</v>
      </c>
      <c r="C12" s="151"/>
      <c r="D12" s="151"/>
      <c r="E12" s="151"/>
      <c r="F12" s="151"/>
    </row>
    <row r="13" spans="1:6" ht="10.050000000000001" customHeight="1" x14ac:dyDescent="0.4">
      <c r="B13" s="56"/>
      <c r="C13" s="56"/>
      <c r="D13" s="56"/>
      <c r="E13" s="56"/>
      <c r="F13" s="56"/>
    </row>
    <row r="14" spans="1:6" ht="10.050000000000001" customHeight="1" x14ac:dyDescent="0.4">
      <c r="B14" s="56"/>
      <c r="C14" s="56"/>
      <c r="D14" s="56"/>
      <c r="E14" s="56"/>
      <c r="F14" s="56"/>
    </row>
    <row r="15" spans="1:6" ht="19.95" customHeight="1" x14ac:dyDescent="0.4">
      <c r="B15" s="27" t="s">
        <v>819</v>
      </c>
      <c r="C15" s="101"/>
      <c r="D15" s="101"/>
      <c r="E15" s="101"/>
      <c r="F15" s="101"/>
    </row>
    <row r="16" spans="1:6" ht="19.95" customHeight="1" x14ac:dyDescent="0.4">
      <c r="B16" s="27" t="s">
        <v>428</v>
      </c>
      <c r="C16" s="57"/>
      <c r="D16" s="27" t="s">
        <v>427</v>
      </c>
      <c r="E16" s="101"/>
      <c r="F16" s="101"/>
    </row>
    <row r="17" spans="2:6" ht="19.95" customHeight="1" x14ac:dyDescent="0.4">
      <c r="B17" s="27" t="s">
        <v>820</v>
      </c>
      <c r="C17" s="101"/>
      <c r="D17" s="101"/>
      <c r="E17" s="101"/>
      <c r="F17" s="101"/>
    </row>
    <row r="18" spans="2:6" ht="10.050000000000001" customHeight="1" x14ac:dyDescent="0.4">
      <c r="B18" s="56"/>
      <c r="C18" s="56"/>
      <c r="D18" s="56"/>
      <c r="E18" s="56"/>
      <c r="F18" s="56"/>
    </row>
    <row r="19" spans="2:6" ht="16.05" customHeight="1" x14ac:dyDescent="0.4">
      <c r="B19" s="149" t="s">
        <v>821</v>
      </c>
      <c r="C19" s="149"/>
      <c r="D19" s="149"/>
      <c r="E19" s="149"/>
      <c r="F19" s="149"/>
    </row>
    <row r="20" spans="2:6" ht="16.05" customHeight="1" x14ac:dyDescent="0.4">
      <c r="B20" s="149" t="s">
        <v>822</v>
      </c>
      <c r="C20" s="149"/>
      <c r="D20" s="149"/>
      <c r="E20" s="149"/>
      <c r="F20" s="149"/>
    </row>
    <row r="21" spans="2:6" ht="10.050000000000001" customHeight="1" x14ac:dyDescent="0.4">
      <c r="B21" s="56"/>
      <c r="C21" s="56"/>
      <c r="D21" s="56"/>
      <c r="E21" s="56"/>
      <c r="F21" s="56"/>
    </row>
    <row r="22" spans="2:6" ht="22.05" customHeight="1" x14ac:dyDescent="0.4">
      <c r="B22" s="149" t="s">
        <v>823</v>
      </c>
      <c r="C22" s="149"/>
      <c r="D22" s="149"/>
      <c r="E22" s="149"/>
      <c r="F22" s="149"/>
    </row>
    <row r="23" spans="2:6" ht="10.050000000000001" customHeight="1" x14ac:dyDescent="0.4">
      <c r="B23" s="56"/>
      <c r="C23" s="56"/>
      <c r="D23" s="56"/>
      <c r="E23" s="56"/>
      <c r="F23" s="56"/>
    </row>
    <row r="24" spans="2:6" ht="19.95" customHeight="1" x14ac:dyDescent="0.4">
      <c r="B24" s="150" t="str">
        <f>IF(기초자료입력!$C$4="","◯◯◯◯학교장 귀하",기초자료입력!$C$4&amp;"장 귀하")</f>
        <v>전주고장 귀하</v>
      </c>
      <c r="C24" s="150"/>
      <c r="D24" s="150"/>
      <c r="E24" s="150"/>
      <c r="F24" s="150"/>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F2AFB-B6FE-488F-99D0-65C9BF1F7DB7}">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8"/>
    </row>
    <row r="3" spans="1:6" ht="24" customHeight="1" x14ac:dyDescent="0.4">
      <c r="B3" s="152" t="s">
        <v>219</v>
      </c>
      <c r="C3" s="150"/>
      <c r="D3" s="150"/>
      <c r="E3" s="150"/>
      <c r="F3" s="150"/>
    </row>
    <row r="4" spans="1:6" ht="24" customHeight="1" x14ac:dyDescent="0.4">
      <c r="B4" s="150"/>
      <c r="C4" s="150"/>
      <c r="D4" s="150"/>
      <c r="E4" s="150"/>
      <c r="F4" s="150"/>
    </row>
    <row r="5" spans="1:6" ht="10.050000000000001" customHeight="1" x14ac:dyDescent="0.4">
      <c r="B5" s="56"/>
      <c r="C5" s="56"/>
      <c r="D5" s="56"/>
      <c r="E5" s="56"/>
      <c r="F5" s="56"/>
    </row>
    <row r="6" spans="1:6" ht="100.05" customHeight="1" x14ac:dyDescent="0.4">
      <c r="B6" s="151"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 교복(동복·하복) 학교주관구매 입찰」제안서를 제출함에 있어, 「개인정보보호법」제15조 및 같은 법 제17조에 의거하여 아래와 같이 정보수집·제공에 동의합니다.</v>
      </c>
      <c r="C6" s="151"/>
      <c r="D6" s="151"/>
      <c r="E6" s="151"/>
      <c r="F6" s="151"/>
    </row>
    <row r="7" spans="1:6" x14ac:dyDescent="0.4">
      <c r="B7" s="56"/>
      <c r="C7" s="56"/>
      <c r="D7" s="56"/>
      <c r="E7" s="56"/>
      <c r="F7" s="56"/>
    </row>
    <row r="8" spans="1:6" x14ac:dyDescent="0.4">
      <c r="B8" s="56"/>
      <c r="C8" s="56"/>
      <c r="D8" s="56"/>
      <c r="E8" s="56"/>
      <c r="F8" s="56"/>
    </row>
    <row r="9" spans="1:6" ht="18" customHeight="1" x14ac:dyDescent="0.4">
      <c r="B9" s="151" t="s">
        <v>824</v>
      </c>
      <c r="C9" s="149"/>
      <c r="D9" s="149"/>
      <c r="E9" s="149"/>
      <c r="F9" s="149"/>
    </row>
    <row r="10" spans="1:6" ht="18" customHeight="1" x14ac:dyDescent="0.4">
      <c r="B10" s="151" t="s">
        <v>825</v>
      </c>
      <c r="C10" s="149"/>
      <c r="D10" s="149"/>
      <c r="E10" s="149"/>
      <c r="F10" s="149"/>
    </row>
    <row r="11" spans="1:6" ht="18" customHeight="1" x14ac:dyDescent="0.4">
      <c r="B11" s="151" t="s">
        <v>826</v>
      </c>
      <c r="C11" s="149"/>
      <c r="D11" s="149"/>
      <c r="E11" s="149"/>
      <c r="F11" s="149"/>
    </row>
    <row r="12" spans="1:6" ht="78" customHeight="1" x14ac:dyDescent="0.4">
      <c r="B12" s="151" t="s">
        <v>827</v>
      </c>
      <c r="C12" s="151"/>
      <c r="D12" s="151"/>
      <c r="E12" s="151"/>
      <c r="F12" s="151"/>
    </row>
    <row r="13" spans="1:6" ht="10.050000000000001" customHeight="1" x14ac:dyDescent="0.4">
      <c r="B13" s="56"/>
      <c r="C13" s="56"/>
      <c r="D13" s="56"/>
      <c r="E13" s="56"/>
      <c r="F13" s="56"/>
    </row>
    <row r="14" spans="1:6" ht="10.050000000000001" customHeight="1" x14ac:dyDescent="0.4">
      <c r="B14" s="56"/>
      <c r="C14" s="56"/>
      <c r="D14" s="56"/>
      <c r="E14" s="56"/>
      <c r="F14" s="56"/>
    </row>
    <row r="15" spans="1:6" ht="10.050000000000001" customHeight="1" x14ac:dyDescent="0.4">
      <c r="B15" s="56"/>
      <c r="C15" s="56"/>
      <c r="D15" s="56"/>
      <c r="E15" s="56"/>
      <c r="F15" s="56"/>
    </row>
    <row r="16" spans="1:6" ht="24" customHeight="1" x14ac:dyDescent="0.4">
      <c r="B16" s="152" t="s">
        <v>828</v>
      </c>
      <c r="C16" s="150"/>
      <c r="D16" s="150"/>
      <c r="E16" s="150"/>
      <c r="F16" s="150"/>
    </row>
    <row r="17" spans="2:6" ht="13.95" customHeight="1" x14ac:dyDescent="0.4">
      <c r="B17" s="153" t="s">
        <v>829</v>
      </c>
      <c r="C17" s="149"/>
      <c r="D17" s="149"/>
      <c r="E17" s="149"/>
      <c r="F17" s="149"/>
    </row>
    <row r="18" spans="2:6" ht="10.050000000000001" customHeight="1" x14ac:dyDescent="0.4">
      <c r="B18" s="56"/>
      <c r="C18" s="56"/>
      <c r="D18" s="56"/>
      <c r="E18" s="56"/>
      <c r="F18" s="56"/>
    </row>
    <row r="19" spans="2:6" ht="19.95" customHeight="1" x14ac:dyDescent="0.4">
      <c r="B19" s="150" t="str">
        <f>IF(기초자료입력!C8&lt;&gt;"",TEXT(기초자료입력!C8,"yyyy. mm. dd."),"20○○.    .    .")</f>
        <v>2026. 01. 01.</v>
      </c>
      <c r="C19" s="150"/>
      <c r="D19" s="150"/>
      <c r="E19" s="150"/>
      <c r="F19" s="150"/>
    </row>
    <row r="20" spans="2:6" ht="13.95" customHeight="1" x14ac:dyDescent="0.4">
      <c r="B20" s="56"/>
      <c r="C20" s="56"/>
      <c r="D20" s="56"/>
      <c r="E20" s="56"/>
      <c r="F20" s="56"/>
    </row>
    <row r="21" spans="2:6" ht="18" customHeight="1" x14ac:dyDescent="0.4">
      <c r="B21" s="149" t="s">
        <v>830</v>
      </c>
      <c r="C21" s="149"/>
      <c r="D21" s="149"/>
      <c r="E21" s="149"/>
      <c r="F21" s="149"/>
    </row>
    <row r="22" spans="2:6" ht="18" customHeight="1" x14ac:dyDescent="0.4">
      <c r="B22" s="149" t="s">
        <v>831</v>
      </c>
      <c r="C22" s="149"/>
      <c r="D22" s="149"/>
      <c r="E22" s="149"/>
      <c r="F22" s="149"/>
    </row>
    <row r="23" spans="2:6" ht="22.05" customHeight="1" x14ac:dyDescent="0.4">
      <c r="B23" s="149" t="s">
        <v>832</v>
      </c>
      <c r="C23" s="149"/>
      <c r="D23" s="149"/>
      <c r="E23" s="149"/>
      <c r="F23" s="149"/>
    </row>
    <row r="24" spans="2:6" ht="10.050000000000001" customHeight="1" x14ac:dyDescent="0.4">
      <c r="B24" s="56"/>
      <c r="C24" s="56"/>
      <c r="D24" s="56"/>
      <c r="E24" s="56"/>
      <c r="F24" s="56"/>
    </row>
    <row r="25" spans="2:6" ht="19.95" customHeight="1" x14ac:dyDescent="0.4">
      <c r="B25" s="150" t="str">
        <f>IF(기초자료입력!$C$4="","○○학교장 귀하",기초자료입력!$C$4&amp;"장 귀하")</f>
        <v>전주고장 귀하</v>
      </c>
      <c r="C25" s="150"/>
      <c r="D25" s="150"/>
      <c r="E25" s="150"/>
      <c r="F25" s="150"/>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6"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09033-6A12-4181-AC7B-D2CD10CC7898}">
  <sheetPr codeName="Sheet39"/>
  <dimension ref="A1:F19"/>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8"/>
    </row>
    <row r="3" spans="1:6" ht="19.95" customHeight="1" x14ac:dyDescent="0.4">
      <c r="B3" s="152" t="s">
        <v>222</v>
      </c>
      <c r="C3" s="150"/>
      <c r="D3" s="150"/>
      <c r="E3" s="150"/>
      <c r="F3" s="150"/>
    </row>
    <row r="4" spans="1:6" ht="19.95" customHeight="1" x14ac:dyDescent="0.4">
      <c r="B4" s="150"/>
      <c r="C4" s="150"/>
      <c r="D4" s="150"/>
      <c r="E4" s="150"/>
      <c r="F4" s="150"/>
    </row>
    <row r="5" spans="1:6" ht="6" customHeight="1" x14ac:dyDescent="0.4">
      <c r="B5" s="56"/>
      <c r="C5" s="56"/>
      <c r="D5" s="56"/>
      <c r="E5" s="56"/>
      <c r="F5" s="56"/>
    </row>
    <row r="6" spans="1:6" ht="166.05" customHeight="1" x14ac:dyDescent="0.4">
      <c r="B6" s="151" t="s">
        <v>833</v>
      </c>
      <c r="C6" s="151"/>
      <c r="D6" s="151"/>
      <c r="E6" s="151"/>
      <c r="F6" s="151"/>
    </row>
    <row r="7" spans="1:6" ht="6" customHeight="1" x14ac:dyDescent="0.4">
      <c r="B7" s="56"/>
      <c r="C7" s="56"/>
      <c r="D7" s="56"/>
      <c r="E7" s="56"/>
      <c r="F7" s="56"/>
    </row>
    <row r="8" spans="1:6" ht="6" customHeight="1" x14ac:dyDescent="0.4">
      <c r="B8" s="56"/>
      <c r="C8" s="56"/>
      <c r="D8" s="56"/>
      <c r="E8" s="56"/>
      <c r="F8" s="56"/>
    </row>
    <row r="9" spans="1:6" ht="121.95" customHeight="1" x14ac:dyDescent="0.4">
      <c r="B9" s="151" t="s">
        <v>834</v>
      </c>
      <c r="C9" s="151"/>
      <c r="D9" s="151"/>
      <c r="E9" s="151"/>
      <c r="F9" s="151"/>
    </row>
    <row r="10" spans="1:6" ht="78" customHeight="1" x14ac:dyDescent="0.4">
      <c r="B10" s="151" t="s">
        <v>835</v>
      </c>
      <c r="C10" s="151"/>
      <c r="D10" s="151"/>
      <c r="E10" s="151"/>
      <c r="F10" s="151"/>
    </row>
    <row r="11" spans="1:6" ht="78" customHeight="1" x14ac:dyDescent="0.4">
      <c r="B11" s="151" t="s">
        <v>836</v>
      </c>
      <c r="C11" s="151"/>
      <c r="D11" s="151"/>
      <c r="E11" s="151"/>
      <c r="F11" s="151"/>
    </row>
    <row r="12" spans="1:6" ht="144" customHeight="1" x14ac:dyDescent="0.4">
      <c r="B12" s="151" t="s">
        <v>837</v>
      </c>
      <c r="C12" s="151"/>
      <c r="D12" s="151"/>
      <c r="E12" s="151"/>
      <c r="F12" s="151"/>
    </row>
    <row r="13" spans="1:6" ht="6" customHeight="1" x14ac:dyDescent="0.4">
      <c r="B13" s="56"/>
      <c r="C13" s="56"/>
      <c r="D13" s="56"/>
      <c r="E13" s="56"/>
      <c r="F13" s="56"/>
    </row>
    <row r="14" spans="1:6" ht="6" customHeight="1" x14ac:dyDescent="0.4">
      <c r="B14" s="56"/>
      <c r="C14" s="56"/>
      <c r="D14" s="56"/>
      <c r="E14" s="56"/>
      <c r="F14" s="56"/>
    </row>
    <row r="15" spans="1:6" ht="16.05" customHeight="1" x14ac:dyDescent="0.4">
      <c r="B15" s="150" t="s">
        <v>838</v>
      </c>
      <c r="C15" s="150"/>
      <c r="D15" s="150"/>
      <c r="E15" s="150"/>
      <c r="F15" s="150"/>
    </row>
    <row r="16" spans="1:6" ht="6" customHeight="1" x14ac:dyDescent="0.4">
      <c r="B16" s="56"/>
      <c r="C16" s="56"/>
      <c r="D16" s="56"/>
      <c r="E16" s="56"/>
      <c r="F16" s="56"/>
    </row>
    <row r="17" spans="2:6" ht="18" customHeight="1" x14ac:dyDescent="0.4">
      <c r="B17" s="149" t="s">
        <v>839</v>
      </c>
      <c r="C17" s="149"/>
      <c r="D17" s="149"/>
      <c r="E17" s="149"/>
      <c r="F17" s="149"/>
    </row>
    <row r="18" spans="2:6" ht="6" customHeight="1" x14ac:dyDescent="0.4">
      <c r="B18" s="56"/>
      <c r="C18" s="56"/>
      <c r="D18" s="56"/>
      <c r="E18" s="56"/>
      <c r="F18" s="56"/>
    </row>
    <row r="19" spans="2:6" ht="16.05" customHeight="1" x14ac:dyDescent="0.4">
      <c r="B19" s="150" t="str">
        <f>IF(기초자료입력!$C$4="","○○○학교장 귀하",기초자료입력!$C$4&amp;"장 귀하")</f>
        <v>전주고장 귀하</v>
      </c>
      <c r="C19" s="150"/>
      <c r="D19" s="150"/>
      <c r="E19" s="150"/>
      <c r="F19" s="150"/>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vertic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5BD1F-C0D1-4258-8A44-C87D8FB559AC}">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8"/>
    </row>
    <row r="3" spans="1:7" x14ac:dyDescent="0.4">
      <c r="B3" s="115" t="s">
        <v>840</v>
      </c>
      <c r="C3" s="116"/>
      <c r="D3" s="116"/>
      <c r="E3" s="116"/>
      <c r="F3" s="116"/>
      <c r="G3" s="116"/>
    </row>
    <row r="4" spans="1:7" ht="10.050000000000001" customHeight="1" x14ac:dyDescent="0.4">
      <c r="B4" s="48"/>
      <c r="C4" s="48"/>
      <c r="D4" s="48"/>
      <c r="E4" s="48"/>
      <c r="F4" s="48"/>
      <c r="G4" s="48"/>
    </row>
    <row r="5" spans="1:7" x14ac:dyDescent="0.4">
      <c r="B5" s="154" t="str">
        <f>"1. 건  명 : "&amp;IF(기초자료입력!C12&lt;&gt;"",기초자료입력!C12,IF(기초자료입력!C5&lt;&gt;"",기초자료입력!C5,"20○○")&amp;"학년도 "&amp;IF(기초자료입력!C4&lt;&gt;"",기초자료입력!C4,"◯◯◯◯학교")&amp;" 교복(동·하복) 학교주관 구매")</f>
        <v>1. 건  명 : 전주고 교복구매건</v>
      </c>
      <c r="C5" s="154"/>
      <c r="D5" s="154"/>
      <c r="E5" s="154"/>
      <c r="F5" s="154"/>
      <c r="G5" s="154"/>
    </row>
    <row r="6" spans="1:7" x14ac:dyDescent="0.4">
      <c r="B6" s="108" t="s">
        <v>841</v>
      </c>
      <c r="C6" s="108"/>
      <c r="D6" s="108"/>
      <c r="E6" s="108"/>
      <c r="F6" s="108"/>
      <c r="G6" s="108"/>
    </row>
    <row r="7" spans="1:7" x14ac:dyDescent="0.4">
      <c r="B7" s="155" t="str">
        <f>"3. 낙찰금액(동/하복 한 벌 기준) : "&amp;IF(ISNUMBER('F-043_계약체결'!$C$16),TEXT('F-043_계약체결'!$C$16,"#,##0")&amp;"원","000,000원(F-043 계약체결 낙찰단가 미입력)")</f>
        <v>3. 낙찰금액(동/하복 한 벌 기준) : 000,000원(F-043 계약체결 낙찰단가 미입력)</v>
      </c>
      <c r="C7" s="154"/>
      <c r="D7" s="154"/>
      <c r="E7" s="154"/>
      <c r="F7" s="154"/>
      <c r="G7" s="154"/>
    </row>
    <row r="8" spans="1:7" ht="10.050000000000001" customHeight="1" x14ac:dyDescent="0.4">
      <c r="B8" s="48"/>
      <c r="C8" s="48"/>
      <c r="D8" s="48"/>
      <c r="E8" s="48"/>
      <c r="F8" s="48"/>
      <c r="G8" s="48"/>
    </row>
    <row r="9" spans="1:7" x14ac:dyDescent="0.4">
      <c r="B9" s="155" t="s">
        <v>842</v>
      </c>
      <c r="C9" s="154"/>
      <c r="D9" s="154"/>
      <c r="E9" s="154"/>
      <c r="F9" s="154"/>
      <c r="G9" s="154"/>
    </row>
    <row r="10" spans="1:7" ht="10.050000000000001" customHeight="1" x14ac:dyDescent="0.4">
      <c r="B10" s="48"/>
      <c r="C10" s="48"/>
      <c r="D10" s="48"/>
      <c r="E10" s="48"/>
      <c r="F10" s="48"/>
      <c r="G10" s="48"/>
    </row>
    <row r="11" spans="1:7" x14ac:dyDescent="0.4">
      <c r="B11" s="26" t="s">
        <v>314</v>
      </c>
      <c r="C11" s="26" t="s">
        <v>47</v>
      </c>
      <c r="D11" s="26" t="s">
        <v>843</v>
      </c>
      <c r="E11" s="114" t="s">
        <v>844</v>
      </c>
      <c r="F11" s="114"/>
      <c r="G11" s="26" t="s">
        <v>316</v>
      </c>
    </row>
    <row r="12" spans="1:7" ht="18" customHeight="1" x14ac:dyDescent="0.4">
      <c r="B12" s="50" t="str">
        <f>IF(기초자료입력!B29&lt;&gt;"",기초자료입력!B29,"후드 점퍼")</f>
        <v>상의</v>
      </c>
      <c r="C12" s="50">
        <v>1</v>
      </c>
      <c r="D12" s="50" t="str">
        <f>IF(SUM(기초자료입력!$D$29:$D$34)=0,"",TEXT(기초자료입력!D29/SUM(기초자료입력!$D$29:$D$34)*100,"0.0")&amp;"%")</f>
        <v>50.0%</v>
      </c>
      <c r="E12" s="67">
        <f>IF(OR(SUM(기초자료입력!$D$29:$D$34)=0,NOT(ISNUMBER('F-043_계약체결'!$C$16))),0,ROUNDDOWN('F-043_계약체결'!$C$16*(기초자료입력!D29/SUM(기초자료입력!$D$29:$D$34)),0))</f>
        <v>0</v>
      </c>
      <c r="F12" s="51"/>
      <c r="G12" s="51"/>
    </row>
    <row r="13" spans="1:7" ht="18" customHeight="1" x14ac:dyDescent="0.4">
      <c r="B13" s="50" t="str">
        <f>IF(기초자료입력!B30&lt;&gt;"",기초자료입력!B30,"집업티")</f>
        <v>하의</v>
      </c>
      <c r="C13" s="50">
        <v>1</v>
      </c>
      <c r="D13" s="50" t="str">
        <f>IF(SUM(기초자료입력!$D$29:$D$34)=0,"",TEXT(기초자료입력!D30/SUM(기초자료입력!$D$29:$D$34)*100,"0.0")&amp;"%")</f>
        <v>50.0%</v>
      </c>
      <c r="E13" s="67">
        <f>IF(OR(SUM(기초자료입력!$D$29:$D$34)=0,NOT(ISNUMBER('F-043_계약체결'!$C$16))),0,ROUNDDOWN('F-043_계약체결'!$C$16*(기초자료입력!D30/SUM(기초자료입력!$D$29:$D$34)),0))</f>
        <v>0</v>
      </c>
      <c r="F13" s="51"/>
      <c r="G13" s="51"/>
    </row>
    <row r="14" spans="1:7" ht="18" customHeight="1" x14ac:dyDescent="0.4">
      <c r="B14" s="50" t="str">
        <f>IF(기초자료입력!B31&lt;&gt;"",기초자료입력!B31,"맨투맨티")</f>
        <v>맨투맨티</v>
      </c>
      <c r="C14" s="50">
        <v>1</v>
      </c>
      <c r="D14" s="50" t="str">
        <f>IF(SUM(기초자료입력!$D$29:$D$34)=0,"",TEXT(기초자료입력!D31/SUM(기초자료입력!$D$29:$D$34)*100,"0.0")&amp;"%")</f>
        <v>0.0%</v>
      </c>
      <c r="E14" s="67">
        <f>IF(OR(SUM(기초자료입력!$D$29:$D$34)=0,NOT(ISNUMBER('F-043_계약체결'!$C$16))),0,ROUNDDOWN('F-043_계약체결'!$C$16*(기초자료입력!D31/SUM(기초자료입력!$D$29:$D$34)),0))</f>
        <v>0</v>
      </c>
      <c r="F14" s="51"/>
      <c r="G14" s="51"/>
    </row>
    <row r="15" spans="1:7" ht="18" customHeight="1" x14ac:dyDescent="0.4">
      <c r="B15" s="50" t="str">
        <f>IF(기초자료입력!B32&lt;&gt;"",기초자료입력!B32,"긴바지")</f>
        <v>긴바지</v>
      </c>
      <c r="C15" s="50">
        <v>1</v>
      </c>
      <c r="D15" s="50" t="str">
        <f>IF(SUM(기초자료입력!$D$29:$D$34)=0,"",TEXT(기초자료입력!D32/SUM(기초자료입력!$D$29:$D$34)*100,"0.0")&amp;"%")</f>
        <v>0.0%</v>
      </c>
      <c r="E15" s="67">
        <f>IF(OR(SUM(기초자료입력!$D$29:$D$34)=0,NOT(ISNUMBER('F-043_계약체결'!$C$16))),0,ROUNDDOWN('F-043_계약체결'!$C$16*(기초자료입력!D32/SUM(기초자료입력!$D$29:$D$34)),0))</f>
        <v>0</v>
      </c>
      <c r="F15" s="51"/>
      <c r="G15" s="51"/>
    </row>
    <row r="16" spans="1:7" ht="18" customHeight="1" x14ac:dyDescent="0.4">
      <c r="B16" s="50" t="str">
        <f>IF(기초자료입력!B33&lt;&gt;"",기초자료입력!B33,"반팔티")</f>
        <v>반팔티</v>
      </c>
      <c r="C16" s="50">
        <v>1</v>
      </c>
      <c r="D16" s="50" t="str">
        <f>IF(SUM(기초자료입력!$D$29:$D$34)=0,"",TEXT(기초자료입력!D33/SUM(기초자료입력!$D$29:$D$34)*100,"0.0")&amp;"%")</f>
        <v>0.0%</v>
      </c>
      <c r="E16" s="67">
        <f>IF(OR(SUM(기초자료입력!$D$29:$D$34)=0,NOT(ISNUMBER('F-043_계약체결'!$C$16))),0,ROUNDDOWN('F-043_계약체결'!$C$16*(기초자료입력!D33/SUM(기초자료입력!$D$29:$D$34)),0))</f>
        <v>0</v>
      </c>
      <c r="F16" s="51"/>
      <c r="G16" s="51"/>
    </row>
    <row r="17" spans="2:7" ht="18" customHeight="1" x14ac:dyDescent="0.4">
      <c r="B17" s="50" t="str">
        <f>IF(기초자료입력!B34&lt;&gt;"",기초자료입력!B34,"반바지")</f>
        <v>반바지</v>
      </c>
      <c r="C17" s="50">
        <v>1</v>
      </c>
      <c r="D17" s="50" t="str">
        <f>IF(SUM(기초자료입력!$D$29:$D$34)=0,"",TEXT(기초자료입력!D34/SUM(기초자료입력!$D$29:$D$34)*100,"0.0")&amp;"%")</f>
        <v>0.0%</v>
      </c>
      <c r="E17" s="67">
        <f>IF(OR(SUM(기초자료입력!$D$29:$D$34)=0,NOT(ISNUMBER('F-043_계약체결'!$C$16))),0,ROUNDDOWN('F-043_계약체결'!$C$16*(기초자료입력!D34/SUM(기초자료입력!$D$29:$D$34)),0))</f>
        <v>0</v>
      </c>
      <c r="F17" s="51"/>
      <c r="G17" s="51"/>
    </row>
    <row r="18" spans="2:7" ht="18" customHeight="1" x14ac:dyDescent="0.4">
      <c r="B18" s="26" t="s">
        <v>296</v>
      </c>
      <c r="C18" s="50">
        <f>SUM(C12:C17)</f>
        <v>6</v>
      </c>
      <c r="D18" s="26" t="str">
        <f>"100%"</f>
        <v>100%</v>
      </c>
      <c r="E18" s="156">
        <f>SUM(E12:E17)</f>
        <v>0</v>
      </c>
      <c r="F18" s="142"/>
      <c r="G18" s="51"/>
    </row>
    <row r="19" spans="2:7" ht="10.050000000000001" customHeight="1" x14ac:dyDescent="0.4">
      <c r="B19" s="48"/>
      <c r="C19" s="48"/>
      <c r="D19" s="48"/>
      <c r="E19" s="48"/>
      <c r="F19" s="48"/>
      <c r="G19" s="48"/>
    </row>
    <row r="20" spans="2:7" ht="30" customHeight="1" x14ac:dyDescent="0.4">
      <c r="B20" s="108" t="s">
        <v>845</v>
      </c>
      <c r="C20" s="108"/>
      <c r="D20" s="108"/>
      <c r="E20" s="108"/>
      <c r="F20" s="108"/>
      <c r="G20" s="108"/>
    </row>
    <row r="21" spans="2:7" ht="1.05" customHeight="1" x14ac:dyDescent="0.4">
      <c r="B21" s="108"/>
      <c r="C21" s="108"/>
      <c r="D21" s="108"/>
      <c r="E21" s="108"/>
      <c r="F21" s="108"/>
      <c r="G21" s="108"/>
    </row>
    <row r="22" spans="2:7" ht="10.050000000000001" customHeight="1" x14ac:dyDescent="0.4">
      <c r="B22" s="48"/>
      <c r="C22" s="48"/>
      <c r="D22" s="48"/>
      <c r="E22" s="48"/>
      <c r="F22" s="48"/>
      <c r="G22" s="48"/>
    </row>
    <row r="23" spans="2:7" x14ac:dyDescent="0.4">
      <c r="B23" s="116" t="s">
        <v>846</v>
      </c>
      <c r="C23" s="116"/>
      <c r="D23" s="116"/>
      <c r="E23" s="116"/>
      <c r="F23" s="116"/>
      <c r="G23" s="116"/>
    </row>
    <row r="24" spans="2:7" ht="10.050000000000001" customHeight="1" x14ac:dyDescent="0.4">
      <c r="B24" s="48"/>
      <c r="C24" s="48"/>
      <c r="D24" s="48"/>
      <c r="E24" s="48"/>
      <c r="F24" s="48"/>
      <c r="G24" s="48"/>
    </row>
    <row r="25" spans="2:7" x14ac:dyDescent="0.4">
      <c r="B25" s="154" t="s">
        <v>847</v>
      </c>
      <c r="C25" s="154"/>
      <c r="D25" s="154"/>
      <c r="E25" s="154"/>
      <c r="F25" s="154"/>
      <c r="G25" s="154"/>
    </row>
    <row r="26" spans="2:7" ht="10.050000000000001" customHeight="1" x14ac:dyDescent="0.4">
      <c r="B26" s="48"/>
      <c r="C26" s="48"/>
      <c r="D26" s="48"/>
      <c r="E26" s="48"/>
      <c r="F26" s="48"/>
      <c r="G26" s="48"/>
    </row>
    <row r="27" spans="2:7" x14ac:dyDescent="0.4">
      <c r="B27" s="116" t="str">
        <f>IF(기초자료입력!$C$4="","◯◯◯◯학교장 귀하",기초자료입력!$C$4&amp;"장 귀하")</f>
        <v>전주고장 귀하</v>
      </c>
      <c r="C27" s="116"/>
      <c r="D27" s="116"/>
      <c r="E27" s="116"/>
      <c r="F27" s="116"/>
      <c r="G27" s="116"/>
    </row>
    <row r="28" spans="2:7" ht="10.050000000000001" customHeight="1" x14ac:dyDescent="0.4">
      <c r="B28" s="48"/>
      <c r="C28" s="48"/>
      <c r="D28" s="48"/>
      <c r="E28" s="48"/>
      <c r="F28" s="48"/>
      <c r="G28" s="48"/>
    </row>
    <row r="29" spans="2:7" x14ac:dyDescent="0.4">
      <c r="B29" s="154" t="s">
        <v>848</v>
      </c>
      <c r="C29" s="154"/>
      <c r="D29" s="154"/>
      <c r="E29" s="154"/>
      <c r="F29" s="154"/>
      <c r="G29" s="154"/>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13153-83BC-40A3-8CED-EA8E3E5C5477}">
  <sheetPr codeName="Sheet41"/>
  <dimension ref="A1:H36"/>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8"/>
    </row>
    <row r="3" spans="1:8" x14ac:dyDescent="0.4">
      <c r="B3" s="97" t="str">
        <f>IF(기초자료입력!C4&lt;&gt;"",기초자료입력!C4,"○○학교")&amp;" 교복구매 제안서 접수 결과"</f>
        <v>전주고 교복구매 제안서 접수 결과</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500</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IF(기초자료입력!C22&lt;&gt;"",기초자료입력!C22,IF(기초자료입력!C5&lt;&gt;"",기초자료입력!C5,"20○○")&amp;"학년도 교복 학교주관구매 제안서 접수 결과 보고")</f>
        <v>전주고 교복구매건</v>
      </c>
      <c r="D9" s="93"/>
      <c r="E9" s="93"/>
      <c r="F9" s="93"/>
      <c r="G9" s="93"/>
      <c r="H9" s="93"/>
    </row>
    <row r="10" spans="1:8" x14ac:dyDescent="0.4">
      <c r="B10" s="37"/>
      <c r="C10" s="37"/>
      <c r="D10" s="37"/>
      <c r="E10" s="37"/>
      <c r="F10" s="37"/>
      <c r="G10" s="37"/>
      <c r="H10" s="37"/>
    </row>
    <row r="11" spans="1:8" x14ac:dyDescent="0.4">
      <c r="B11" s="94" t="str">
        <f>"1. "&amp;IF(기초자료입력!C23&lt;&gt;"",기초자료입력!C23,"관련 문서를 확인하십시오.")</f>
        <v>1. 전주고-24244(26.1.1.)</v>
      </c>
      <c r="C11" s="92"/>
      <c r="D11" s="92"/>
      <c r="E11" s="92"/>
      <c r="F11" s="92"/>
      <c r="G11" s="92"/>
      <c r="H11" s="92"/>
    </row>
    <row r="12" spans="1:8" x14ac:dyDescent="0.4">
      <c r="B12" s="37"/>
      <c r="C12" s="37"/>
      <c r="D12" s="37"/>
      <c r="E12" s="37"/>
      <c r="F12" s="37"/>
      <c r="G12" s="37"/>
      <c r="H12" s="37"/>
    </row>
    <row r="13" spans="1:8" ht="31.95" customHeight="1" x14ac:dyDescent="0.4">
      <c r="B13" s="110"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94" t="s">
        <v>849</v>
      </c>
      <c r="C16" s="92"/>
      <c r="D16" s="92"/>
      <c r="E16" s="92"/>
      <c r="F16" s="92"/>
      <c r="G16" s="92"/>
      <c r="H16" s="92"/>
    </row>
    <row r="17" spans="2:8" x14ac:dyDescent="0.4">
      <c r="B17" s="120" t="s">
        <v>850</v>
      </c>
      <c r="C17" s="120" t="s">
        <v>851</v>
      </c>
      <c r="D17" s="120" t="s">
        <v>852</v>
      </c>
      <c r="E17" s="120"/>
      <c r="F17" s="37"/>
      <c r="G17" s="37"/>
      <c r="H17" s="37"/>
    </row>
    <row r="18" spans="2:8" x14ac:dyDescent="0.4">
      <c r="B18" s="120"/>
      <c r="C18" s="120"/>
      <c r="D18" s="62" t="s">
        <v>52</v>
      </c>
      <c r="E18" s="62" t="s">
        <v>377</v>
      </c>
      <c r="F18" s="37"/>
      <c r="G18" s="37"/>
      <c r="H18" s="37"/>
    </row>
    <row r="19" spans="2:8" x14ac:dyDescent="0.4">
      <c r="B19" s="28">
        <f>IF(기초자료입력!B44&lt;&gt;"",1,"")</f>
        <v>1</v>
      </c>
      <c r="C19" s="68"/>
      <c r="D19" s="28" t="str">
        <f>IF(기초자료입력!B44&lt;&gt;"",기초자료입력!B44,"")</f>
        <v>스마트</v>
      </c>
      <c r="E19" s="68" t="str">
        <f>IF(기초자료입력!S44&lt;&gt;"",기초자료입력!S44,"")</f>
        <v>상상로</v>
      </c>
      <c r="F19" s="37"/>
      <c r="G19" s="37"/>
      <c r="H19" s="37"/>
    </row>
    <row r="20" spans="2:8" x14ac:dyDescent="0.4">
      <c r="B20" s="28" t="str">
        <f>IF(기초자료입력!B45&lt;&gt;"",2,"")</f>
        <v/>
      </c>
      <c r="C20" s="68"/>
      <c r="D20" s="28" t="str">
        <f>IF(기초자료입력!B45&lt;&gt;"",기초자료입력!B45,"")</f>
        <v/>
      </c>
      <c r="E20" s="68" t="str">
        <f>IF(기초자료입력!S45&lt;&gt;"",기초자료입력!S45,"")</f>
        <v/>
      </c>
      <c r="F20" s="37"/>
      <c r="G20" s="37"/>
      <c r="H20" s="37"/>
    </row>
    <row r="21" spans="2:8" x14ac:dyDescent="0.4">
      <c r="B21" s="28" t="str">
        <f>IF(기초자료입력!B46&lt;&gt;"",3,"")</f>
        <v/>
      </c>
      <c r="C21" s="68"/>
      <c r="D21" s="28" t="str">
        <f>IF(기초자료입력!B46&lt;&gt;"",기초자료입력!B46,"")</f>
        <v/>
      </c>
      <c r="E21" s="68" t="str">
        <f>IF(기초자료입력!S46&lt;&gt;"",기초자료입력!S46,"")</f>
        <v/>
      </c>
      <c r="F21" s="37"/>
      <c r="G21" s="37"/>
      <c r="H21" s="37"/>
    </row>
    <row r="22" spans="2:8" x14ac:dyDescent="0.4">
      <c r="B22" s="28" t="str">
        <f>IF(기초자료입력!B47&lt;&gt;"",4,"")</f>
        <v/>
      </c>
      <c r="C22" s="68"/>
      <c r="D22" s="28" t="str">
        <f>IF(기초자료입력!B47&lt;&gt;"",기초자료입력!B47,"")</f>
        <v/>
      </c>
      <c r="E22" s="68" t="str">
        <f>IF(기초자료입력!S47&lt;&gt;"",기초자료입력!S47,"")</f>
        <v/>
      </c>
      <c r="F22" s="37"/>
      <c r="G22" s="37"/>
      <c r="H22" s="37"/>
    </row>
    <row r="23" spans="2:8" x14ac:dyDescent="0.4">
      <c r="B23" s="28" t="str">
        <f>IF(기초자료입력!B48&lt;&gt;"",5,"")</f>
        <v/>
      </c>
      <c r="C23" s="68"/>
      <c r="D23" s="28" t="str">
        <f>IF(기초자료입력!B48&lt;&gt;"",기초자료입력!B48,"")</f>
        <v/>
      </c>
      <c r="E23" s="68" t="str">
        <f>IF(기초자료입력!S48&lt;&gt;"",기초자료입력!S48,"")</f>
        <v/>
      </c>
      <c r="F23" s="37"/>
      <c r="G23" s="37"/>
      <c r="H23" s="37"/>
    </row>
    <row r="24" spans="2:8" x14ac:dyDescent="0.4">
      <c r="B24" s="28" t="str">
        <f>IF(기초자료입력!B49&lt;&gt;"",6,"")</f>
        <v/>
      </c>
      <c r="C24" s="68"/>
      <c r="D24" s="28" t="str">
        <f>IF(기초자료입력!B49&lt;&gt;"",기초자료입력!B49,"")</f>
        <v/>
      </c>
      <c r="E24" s="68" t="str">
        <f>IF(기초자료입력!S49&lt;&gt;"",기초자료입력!S49,"")</f>
        <v/>
      </c>
      <c r="F24" s="37"/>
      <c r="G24" s="37"/>
      <c r="H24" s="37"/>
    </row>
    <row r="25" spans="2:8" x14ac:dyDescent="0.4">
      <c r="B25" s="28" t="str">
        <f>IF(기초자료입력!B50&lt;&gt;"",7,"")</f>
        <v/>
      </c>
      <c r="C25" s="68"/>
      <c r="D25" s="28" t="str">
        <f>IF(기초자료입력!B50&lt;&gt;"",기초자료입력!B50,"")</f>
        <v/>
      </c>
      <c r="E25" s="68" t="str">
        <f>IF(기초자료입력!S50&lt;&gt;"",기초자료입력!S50,"")</f>
        <v/>
      </c>
      <c r="F25" s="37"/>
      <c r="G25" s="37"/>
      <c r="H25" s="37"/>
    </row>
    <row r="26" spans="2:8" x14ac:dyDescent="0.4">
      <c r="B26" s="28" t="str">
        <f>IF(기초자료입력!B51&lt;&gt;"",8,"")</f>
        <v/>
      </c>
      <c r="C26" s="68"/>
      <c r="D26" s="28" t="str">
        <f>IF(기초자료입력!B51&lt;&gt;"",기초자료입력!B51,"")</f>
        <v/>
      </c>
      <c r="E26" s="68" t="str">
        <f>IF(기초자료입력!S51&lt;&gt;"",기초자료입력!S51,"")</f>
        <v/>
      </c>
      <c r="F26" s="37"/>
      <c r="G26" s="37"/>
      <c r="H26" s="37"/>
    </row>
    <row r="27" spans="2:8" x14ac:dyDescent="0.4">
      <c r="B27" s="28" t="str">
        <f>IF(기초자료입력!B52&lt;&gt;"",9,"")</f>
        <v/>
      </c>
      <c r="C27" s="68"/>
      <c r="D27" s="28" t="str">
        <f>IF(기초자료입력!B52&lt;&gt;"",기초자료입력!B52,"")</f>
        <v/>
      </c>
      <c r="E27" s="68" t="str">
        <f>IF(기초자료입력!S52&lt;&gt;"",기초자료입력!S52,"")</f>
        <v/>
      </c>
      <c r="F27" s="37"/>
      <c r="G27" s="37"/>
      <c r="H27" s="37"/>
    </row>
    <row r="28" spans="2:8" x14ac:dyDescent="0.4">
      <c r="B28" s="28" t="str">
        <f>IF(기초자료입력!B53&lt;&gt;"",10,"")</f>
        <v/>
      </c>
      <c r="C28" s="68"/>
      <c r="D28" s="28" t="str">
        <f>IF(기초자료입력!B53&lt;&gt;"",기초자료입력!B53,"")</f>
        <v/>
      </c>
      <c r="E28" s="68" t="str">
        <f>IF(기초자료입력!S53&lt;&gt;"",기초자료입력!S53,"")</f>
        <v/>
      </c>
      <c r="F28" s="37"/>
      <c r="G28" s="37"/>
      <c r="H28" s="37"/>
    </row>
    <row r="29" spans="2:8" x14ac:dyDescent="0.4">
      <c r="B29" s="37"/>
      <c r="C29" s="37"/>
      <c r="D29" s="37"/>
      <c r="E29" s="37"/>
      <c r="F29" s="37"/>
      <c r="G29" s="37"/>
      <c r="H29" s="37"/>
    </row>
    <row r="30" spans="2:8" x14ac:dyDescent="0.4">
      <c r="B30" s="92" t="str">
        <f>"붙임  "&amp;IF(기초자료입력!C5&lt;&gt;"",기초자료입력!C5,"20○○")&amp;"학년도 교복 학교주관구매 제안서 접수대장 1부.  끝."</f>
        <v>붙임  2026학년도 교복 학교주관구매 제안서 접수대장 1부.  끝.</v>
      </c>
      <c r="C30" s="92"/>
      <c r="D30" s="92"/>
      <c r="E30" s="92"/>
      <c r="F30" s="92"/>
      <c r="G30" s="92"/>
      <c r="H30" s="92"/>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304</v>
      </c>
      <c r="H33" s="55" t="str">
        <f>"교장"&amp;CHAR(10)&amp;IF(기초자료입력!$F$10&lt;&gt;"",기초자료입력!$F$10,"")</f>
        <v>교장
김호</v>
      </c>
    </row>
    <row r="34" spans="2:8" x14ac:dyDescent="0.4">
      <c r="B34" s="52" t="s">
        <v>305</v>
      </c>
      <c r="C34" s="92" t="str">
        <f>IF(기초자료입력!C9&lt;&gt;"",기초자료입력!C9&amp;IF(기초자료입력!C8&lt;&gt;"","("&amp;TEXT(기초자료입력!C8,"yyyy.m.d.")&amp;")",""),"")</f>
        <v>전주고-24244(26.1.1.)(2026.1.1.)</v>
      </c>
      <c r="D34" s="92"/>
      <c r="E34" s="92"/>
      <c r="F34" s="54" t="s">
        <v>306</v>
      </c>
      <c r="G34" s="93"/>
      <c r="H34" s="93"/>
    </row>
    <row r="35" spans="2:8" x14ac:dyDescent="0.4">
      <c r="B35" s="52" t="s">
        <v>307</v>
      </c>
      <c r="C35" s="37"/>
      <c r="D35" s="52" t="s">
        <v>308</v>
      </c>
      <c r="E35" s="92" t="str">
        <f>IFERROR(INDEX(학교정보!$F$2:$F$121,MATCH(기초자료입력!$C$4,학교정보!$E$2:$E$121,0)),"")</f>
        <v/>
      </c>
      <c r="F35" s="93"/>
      <c r="G35" s="93"/>
      <c r="H35" s="93"/>
    </row>
    <row r="36" spans="2:8" x14ac:dyDescent="0.4">
      <c r="B36" s="52" t="s">
        <v>309</v>
      </c>
      <c r="C36" s="37" t="str">
        <f>IFERROR(INDEX(학교정보!$G$2:$G$121,MATCH(기초자료입력!$C$4,학교정보!$E$2:$E$121,0)),"")</f>
        <v/>
      </c>
      <c r="D36" s="52" t="s">
        <v>310</v>
      </c>
      <c r="E36" s="37"/>
      <c r="F36" s="54" t="s">
        <v>311</v>
      </c>
      <c r="G36" s="93"/>
      <c r="H36" s="93"/>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6" type="noConversion"/>
  <printOptions horizontalCentered="1" vertic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220B4-5EB5-422D-AC9F-F376AEFF50E5}">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8"/>
    </row>
    <row r="3" spans="1:17" x14ac:dyDescent="0.4">
      <c r="B3" s="127" t="str">
        <f>IF(기초자료입력!C5&lt;&gt;"",기초자료입력!C5,"20○○")&amp;"학년도 교복 학교주관구매 제안서 접수대장"</f>
        <v>2026학년도 교복 학교주관구매 제안서 접수대장</v>
      </c>
      <c r="C3" s="122"/>
      <c r="D3" s="122"/>
      <c r="E3" s="122"/>
      <c r="F3" s="122"/>
      <c r="G3" s="122"/>
      <c r="H3" s="122"/>
      <c r="I3" s="122"/>
      <c r="J3" s="122"/>
      <c r="K3" s="122"/>
      <c r="L3" s="122"/>
    </row>
    <row r="4" spans="1:17" x14ac:dyDescent="0.4">
      <c r="B4" s="122" t="str">
        <f>IF(기초자료입력!C4&lt;&gt;"",기초자료입력!C4,"○○학교")</f>
        <v>전주고</v>
      </c>
      <c r="C4" s="122"/>
      <c r="D4" s="122"/>
      <c r="E4" s="122"/>
      <c r="F4" s="122"/>
      <c r="G4" s="122"/>
      <c r="H4" s="122"/>
      <c r="I4" s="122"/>
      <c r="J4" s="122"/>
      <c r="K4" s="122"/>
      <c r="L4" s="122"/>
    </row>
    <row r="5" spans="1:17" x14ac:dyDescent="0.4">
      <c r="B5" s="37"/>
      <c r="C5" s="37"/>
      <c r="D5" s="37"/>
      <c r="E5" s="37"/>
      <c r="F5" s="37"/>
      <c r="G5" s="37"/>
      <c r="H5" s="37"/>
      <c r="I5" s="37"/>
      <c r="J5" s="37"/>
      <c r="K5" s="37"/>
      <c r="L5" s="37"/>
    </row>
    <row r="6" spans="1:17" ht="30" customHeight="1" x14ac:dyDescent="0.4">
      <c r="B6" s="157" t="s">
        <v>853</v>
      </c>
      <c r="C6" s="157" t="s">
        <v>854</v>
      </c>
      <c r="D6" s="157" t="s">
        <v>855</v>
      </c>
      <c r="E6" s="157"/>
      <c r="F6" s="157"/>
      <c r="G6" s="157" t="s">
        <v>856</v>
      </c>
      <c r="H6" s="157"/>
      <c r="I6" s="157"/>
      <c r="J6" s="157" t="s">
        <v>857</v>
      </c>
      <c r="K6" s="157"/>
      <c r="L6" s="157" t="s">
        <v>316</v>
      </c>
    </row>
    <row r="7" spans="1:17" ht="30" customHeight="1" x14ac:dyDescent="0.4">
      <c r="B7" s="157"/>
      <c r="C7" s="157"/>
      <c r="D7" s="69" t="s">
        <v>52</v>
      </c>
      <c r="E7" s="69" t="s">
        <v>377</v>
      </c>
      <c r="F7" s="69" t="s">
        <v>309</v>
      </c>
      <c r="G7" s="69" t="s">
        <v>858</v>
      </c>
      <c r="H7" s="69" t="s">
        <v>859</v>
      </c>
      <c r="I7" s="69" t="s">
        <v>605</v>
      </c>
      <c r="J7" s="69" t="s">
        <v>860</v>
      </c>
      <c r="K7" s="69" t="s">
        <v>858</v>
      </c>
      <c r="L7" s="157"/>
      <c r="M7" t="s">
        <v>309</v>
      </c>
      <c r="N7" s="24" t="s">
        <v>858</v>
      </c>
      <c r="O7" t="s">
        <v>859</v>
      </c>
      <c r="P7" t="s">
        <v>861</v>
      </c>
      <c r="Q7" t="s">
        <v>862</v>
      </c>
    </row>
    <row r="8" spans="1:17" ht="25.95" customHeight="1" x14ac:dyDescent="0.4">
      <c r="B8" s="70"/>
      <c r="C8" s="71">
        <f>IF(기초자료입력!B44&lt;&gt;"",1,"")</f>
        <v>1</v>
      </c>
      <c r="D8" s="71" t="str">
        <f>IF(기초자료입력!B44&lt;&gt;"",기초자료입력!B44,"")</f>
        <v>스마트</v>
      </c>
      <c r="E8" s="71" t="str">
        <f>IF(기초자료입력!S44&lt;&gt;"",기초자료입력!S44,"")</f>
        <v>상상로</v>
      </c>
      <c r="F8" s="71" t="str">
        <f>IF(기초자료입력!X44&lt;&gt;"",기초자료입력!X44,"")</f>
        <v/>
      </c>
      <c r="G8" s="70"/>
      <c r="H8" s="70"/>
      <c r="I8" s="70"/>
      <c r="J8" s="70"/>
      <c r="K8" s="70"/>
      <c r="L8" s="70"/>
    </row>
    <row r="9" spans="1:17" ht="25.95" customHeight="1" x14ac:dyDescent="0.4">
      <c r="B9" s="70"/>
      <c r="C9" s="71" t="str">
        <f>IF(기초자료입력!B45&lt;&gt;"",2,"")</f>
        <v/>
      </c>
      <c r="D9" s="71" t="str">
        <f>IF(기초자료입력!B45&lt;&gt;"",기초자료입력!B45,"")</f>
        <v/>
      </c>
      <c r="E9" s="71" t="str">
        <f>IF(기초자료입력!S45&lt;&gt;"",기초자료입력!S45,"")</f>
        <v/>
      </c>
      <c r="F9" s="71" t="str">
        <f>IF(기초자료입력!X45&lt;&gt;"",기초자료입력!X45,"")</f>
        <v/>
      </c>
      <c r="G9" s="70"/>
      <c r="H9" s="70"/>
      <c r="I9" s="70"/>
      <c r="J9" s="70"/>
      <c r="K9" s="70"/>
      <c r="L9" s="70"/>
    </row>
    <row r="10" spans="1:17" ht="25.95" customHeight="1" x14ac:dyDescent="0.4">
      <c r="B10" s="70"/>
      <c r="C10" s="71" t="str">
        <f>IF(기초자료입력!B46&lt;&gt;"",3,"")</f>
        <v/>
      </c>
      <c r="D10" s="71" t="str">
        <f>IF(기초자료입력!B46&lt;&gt;"",기초자료입력!B46,"")</f>
        <v/>
      </c>
      <c r="E10" s="71" t="str">
        <f>IF(기초자료입력!S46&lt;&gt;"",기초자료입력!S46,"")</f>
        <v/>
      </c>
      <c r="F10" s="71" t="str">
        <f>IF(기초자료입력!X46&lt;&gt;"",기초자료입력!X46,"")</f>
        <v/>
      </c>
      <c r="G10" s="70"/>
      <c r="H10" s="70"/>
      <c r="I10" s="70"/>
      <c r="J10" s="70"/>
      <c r="K10" s="70"/>
      <c r="L10" s="70"/>
    </row>
    <row r="11" spans="1:17" ht="25.95" customHeight="1" x14ac:dyDescent="0.4">
      <c r="B11" s="70"/>
      <c r="C11" s="71" t="str">
        <f>IF(기초자료입력!B47&lt;&gt;"",4,"")</f>
        <v/>
      </c>
      <c r="D11" s="71" t="str">
        <f>IF(기초자료입력!B47&lt;&gt;"",기초자료입력!B47,"")</f>
        <v/>
      </c>
      <c r="E11" s="71" t="str">
        <f>IF(기초자료입력!S47&lt;&gt;"",기초자료입력!S47,"")</f>
        <v/>
      </c>
      <c r="F11" s="71" t="str">
        <f>IF(기초자료입력!X47&lt;&gt;"",기초자료입력!X47,"")</f>
        <v/>
      </c>
      <c r="G11" s="70"/>
      <c r="H11" s="70"/>
      <c r="I11" s="70"/>
      <c r="J11" s="70"/>
      <c r="K11" s="70"/>
      <c r="L11" s="70"/>
    </row>
    <row r="12" spans="1:17" ht="25.95" customHeight="1" x14ac:dyDescent="0.4">
      <c r="B12" s="70"/>
      <c r="C12" s="71" t="str">
        <f>IF(기초자료입력!B48&lt;&gt;"",5,"")</f>
        <v/>
      </c>
      <c r="D12" s="71" t="str">
        <f>IF(기초자료입력!B48&lt;&gt;"",기초자료입력!B48,"")</f>
        <v/>
      </c>
      <c r="E12" s="71" t="str">
        <f>IF(기초자료입력!S48&lt;&gt;"",기초자료입력!S48,"")</f>
        <v/>
      </c>
      <c r="F12" s="71" t="str">
        <f>IF(기초자료입력!X48&lt;&gt;"",기초자료입력!X48,"")</f>
        <v/>
      </c>
      <c r="G12" s="70"/>
      <c r="H12" s="70"/>
      <c r="I12" s="70"/>
      <c r="J12" s="70"/>
      <c r="K12" s="70"/>
      <c r="L12" s="70"/>
    </row>
    <row r="13" spans="1:17" ht="25.95" customHeight="1" x14ac:dyDescent="0.4">
      <c r="B13" s="70"/>
      <c r="C13" s="71" t="str">
        <f>IF(기초자료입력!B49&lt;&gt;"",6,"")</f>
        <v/>
      </c>
      <c r="D13" s="71" t="str">
        <f>IF(기초자료입력!B49&lt;&gt;"",기초자료입력!B49,"")</f>
        <v/>
      </c>
      <c r="E13" s="71" t="str">
        <f>IF(기초자료입력!S49&lt;&gt;"",기초자료입력!S49,"")</f>
        <v/>
      </c>
      <c r="F13" s="71" t="str">
        <f>IF(기초자료입력!X49&lt;&gt;"",기초자료입력!X49,"")</f>
        <v/>
      </c>
      <c r="G13" s="70"/>
      <c r="H13" s="70"/>
      <c r="I13" s="70"/>
      <c r="J13" s="70"/>
      <c r="K13" s="70"/>
      <c r="L13" s="70"/>
    </row>
    <row r="14" spans="1:17" ht="25.95" customHeight="1" x14ac:dyDescent="0.4">
      <c r="B14" s="70"/>
      <c r="C14" s="71" t="str">
        <f>IF(기초자료입력!B50&lt;&gt;"",7,"")</f>
        <v/>
      </c>
      <c r="D14" s="71" t="str">
        <f>IF(기초자료입력!B50&lt;&gt;"",기초자료입력!B50,"")</f>
        <v/>
      </c>
      <c r="E14" s="71" t="str">
        <f>IF(기초자료입력!S50&lt;&gt;"",기초자료입력!S50,"")</f>
        <v/>
      </c>
      <c r="F14" s="71" t="str">
        <f>IF(기초자료입력!X50&lt;&gt;"",기초자료입력!X50,"")</f>
        <v/>
      </c>
      <c r="G14" s="70"/>
      <c r="H14" s="70"/>
      <c r="I14" s="70"/>
      <c r="J14" s="70"/>
      <c r="K14" s="70"/>
      <c r="L14" s="70"/>
    </row>
    <row r="15" spans="1:17" ht="25.95" customHeight="1" x14ac:dyDescent="0.4">
      <c r="B15" s="70"/>
      <c r="C15" s="71" t="str">
        <f>IF(기초자료입력!B51&lt;&gt;"",8,"")</f>
        <v/>
      </c>
      <c r="D15" s="71" t="str">
        <f>IF(기초자료입력!B51&lt;&gt;"",기초자료입력!B51,"")</f>
        <v/>
      </c>
      <c r="E15" s="71" t="str">
        <f>IF(기초자료입력!S51&lt;&gt;"",기초자료입력!S51,"")</f>
        <v/>
      </c>
      <c r="F15" s="71" t="str">
        <f>IF(기초자료입력!X51&lt;&gt;"",기초자료입력!X51,"")</f>
        <v/>
      </c>
      <c r="G15" s="70"/>
      <c r="H15" s="70"/>
      <c r="I15" s="70"/>
      <c r="J15" s="70"/>
      <c r="K15" s="70"/>
      <c r="L15" s="70"/>
    </row>
    <row r="16" spans="1:17" ht="25.95" customHeight="1" x14ac:dyDescent="0.4">
      <c r="B16" s="70"/>
      <c r="C16" s="71" t="str">
        <f>IF(기초자료입력!B52&lt;&gt;"",9,"")</f>
        <v/>
      </c>
      <c r="D16" s="71" t="str">
        <f>IF(기초자료입력!B52&lt;&gt;"",기초자료입력!B52,"")</f>
        <v/>
      </c>
      <c r="E16" s="71" t="str">
        <f>IF(기초자료입력!S52&lt;&gt;"",기초자료입력!S52,"")</f>
        <v/>
      </c>
      <c r="F16" s="71" t="str">
        <f>IF(기초자료입력!X52&lt;&gt;"",기초자료입력!X52,"")</f>
        <v/>
      </c>
      <c r="G16" s="70"/>
      <c r="H16" s="70"/>
      <c r="I16" s="70"/>
      <c r="J16" s="70"/>
      <c r="K16" s="70"/>
      <c r="L16" s="70"/>
    </row>
    <row r="17" spans="2:12" ht="25.95" customHeight="1" x14ac:dyDescent="0.4">
      <c r="B17" s="70"/>
      <c r="C17" s="71" t="str">
        <f>IF(기초자료입력!B53&lt;&gt;"",10,"")</f>
        <v/>
      </c>
      <c r="D17" s="71" t="str">
        <f>IF(기초자료입력!B53&lt;&gt;"",기초자료입력!B53,"")</f>
        <v/>
      </c>
      <c r="E17" s="71" t="str">
        <f>IF(기초자료입력!S53&lt;&gt;"",기초자료입력!S53,"")</f>
        <v/>
      </c>
      <c r="F17" s="71" t="str">
        <f>IF(기초자료입력!X53&lt;&gt;"",기초자료입력!X53,"")</f>
        <v/>
      </c>
      <c r="G17" s="70"/>
      <c r="H17" s="70"/>
      <c r="I17" s="70"/>
      <c r="J17" s="70"/>
      <c r="K17" s="70"/>
      <c r="L17" s="70"/>
    </row>
    <row r="18" spans="2:12" x14ac:dyDescent="0.4">
      <c r="B18" s="37"/>
      <c r="C18" s="37"/>
      <c r="D18" s="37"/>
      <c r="E18" s="37"/>
      <c r="F18" s="37"/>
      <c r="G18" s="37"/>
      <c r="H18" s="37"/>
      <c r="I18" s="37"/>
      <c r="J18" s="37"/>
      <c r="K18" s="37"/>
      <c r="L18" s="37"/>
    </row>
    <row r="19" spans="2:12" x14ac:dyDescent="0.4">
      <c r="B19" s="37"/>
      <c r="C19" s="37"/>
      <c r="D19" s="37"/>
      <c r="E19" s="37"/>
      <c r="F19" s="37"/>
      <c r="G19" s="37"/>
      <c r="H19" s="37"/>
      <c r="I19" s="37"/>
      <c r="J19" s="37"/>
      <c r="K19" s="37"/>
      <c r="L19" s="37"/>
    </row>
    <row r="20" spans="2:12" x14ac:dyDescent="0.4">
      <c r="B20" s="92" t="s">
        <v>863</v>
      </c>
      <c r="C20" s="92"/>
      <c r="D20" s="92"/>
      <c r="E20" s="92"/>
      <c r="F20" s="92"/>
      <c r="G20" s="92"/>
      <c r="H20" s="92"/>
      <c r="I20" s="92"/>
      <c r="J20" s="92"/>
      <c r="K20" s="92"/>
      <c r="L20" s="92"/>
    </row>
    <row r="21" spans="2:12" x14ac:dyDescent="0.4">
      <c r="B21" s="92" t="s">
        <v>864</v>
      </c>
      <c r="C21" s="92"/>
      <c r="D21" s="92"/>
      <c r="E21" s="92"/>
      <c r="F21" s="92"/>
      <c r="G21" s="92"/>
      <c r="H21" s="92"/>
      <c r="I21" s="92"/>
      <c r="J21" s="92"/>
      <c r="K21" s="92"/>
      <c r="L21" s="92"/>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C805-7D36-4672-A620-B49C17E13F86}">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8"/>
    </row>
    <row r="3" spans="1:8" x14ac:dyDescent="0.4">
      <c r="B3" s="97" t="str">
        <f>IF(기초자료입력!C4&lt;&gt;"",기초자료입력!C4,"○○학교")&amp;" 교복 제안서 평가위원회 개최"</f>
        <v>전주고 교복 제안서 평가위원회 개최</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500</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IF(기초자료입력!C22&lt;&gt;"",기초자료입력!C22,IF(기초자료입력!C5&lt;&gt;"",기초자료입력!C5,"20○○")&amp;"학년도 교복 학교주관구매 제안서 평가위원회 개최")</f>
        <v>전주고 교복구매건</v>
      </c>
      <c r="D9" s="93"/>
      <c r="E9" s="93"/>
      <c r="F9" s="93"/>
      <c r="G9" s="93"/>
      <c r="H9" s="93"/>
    </row>
    <row r="10" spans="1:8" x14ac:dyDescent="0.4">
      <c r="B10" s="37"/>
      <c r="C10" s="37"/>
      <c r="D10" s="37"/>
      <c r="E10" s="37"/>
      <c r="F10" s="37"/>
      <c r="G10" s="37"/>
      <c r="H10" s="37"/>
    </row>
    <row r="11" spans="1:8" x14ac:dyDescent="0.4">
      <c r="B11" s="94" t="str">
        <f>"1. "&amp;IF(기초자료입력!C23&lt;&gt;"",기초자료입력!C23,"관련 문서를 확인하십시오.")</f>
        <v>1. 전주고-24244(26.1.1.)</v>
      </c>
      <c r="C11" s="92"/>
      <c r="D11" s="92"/>
      <c r="E11" s="92"/>
      <c r="F11" s="92"/>
      <c r="G11" s="92"/>
      <c r="H11" s="92"/>
    </row>
    <row r="12" spans="1:8" x14ac:dyDescent="0.4">
      <c r="B12" s="37"/>
      <c r="C12" s="37"/>
      <c r="D12" s="37"/>
      <c r="E12" s="37"/>
      <c r="F12" s="37"/>
      <c r="G12" s="37"/>
      <c r="H12" s="37"/>
    </row>
    <row r="13" spans="1:8" ht="28.05" customHeight="1" x14ac:dyDescent="0.4">
      <c r="B13" s="110"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52" t="s">
        <v>865</v>
      </c>
      <c r="C16" s="158"/>
      <c r="D16" s="92"/>
      <c r="E16" s="92"/>
      <c r="F16" s="92"/>
      <c r="G16" s="92"/>
      <c r="H16" s="92"/>
    </row>
    <row r="17" spans="2:8" x14ac:dyDescent="0.4">
      <c r="B17" s="52" t="s">
        <v>866</v>
      </c>
      <c r="C17" s="158"/>
      <c r="D17" s="92"/>
      <c r="E17" s="92"/>
      <c r="F17" s="92"/>
      <c r="G17" s="92"/>
      <c r="H17" s="92"/>
    </row>
    <row r="18" spans="2:8" x14ac:dyDescent="0.4">
      <c r="B18" s="52" t="s">
        <v>867</v>
      </c>
      <c r="C18" s="92" t="str">
        <f>IF(COUNTA(기초자료입력!B58:B67)&gt;0,"평가위원 "&amp;COUNTA(기초자료입력!B58:B67)&amp;"명","")</f>
        <v/>
      </c>
      <c r="D18" s="92"/>
      <c r="E18" s="92"/>
      <c r="F18" s="92"/>
      <c r="G18" s="92"/>
      <c r="H18" s="92"/>
    </row>
    <row r="19" spans="2:8" x14ac:dyDescent="0.4">
      <c r="B19" s="37"/>
      <c r="C19" s="37"/>
      <c r="D19" s="37"/>
      <c r="E19" s="37"/>
      <c r="F19" s="37"/>
      <c r="G19" s="37"/>
      <c r="H19" s="37"/>
    </row>
    <row r="20" spans="2:8" x14ac:dyDescent="0.4">
      <c r="B20" s="62" t="s">
        <v>510</v>
      </c>
      <c r="C20" s="62" t="s">
        <v>326</v>
      </c>
      <c r="D20" s="62" t="s">
        <v>512</v>
      </c>
      <c r="E20" s="62" t="s">
        <v>316</v>
      </c>
      <c r="F20" s="37"/>
      <c r="G20" s="37"/>
      <c r="H20" s="37"/>
    </row>
    <row r="21" spans="2:8" x14ac:dyDescent="0.4">
      <c r="B21" s="28" t="str">
        <f>IF(기초자료입력!B58&lt;&gt;"",1,"")</f>
        <v/>
      </c>
      <c r="C21" s="28" t="str">
        <f>IF(기초자료입력!B58&lt;&gt;"","위원장","")</f>
        <v/>
      </c>
      <c r="D21" s="28" t="str">
        <f>IF(기초자료입력!C58&lt;&gt;"",기초자료입력!C58,"")</f>
        <v/>
      </c>
      <c r="E21" s="28"/>
      <c r="F21" s="37"/>
      <c r="G21" s="37"/>
      <c r="H21" s="37"/>
    </row>
    <row r="22" spans="2:8" x14ac:dyDescent="0.4">
      <c r="B22" s="28" t="str">
        <f>IF(기초자료입력!B59&lt;&gt;"",2,"")</f>
        <v/>
      </c>
      <c r="C22" s="28" t="str">
        <f>IF(기초자료입력!B59&lt;&gt;"","부위원장","")</f>
        <v/>
      </c>
      <c r="D22" s="28" t="str">
        <f>IF(기초자료입력!C59&lt;&gt;"",기초자료입력!C59,"")</f>
        <v/>
      </c>
      <c r="E22" s="28"/>
      <c r="F22" s="37"/>
      <c r="G22" s="37"/>
      <c r="H22" s="37"/>
    </row>
    <row r="23" spans="2:8" x14ac:dyDescent="0.4">
      <c r="B23" s="28" t="str">
        <f>IF(기초자료입력!B60&lt;&gt;"",3,"")</f>
        <v/>
      </c>
      <c r="C23" s="28" t="str">
        <f>IF(기초자료입력!B60&lt;&gt;"","위원","")</f>
        <v/>
      </c>
      <c r="D23" s="28" t="str">
        <f>IF(기초자료입력!C60&lt;&gt;"",기초자료입력!C60,"")</f>
        <v/>
      </c>
      <c r="E23" s="28"/>
      <c r="F23" s="37"/>
      <c r="G23" s="37"/>
      <c r="H23" s="37"/>
    </row>
    <row r="24" spans="2:8" x14ac:dyDescent="0.4">
      <c r="B24" s="28" t="str">
        <f>IF(기초자료입력!B61&lt;&gt;"",4,"")</f>
        <v/>
      </c>
      <c r="C24" s="28" t="str">
        <f>IF(기초자료입력!B61&lt;&gt;"","위원","")</f>
        <v/>
      </c>
      <c r="D24" s="28" t="str">
        <f>IF(기초자료입력!C61&lt;&gt;"",기초자료입력!C61,"")</f>
        <v/>
      </c>
      <c r="E24" s="28"/>
      <c r="F24" s="37"/>
      <c r="G24" s="37"/>
      <c r="H24" s="37"/>
    </row>
    <row r="25" spans="2:8" x14ac:dyDescent="0.4">
      <c r="B25" s="28" t="str">
        <f>IF(기초자료입력!B62&lt;&gt;"",5,"")</f>
        <v/>
      </c>
      <c r="C25" s="28" t="str">
        <f>IF(기초자료입력!B62&lt;&gt;"","위원","")</f>
        <v/>
      </c>
      <c r="D25" s="28" t="str">
        <f>IF(기초자료입력!C62&lt;&gt;"",기초자료입력!C62,"")</f>
        <v/>
      </c>
      <c r="E25" s="28"/>
      <c r="F25" s="37"/>
      <c r="G25" s="37"/>
      <c r="H25" s="37"/>
    </row>
    <row r="26" spans="2:8" x14ac:dyDescent="0.4">
      <c r="B26" s="28" t="str">
        <f>IF(기초자료입력!B63&lt;&gt;"",6,"")</f>
        <v/>
      </c>
      <c r="C26" s="28" t="str">
        <f>IF(기초자료입력!B63&lt;&gt;"","위원","")</f>
        <v/>
      </c>
      <c r="D26" s="28" t="str">
        <f>IF(기초자료입력!C63&lt;&gt;"",기초자료입력!C63,"")</f>
        <v/>
      </c>
      <c r="E26" s="28"/>
      <c r="F26" s="37"/>
      <c r="G26" s="37"/>
      <c r="H26" s="37"/>
    </row>
    <row r="27" spans="2:8" x14ac:dyDescent="0.4">
      <c r="B27" s="28" t="str">
        <f>IF(기초자료입력!B64&lt;&gt;"",7,"")</f>
        <v/>
      </c>
      <c r="C27" s="28" t="str">
        <f>IF(기초자료입력!B64&lt;&gt;"","위원","")</f>
        <v/>
      </c>
      <c r="D27" s="28" t="str">
        <f>IF(기초자료입력!C64&lt;&gt;"",기초자료입력!C64,"")</f>
        <v/>
      </c>
      <c r="E27" s="28"/>
      <c r="F27" s="37"/>
      <c r="G27" s="37"/>
      <c r="H27" s="37"/>
    </row>
    <row r="28" spans="2:8" x14ac:dyDescent="0.4">
      <c r="B28" s="28" t="str">
        <f>IF(기초자료입력!B65&lt;&gt;"",8,"")</f>
        <v/>
      </c>
      <c r="C28" s="28" t="str">
        <f>IF(기초자료입력!B65&lt;&gt;"","위원","")</f>
        <v/>
      </c>
      <c r="D28" s="28" t="str">
        <f>IF(기초자료입력!C65&lt;&gt;"",기초자료입력!C65,"")</f>
        <v/>
      </c>
      <c r="E28" s="28"/>
      <c r="F28" s="37"/>
      <c r="G28" s="37"/>
      <c r="H28" s="37"/>
    </row>
    <row r="29" spans="2:8" x14ac:dyDescent="0.4">
      <c r="B29" s="28" t="str">
        <f>IF(기초자료입력!B66&lt;&gt;"",9,"")</f>
        <v/>
      </c>
      <c r="C29" s="28" t="str">
        <f>IF(기초자료입력!B66&lt;&gt;"","위원","")</f>
        <v/>
      </c>
      <c r="D29" s="28" t="str">
        <f>IF(기초자료입력!C66&lt;&gt;"",기초자료입력!C66,"")</f>
        <v/>
      </c>
      <c r="E29" s="28"/>
      <c r="F29" s="37"/>
      <c r="G29" s="37"/>
      <c r="H29" s="37"/>
    </row>
    <row r="30" spans="2:8" x14ac:dyDescent="0.4">
      <c r="B30" s="28" t="str">
        <f>IF(기초자료입력!B67&lt;&gt;"",10,"")</f>
        <v/>
      </c>
      <c r="C30" s="28" t="str">
        <f>IF(기초자료입력!B67&lt;&gt;"","위원","")</f>
        <v/>
      </c>
      <c r="D30" s="28" t="str">
        <f>IF(기초자료입력!C67&lt;&gt;"",기초자료입력!C67,"")</f>
        <v/>
      </c>
      <c r="E30" s="28"/>
      <c r="F30" s="37"/>
      <c r="G30" s="37"/>
      <c r="H30" s="37"/>
    </row>
    <row r="31" spans="2:8" x14ac:dyDescent="0.4">
      <c r="B31" s="37"/>
      <c r="C31" s="37"/>
      <c r="D31" s="37"/>
      <c r="E31" s="37"/>
      <c r="F31" s="37"/>
      <c r="G31" s="37"/>
      <c r="H31" s="37"/>
    </row>
    <row r="32" spans="2:8" x14ac:dyDescent="0.4">
      <c r="B32" s="92" t="s">
        <v>868</v>
      </c>
      <c r="C32" s="92"/>
      <c r="D32" s="92"/>
      <c r="E32" s="92"/>
      <c r="F32" s="92"/>
      <c r="G32" s="92"/>
      <c r="H32" s="92"/>
    </row>
    <row r="33" spans="2:8" x14ac:dyDescent="0.4">
      <c r="B33" s="37"/>
      <c r="C33" s="37"/>
      <c r="D33" s="37"/>
      <c r="E33" s="37"/>
      <c r="F33" s="37"/>
      <c r="G33" s="37"/>
      <c r="H33" s="37"/>
    </row>
    <row r="34" spans="2:8" x14ac:dyDescent="0.4">
      <c r="B34" s="37"/>
      <c r="C34" s="37"/>
      <c r="D34" s="37"/>
      <c r="E34" s="37"/>
      <c r="F34" s="37"/>
      <c r="G34" s="37"/>
      <c r="H34" s="37"/>
    </row>
    <row r="35" spans="2:8" ht="28.05" customHeight="1" x14ac:dyDescent="0.4">
      <c r="B35" s="37"/>
      <c r="C35" s="37"/>
      <c r="D35" s="37"/>
      <c r="E35" s="37"/>
      <c r="F35" s="55" t="str">
        <f>"담당"&amp;CHAR(10)&amp;IF(기초자료입력!$C$10&lt;&gt;"",기초자료입력!$C$10,"")</f>
        <v>담당
윤호</v>
      </c>
      <c r="G35" s="55" t="s">
        <v>304</v>
      </c>
      <c r="H35" s="55" t="str">
        <f>"교장"&amp;CHAR(10)&amp;IF(기초자료입력!$F$10&lt;&gt;"",기초자료입력!$F$10,"")</f>
        <v>교장
김호</v>
      </c>
    </row>
    <row r="36" spans="2:8" x14ac:dyDescent="0.4">
      <c r="B36" s="52" t="s">
        <v>305</v>
      </c>
      <c r="C36" s="92" t="str">
        <f>IF(기초자료입력!C9&lt;&gt;"",기초자료입력!C9&amp;IF(기초자료입력!C8&lt;&gt;"","("&amp;TEXT(기초자료입력!C8,"yyyy.m.d.")&amp;")",""),"")</f>
        <v>전주고-24244(26.1.1.)(2026.1.1.)</v>
      </c>
      <c r="D36" s="92"/>
      <c r="E36" s="92"/>
      <c r="F36" s="54" t="s">
        <v>306</v>
      </c>
      <c r="G36" s="93"/>
      <c r="H36" s="93"/>
    </row>
    <row r="37" spans="2:8" x14ac:dyDescent="0.4">
      <c r="B37" s="52" t="s">
        <v>307</v>
      </c>
      <c r="C37" s="37"/>
      <c r="D37" s="52" t="s">
        <v>308</v>
      </c>
      <c r="E37" s="92" t="str">
        <f>IFERROR(INDEX(학교정보!$F$2:$F$121,MATCH(기초자료입력!$C$4,학교정보!$E$2:$E$121,0)),"")</f>
        <v/>
      </c>
      <c r="F37" s="93"/>
      <c r="G37" s="93"/>
      <c r="H37" s="93"/>
    </row>
    <row r="38" spans="2:8" x14ac:dyDescent="0.4">
      <c r="B38" s="52" t="s">
        <v>309</v>
      </c>
      <c r="C38" s="37" t="str">
        <f>IFERROR(INDEX(학교정보!$G$2:$G$121,MATCH(기초자료입력!$C$4,학교정보!$E$2:$E$121,0)),"")</f>
        <v/>
      </c>
      <c r="D38" s="52" t="s">
        <v>310</v>
      </c>
      <c r="E38" s="37"/>
      <c r="F38" s="54" t="s">
        <v>311</v>
      </c>
      <c r="G38" s="93"/>
      <c r="H38" s="93"/>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86E99-4B93-4C97-9905-FABED1D5DB05}">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8"/>
    </row>
    <row r="3" spans="1:8" x14ac:dyDescent="0.4">
      <c r="B3" s="97" t="str">
        <f>IF(기초자료입력!C4&lt;&gt;"",기초자료입력!C4,"○○학교")&amp;" 교복 구매 제안서 정량평가 결과"</f>
        <v>전주고 교복 구매 제안서 정량평가 결과</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500</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IF(기초자료입력!C22&lt;&gt;"",기초자료입력!C22,IF(기초자료입력!C5&lt;&gt;"",기초자료입력!C5,"20○○")&amp;"학년도 교복 학교주관구매 제안서 정량평가 결과 보고")</f>
        <v>전주고 교복구매건</v>
      </c>
      <c r="D9" s="93"/>
      <c r="E9" s="93"/>
      <c r="F9" s="93"/>
      <c r="G9" s="93"/>
      <c r="H9" s="93"/>
    </row>
    <row r="10" spans="1:8" x14ac:dyDescent="0.4">
      <c r="B10" s="37"/>
      <c r="C10" s="37"/>
      <c r="D10" s="37"/>
      <c r="E10" s="37"/>
      <c r="F10" s="37"/>
      <c r="G10" s="37"/>
      <c r="H10" s="37"/>
    </row>
    <row r="11" spans="1:8" x14ac:dyDescent="0.4">
      <c r="B11" s="94" t="str">
        <f>"1. "&amp;IF(기초자료입력!C23&lt;&gt;"",기초자료입력!C23,"관련 문서를 확인하십시오.")</f>
        <v>1. 전주고-24244(26.1.1.)</v>
      </c>
      <c r="C11" s="92"/>
      <c r="D11" s="92"/>
      <c r="E11" s="92"/>
      <c r="F11" s="92"/>
      <c r="G11" s="92"/>
      <c r="H11" s="92"/>
    </row>
    <row r="12" spans="1:8" x14ac:dyDescent="0.4">
      <c r="B12" s="37"/>
      <c r="C12" s="37"/>
      <c r="D12" s="37"/>
      <c r="E12" s="37"/>
      <c r="F12" s="37"/>
      <c r="G12" s="37"/>
      <c r="H12" s="37"/>
    </row>
    <row r="13" spans="1:8" ht="31.95" customHeight="1" x14ac:dyDescent="0.4">
      <c r="B13" s="11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94" t="s">
        <v>869</v>
      </c>
      <c r="C16" s="92"/>
      <c r="D16" s="92"/>
      <c r="E16" s="92"/>
      <c r="F16" s="92"/>
      <c r="G16" s="92"/>
      <c r="H16" s="92"/>
    </row>
    <row r="17" spans="2:8" x14ac:dyDescent="0.4">
      <c r="B17" s="120" t="s">
        <v>510</v>
      </c>
      <c r="C17" s="120" t="s">
        <v>52</v>
      </c>
      <c r="D17" s="120" t="s">
        <v>328</v>
      </c>
      <c r="E17" s="120"/>
      <c r="F17" s="120"/>
      <c r="G17" s="120"/>
      <c r="H17" s="120"/>
    </row>
    <row r="18" spans="2:8" x14ac:dyDescent="0.4">
      <c r="B18" s="120"/>
      <c r="C18" s="120"/>
      <c r="D18" s="62" t="s">
        <v>870</v>
      </c>
      <c r="E18" s="62" t="s">
        <v>871</v>
      </c>
      <c r="F18" s="62" t="s">
        <v>872</v>
      </c>
      <c r="G18" s="62" t="s">
        <v>873</v>
      </c>
      <c r="H18" s="62" t="s">
        <v>296</v>
      </c>
    </row>
    <row r="19" spans="2:8" x14ac:dyDescent="0.4">
      <c r="B19" s="28">
        <f>IF(기초자료입력!B44&lt;&gt;"",1,"")</f>
        <v>1</v>
      </c>
      <c r="C19" s="28" t="str">
        <f>IF(기초자료입력!B44&lt;&gt;"",기초자료입력!B44,"")</f>
        <v>스마트</v>
      </c>
      <c r="D19" s="28">
        <f>IF(OR(기초자료입력!B44="",기초자료입력!C44=""),"",기초자료입력!C44)</f>
        <v>3</v>
      </c>
      <c r="E19" s="28">
        <f>IF(OR(기초자료입력!B44="",기초자료입력!D44=""),"",기초자료입력!D44)</f>
        <v>3</v>
      </c>
      <c r="F19" s="28">
        <f>IF(OR(기초자료입력!B44="",기초자료입력!E44=""),"",기초자료입력!E44)</f>
        <v>3</v>
      </c>
      <c r="G19" s="28">
        <f>IF(OR(기초자료입력!B44="",기초자료입력!F44=""),"",기초자료입력!F44)</f>
        <v>3</v>
      </c>
      <c r="H19" s="28">
        <f>IF(기초자료입력!B44="","",IF(OR(D19="",E19="",F19="",G19=""),"",D19+E19+F19+G19))</f>
        <v>12</v>
      </c>
    </row>
    <row r="20" spans="2:8" x14ac:dyDescent="0.4">
      <c r="B20" s="28" t="str">
        <f>IF(기초자료입력!B45&lt;&gt;"",2,"")</f>
        <v/>
      </c>
      <c r="C20" s="28" t="str">
        <f>IF(기초자료입력!B45&lt;&gt;"",기초자료입력!B45,"")</f>
        <v/>
      </c>
      <c r="D20" s="28" t="str">
        <f>IF(OR(기초자료입력!B45="",기초자료입력!C45=""),"",기초자료입력!C45)</f>
        <v/>
      </c>
      <c r="E20" s="28" t="str">
        <f>IF(OR(기초자료입력!B45="",기초자료입력!D45=""),"",기초자료입력!D45)</f>
        <v/>
      </c>
      <c r="F20" s="28" t="str">
        <f>IF(OR(기초자료입력!B45="",기초자료입력!E45=""),"",기초자료입력!E45)</f>
        <v/>
      </c>
      <c r="G20" s="28" t="str">
        <f>IF(OR(기초자료입력!B45="",기초자료입력!F45=""),"",기초자료입력!F45)</f>
        <v/>
      </c>
      <c r="H20" s="28" t="str">
        <f>IF(기초자료입력!B45="","",IF(OR(D20="",E20="",F20="",G20=""),"",D20+E20+F20+G20))</f>
        <v/>
      </c>
    </row>
    <row r="21" spans="2:8" x14ac:dyDescent="0.4">
      <c r="B21" s="28" t="str">
        <f>IF(기초자료입력!B46&lt;&gt;"",3,"")</f>
        <v/>
      </c>
      <c r="C21" s="28" t="str">
        <f>IF(기초자료입력!B46&lt;&gt;"",기초자료입력!B46,"")</f>
        <v/>
      </c>
      <c r="D21" s="28" t="str">
        <f>IF(OR(기초자료입력!B46="",기초자료입력!C46=""),"",기초자료입력!C46)</f>
        <v/>
      </c>
      <c r="E21" s="28" t="str">
        <f>IF(OR(기초자료입력!B46="",기초자료입력!D46=""),"",기초자료입력!D46)</f>
        <v/>
      </c>
      <c r="F21" s="28" t="str">
        <f>IF(OR(기초자료입력!B46="",기초자료입력!E46=""),"",기초자료입력!E46)</f>
        <v/>
      </c>
      <c r="G21" s="28" t="str">
        <f>IF(OR(기초자료입력!B46="",기초자료입력!F46=""),"",기초자료입력!F46)</f>
        <v/>
      </c>
      <c r="H21" s="28" t="str">
        <f>IF(기초자료입력!B46="","",IF(OR(D21="",E21="",F21="",G21=""),"",D21+E21+F21+G21))</f>
        <v/>
      </c>
    </row>
    <row r="22" spans="2:8" x14ac:dyDescent="0.4">
      <c r="B22" s="28" t="str">
        <f>IF(기초자료입력!B47&lt;&gt;"",4,"")</f>
        <v/>
      </c>
      <c r="C22" s="28" t="str">
        <f>IF(기초자료입력!B47&lt;&gt;"",기초자료입력!B47,"")</f>
        <v/>
      </c>
      <c r="D22" s="28" t="str">
        <f>IF(OR(기초자료입력!B47="",기초자료입력!C47=""),"",기초자료입력!C47)</f>
        <v/>
      </c>
      <c r="E22" s="28" t="str">
        <f>IF(OR(기초자료입력!B47="",기초자료입력!D47=""),"",기초자료입력!D47)</f>
        <v/>
      </c>
      <c r="F22" s="28" t="str">
        <f>IF(OR(기초자료입력!B47="",기초자료입력!E47=""),"",기초자료입력!E47)</f>
        <v/>
      </c>
      <c r="G22" s="28" t="str">
        <f>IF(OR(기초자료입력!B47="",기초자료입력!F47=""),"",기초자료입력!F47)</f>
        <v/>
      </c>
      <c r="H22" s="28" t="str">
        <f>IF(기초자료입력!B47="","",IF(OR(D22="",E22="",F22="",G22=""),"",D22+E22+F22+G22))</f>
        <v/>
      </c>
    </row>
    <row r="23" spans="2:8" x14ac:dyDescent="0.4">
      <c r="B23" s="28" t="str">
        <f>IF(기초자료입력!B48&lt;&gt;"",5,"")</f>
        <v/>
      </c>
      <c r="C23" s="28" t="str">
        <f>IF(기초자료입력!B48&lt;&gt;"",기초자료입력!B48,"")</f>
        <v/>
      </c>
      <c r="D23" s="28" t="str">
        <f>IF(OR(기초자료입력!B48="",기초자료입력!C48=""),"",기초자료입력!C48)</f>
        <v/>
      </c>
      <c r="E23" s="28" t="str">
        <f>IF(OR(기초자료입력!B48="",기초자료입력!D48=""),"",기초자료입력!D48)</f>
        <v/>
      </c>
      <c r="F23" s="28" t="str">
        <f>IF(OR(기초자료입력!B48="",기초자료입력!E48=""),"",기초자료입력!E48)</f>
        <v/>
      </c>
      <c r="G23" s="28" t="str">
        <f>IF(OR(기초자료입력!B48="",기초자료입력!F48=""),"",기초자료입력!F48)</f>
        <v/>
      </c>
      <c r="H23" s="28" t="str">
        <f>IF(기초자료입력!B48="","",IF(OR(D23="",E23="",F23="",G23=""),"",D23+E23+F23+G23))</f>
        <v/>
      </c>
    </row>
    <row r="24" spans="2:8" x14ac:dyDescent="0.4">
      <c r="B24" s="28" t="str">
        <f>IF(기초자료입력!B49&lt;&gt;"",6,"")</f>
        <v/>
      </c>
      <c r="C24" s="28" t="str">
        <f>IF(기초자료입력!B49&lt;&gt;"",기초자료입력!B49,"")</f>
        <v/>
      </c>
      <c r="D24" s="28" t="str">
        <f>IF(OR(기초자료입력!B49="",기초자료입력!C49=""),"",기초자료입력!C49)</f>
        <v/>
      </c>
      <c r="E24" s="28" t="str">
        <f>IF(OR(기초자료입력!B49="",기초자료입력!D49=""),"",기초자료입력!D49)</f>
        <v/>
      </c>
      <c r="F24" s="28" t="str">
        <f>IF(OR(기초자료입력!B49="",기초자료입력!E49=""),"",기초자료입력!E49)</f>
        <v/>
      </c>
      <c r="G24" s="28" t="str">
        <f>IF(OR(기초자료입력!B49="",기초자료입력!F49=""),"",기초자료입력!F49)</f>
        <v/>
      </c>
      <c r="H24" s="28" t="str">
        <f>IF(기초자료입력!B49="","",IF(OR(D24="",E24="",F24="",G24=""),"",D24+E24+F24+G24))</f>
        <v/>
      </c>
    </row>
    <row r="25" spans="2:8" x14ac:dyDescent="0.4">
      <c r="B25" s="28" t="str">
        <f>IF(기초자료입력!B50&lt;&gt;"",7,"")</f>
        <v/>
      </c>
      <c r="C25" s="28" t="str">
        <f>IF(기초자료입력!B50&lt;&gt;"",기초자료입력!B50,"")</f>
        <v/>
      </c>
      <c r="D25" s="28" t="str">
        <f>IF(OR(기초자료입력!B50="",기초자료입력!C50=""),"",기초자료입력!C50)</f>
        <v/>
      </c>
      <c r="E25" s="28" t="str">
        <f>IF(OR(기초자료입력!B50="",기초자료입력!D50=""),"",기초자료입력!D50)</f>
        <v/>
      </c>
      <c r="F25" s="28" t="str">
        <f>IF(OR(기초자료입력!B50="",기초자료입력!E50=""),"",기초자료입력!E50)</f>
        <v/>
      </c>
      <c r="G25" s="28" t="str">
        <f>IF(OR(기초자료입력!B50="",기초자료입력!F50=""),"",기초자료입력!F50)</f>
        <v/>
      </c>
      <c r="H25" s="28" t="str">
        <f>IF(기초자료입력!B50="","",IF(OR(D25="",E25="",F25="",G25=""),"",D25+E25+F25+G25))</f>
        <v/>
      </c>
    </row>
    <row r="26" spans="2:8" x14ac:dyDescent="0.4">
      <c r="B26" s="28" t="str">
        <f>IF(기초자료입력!B51&lt;&gt;"",8,"")</f>
        <v/>
      </c>
      <c r="C26" s="28" t="str">
        <f>IF(기초자료입력!B51&lt;&gt;"",기초자료입력!B51,"")</f>
        <v/>
      </c>
      <c r="D26" s="28" t="str">
        <f>IF(OR(기초자료입력!B51="",기초자료입력!C51=""),"",기초자료입력!C51)</f>
        <v/>
      </c>
      <c r="E26" s="28" t="str">
        <f>IF(OR(기초자료입력!B51="",기초자료입력!D51=""),"",기초자료입력!D51)</f>
        <v/>
      </c>
      <c r="F26" s="28" t="str">
        <f>IF(OR(기초자료입력!B51="",기초자료입력!E51=""),"",기초자료입력!E51)</f>
        <v/>
      </c>
      <c r="G26" s="28" t="str">
        <f>IF(OR(기초자료입력!B51="",기초자료입력!F51=""),"",기초자료입력!F51)</f>
        <v/>
      </c>
      <c r="H26" s="28" t="str">
        <f>IF(기초자료입력!B51="","",IF(OR(D26="",E26="",F26="",G26=""),"",D26+E26+F26+G26))</f>
        <v/>
      </c>
    </row>
    <row r="27" spans="2:8" x14ac:dyDescent="0.4">
      <c r="B27" s="28" t="str">
        <f>IF(기초자료입력!B52&lt;&gt;"",9,"")</f>
        <v/>
      </c>
      <c r="C27" s="28" t="str">
        <f>IF(기초자료입력!B52&lt;&gt;"",기초자료입력!B52,"")</f>
        <v/>
      </c>
      <c r="D27" s="28" t="str">
        <f>IF(OR(기초자료입력!B52="",기초자료입력!C52=""),"",기초자료입력!C52)</f>
        <v/>
      </c>
      <c r="E27" s="28" t="str">
        <f>IF(OR(기초자료입력!B52="",기초자료입력!D52=""),"",기초자료입력!D52)</f>
        <v/>
      </c>
      <c r="F27" s="28" t="str">
        <f>IF(OR(기초자료입력!B52="",기초자료입력!E52=""),"",기초자료입력!E52)</f>
        <v/>
      </c>
      <c r="G27" s="28" t="str">
        <f>IF(OR(기초자료입력!B52="",기초자료입력!F52=""),"",기초자료입력!F52)</f>
        <v/>
      </c>
      <c r="H27" s="28" t="str">
        <f>IF(기초자료입력!B52="","",IF(OR(D27="",E27="",F27="",G27=""),"",D27+E27+F27+G27))</f>
        <v/>
      </c>
    </row>
    <row r="28" spans="2:8" x14ac:dyDescent="0.4">
      <c r="B28" s="28" t="str">
        <f>IF(기초자료입력!B53&lt;&gt;"",10,"")</f>
        <v/>
      </c>
      <c r="C28" s="28" t="str">
        <f>IF(기초자료입력!B53&lt;&gt;"",기초자료입력!B53,"")</f>
        <v/>
      </c>
      <c r="D28" s="28" t="str">
        <f>IF(OR(기초자료입력!B53="",기초자료입력!C53=""),"",기초자료입력!C53)</f>
        <v/>
      </c>
      <c r="E28" s="28" t="str">
        <f>IF(OR(기초자료입력!B53="",기초자료입력!D53=""),"",기초자료입력!D53)</f>
        <v/>
      </c>
      <c r="F28" s="28" t="str">
        <f>IF(OR(기초자료입력!B53="",기초자료입력!E53=""),"",기초자료입력!E53)</f>
        <v/>
      </c>
      <c r="G28" s="28" t="str">
        <f>IF(OR(기초자료입력!B53="",기초자료입력!F53=""),"",기초자료입력!F53)</f>
        <v/>
      </c>
      <c r="H28" s="28" t="str">
        <f>IF(기초자료입력!B53="","",IF(OR(D28="",E28="",F28="",G28=""),"",D28+E28+F28+G28))</f>
        <v/>
      </c>
    </row>
    <row r="29" spans="2:8" x14ac:dyDescent="0.4">
      <c r="B29" s="37"/>
      <c r="C29" s="37"/>
      <c r="D29" s="37"/>
      <c r="E29" s="37"/>
      <c r="F29" s="37"/>
      <c r="G29" s="37"/>
      <c r="H29" s="37"/>
    </row>
    <row r="30" spans="2:8" x14ac:dyDescent="0.4">
      <c r="B30" s="110" t="s">
        <v>874</v>
      </c>
      <c r="C30" s="110"/>
      <c r="D30" s="110"/>
      <c r="E30" s="110"/>
      <c r="F30" s="110"/>
      <c r="G30" s="110"/>
      <c r="H30" s="110"/>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304</v>
      </c>
      <c r="H33" s="55" t="str">
        <f>"교장"&amp;CHAR(10)&amp;IF(기초자료입력!$F$10&lt;&gt;"",기초자료입력!$F$10,"")</f>
        <v>교장
김호</v>
      </c>
    </row>
    <row r="34" spans="2:8" x14ac:dyDescent="0.4">
      <c r="B34" s="52" t="s">
        <v>305</v>
      </c>
      <c r="C34" s="92" t="str">
        <f>IF(기초자료입력!C9&lt;&gt;"",기초자료입력!C9&amp;IF(기초자료입력!C8&lt;&gt;"","("&amp;TEXT(기초자료입력!C8,"yyyy.m.d.")&amp;")",""),"")</f>
        <v>전주고-24244(26.1.1.)(2026.1.1.)</v>
      </c>
      <c r="D34" s="92"/>
      <c r="E34" s="92"/>
      <c r="F34" s="54" t="s">
        <v>306</v>
      </c>
      <c r="G34" s="93"/>
      <c r="H34" s="93"/>
    </row>
    <row r="35" spans="2:8" x14ac:dyDescent="0.4">
      <c r="B35" s="52" t="s">
        <v>307</v>
      </c>
      <c r="C35" s="37"/>
      <c r="D35" s="52" t="s">
        <v>308</v>
      </c>
      <c r="E35" s="92" t="str">
        <f>IFERROR(INDEX(학교정보!$F$2:$F$121,MATCH(기초자료입력!$C$4,학교정보!$E$2:$E$121,0)),"")</f>
        <v/>
      </c>
      <c r="F35" s="93"/>
      <c r="G35" s="93"/>
      <c r="H35" s="93"/>
    </row>
    <row r="36" spans="2:8" x14ac:dyDescent="0.4">
      <c r="B36" s="52" t="s">
        <v>309</v>
      </c>
      <c r="C36" s="37" t="str">
        <f>IFERROR(INDEX(학교정보!$G$2:$G$121,MATCH(기초자료입력!$C$4,학교정보!$E$2:$E$121,0)),"")</f>
        <v/>
      </c>
      <c r="D36" s="52" t="s">
        <v>310</v>
      </c>
      <c r="E36" s="37"/>
      <c r="F36" s="54" t="s">
        <v>311</v>
      </c>
      <c r="G36" s="93"/>
      <c r="H36" s="93"/>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74CC0-3783-4999-BF2E-85EE5667C59C}">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8"/>
    </row>
    <row r="3" spans="1:8" x14ac:dyDescent="0.4">
      <c r="B3" s="97" t="str">
        <f>IF(기초자료입력!C4&lt;&gt;"",기초자료입력!C4,"○○학교")&amp;" 교복 구매 제안서 평가 결과"</f>
        <v>전주고 교복 구매 제안서 평가 결과</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row>
    <row r="6" spans="1:8" x14ac:dyDescent="0.4">
      <c r="B6" s="36"/>
      <c r="C6" s="36"/>
      <c r="D6" s="36"/>
      <c r="E6" s="36"/>
      <c r="F6" s="36"/>
      <c r="G6" s="36"/>
    </row>
    <row r="7" spans="1:8" x14ac:dyDescent="0.4">
      <c r="B7" s="54" t="s">
        <v>292</v>
      </c>
      <c r="C7" s="93" t="s">
        <v>500</v>
      </c>
      <c r="D7" s="93"/>
      <c r="E7" s="93"/>
      <c r="F7" s="93"/>
      <c r="G7" s="93"/>
      <c r="H7" s="85"/>
    </row>
    <row r="8" spans="1:8" x14ac:dyDescent="0.4">
      <c r="B8" s="54" t="s">
        <v>297</v>
      </c>
      <c r="C8" s="93"/>
      <c r="D8" s="93"/>
      <c r="E8" s="93"/>
      <c r="F8" s="93"/>
      <c r="G8" s="93"/>
      <c r="H8" s="85"/>
    </row>
    <row r="9" spans="1:8" x14ac:dyDescent="0.4">
      <c r="B9" s="54" t="s">
        <v>293</v>
      </c>
      <c r="C9" s="95" t="str">
        <f>IF(기초자료입력!C22&lt;&gt;"",기초자료입력!C22,IF(기초자료입력!C5&lt;&gt;"",기초자료입력!C5,"20○○")&amp;"학년도 교복 업체 선정을 위한 제안서 평가 집계결과 보고")</f>
        <v>전주고 교복구매건</v>
      </c>
      <c r="D9" s="93"/>
      <c r="E9" s="93"/>
      <c r="F9" s="93"/>
      <c r="G9" s="93"/>
      <c r="H9" s="85"/>
    </row>
    <row r="10" spans="1:8" x14ac:dyDescent="0.4">
      <c r="B10" s="37"/>
      <c r="C10" s="37"/>
      <c r="D10" s="37"/>
      <c r="E10" s="37"/>
      <c r="F10" s="37"/>
      <c r="G10" s="37"/>
    </row>
    <row r="11" spans="1:8" x14ac:dyDescent="0.4">
      <c r="B11" s="94" t="str">
        <f>"1. 관련："&amp;IF(기초자료입력!C23&lt;&gt;"",기초자료입력!C23,"관련 문서를 확인하십시오.")</f>
        <v>1. 관련：전주고-24244(26.1.1.)</v>
      </c>
      <c r="C11" s="92"/>
      <c r="D11" s="92"/>
      <c r="E11" s="92"/>
      <c r="F11" s="92"/>
      <c r="G11" s="92"/>
      <c r="H11" s="85"/>
    </row>
    <row r="12" spans="1:8" x14ac:dyDescent="0.4">
      <c r="B12" s="37"/>
      <c r="C12" s="37"/>
      <c r="D12" s="37"/>
      <c r="E12" s="37"/>
      <c r="F12" s="37"/>
      <c r="G12" s="37"/>
    </row>
    <row r="13" spans="1:8" ht="28.05" customHeight="1" x14ac:dyDescent="0.4">
      <c r="B13" s="110"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110"/>
      <c r="D13" s="110"/>
      <c r="E13" s="110"/>
      <c r="F13" s="110"/>
      <c r="G13" s="110"/>
      <c r="H13" s="91"/>
    </row>
    <row r="14" spans="1:8" x14ac:dyDescent="0.4">
      <c r="B14" s="110"/>
      <c r="C14" s="110"/>
      <c r="D14" s="110"/>
      <c r="E14" s="110"/>
      <c r="F14" s="110"/>
      <c r="G14" s="110"/>
      <c r="H14" s="91"/>
    </row>
    <row r="15" spans="1:8" x14ac:dyDescent="0.4">
      <c r="B15" s="37"/>
      <c r="C15" s="37"/>
      <c r="D15" s="37"/>
      <c r="E15" s="37"/>
      <c r="F15" s="37"/>
      <c r="G15" s="37"/>
    </row>
    <row r="16" spans="1:8" x14ac:dyDescent="0.4">
      <c r="B16" s="37"/>
      <c r="C16" s="37"/>
      <c r="D16" s="37"/>
      <c r="E16" s="37"/>
      <c r="F16" s="37"/>
      <c r="G16" s="37"/>
    </row>
    <row r="17" spans="2:7" x14ac:dyDescent="0.4">
      <c r="B17" s="120" t="s">
        <v>52</v>
      </c>
      <c r="C17" s="120" t="s">
        <v>875</v>
      </c>
      <c r="D17" s="120"/>
      <c r="E17" s="120"/>
      <c r="F17" s="120" t="s">
        <v>878</v>
      </c>
      <c r="G17" s="120" t="s">
        <v>879</v>
      </c>
    </row>
    <row r="18" spans="2:7" x14ac:dyDescent="0.4">
      <c r="B18" s="120"/>
      <c r="C18" s="62" t="s">
        <v>876</v>
      </c>
      <c r="D18" s="62" t="s">
        <v>877</v>
      </c>
      <c r="E18" s="62" t="s">
        <v>296</v>
      </c>
      <c r="F18" s="120"/>
      <c r="G18" s="120"/>
    </row>
    <row r="19" spans="2:7" x14ac:dyDescent="0.4">
      <c r="B19" s="28" t="str">
        <f>IF(기초자료입력!B44&lt;&gt;"",기초자료입력!B44,"")</f>
        <v>스마트</v>
      </c>
      <c r="C19" s="28">
        <f>IF(기초자료입력!B44="","",IF(OR(기초자료입력!C44="",기초자료입력!D44="",기초자료입력!E44="",기초자료입력!F44=""),"",기초자료입력!C44+기초자료입력!D44+기초자료입력!E44+기초자료입력!F44))</f>
        <v>12</v>
      </c>
      <c r="D19" s="28">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8">
        <f t="shared" ref="E19:E28" si="0">IF(OR(C19="",D19=""),"",C19+D19)</f>
        <v>61</v>
      </c>
      <c r="F19" s="28" t="str">
        <f t="shared" ref="F19:F28" si="1">IF(E19="","",IF(E19&gt;=80,"적격","부적격"))</f>
        <v>부적격</v>
      </c>
      <c r="G19" s="28" t="str">
        <f t="shared" ref="G19:G28" si="2">IF(F19="적격","가격개찰대상","")</f>
        <v/>
      </c>
    </row>
    <row r="20" spans="2:7" x14ac:dyDescent="0.4">
      <c r="B20" s="28" t="str">
        <f>IF(기초자료입력!B45&lt;&gt;"",기초자료입력!B45,"")</f>
        <v/>
      </c>
      <c r="C20" s="28" t="str">
        <f>IF(기초자료입력!B45="","",IF(OR(기초자료입력!C45="",기초자료입력!D45="",기초자료입력!E45="",기초자료입력!F45=""),"",기초자료입력!C45+기초자료입력!D45+기초자료입력!E45+기초자료입력!F45))</f>
        <v/>
      </c>
      <c r="D20" s="28"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8" t="str">
        <f t="shared" si="0"/>
        <v/>
      </c>
      <c r="F20" s="28" t="str">
        <f t="shared" si="1"/>
        <v/>
      </c>
      <c r="G20" s="28" t="str">
        <f t="shared" si="2"/>
        <v/>
      </c>
    </row>
    <row r="21" spans="2:7" x14ac:dyDescent="0.4">
      <c r="B21" s="28" t="str">
        <f>IF(기초자료입력!B46&lt;&gt;"",기초자료입력!B46,"")</f>
        <v/>
      </c>
      <c r="C21" s="28" t="str">
        <f>IF(기초자료입력!B46="","",IF(OR(기초자료입력!C46="",기초자료입력!D46="",기초자료입력!E46="",기초자료입력!F46=""),"",기초자료입력!C46+기초자료입력!D46+기초자료입력!E46+기초자료입력!F46))</f>
        <v/>
      </c>
      <c r="D21" s="28"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8" t="str">
        <f t="shared" si="0"/>
        <v/>
      </c>
      <c r="F21" s="28" t="str">
        <f t="shared" si="1"/>
        <v/>
      </c>
      <c r="G21" s="28" t="str">
        <f t="shared" si="2"/>
        <v/>
      </c>
    </row>
    <row r="22" spans="2:7" x14ac:dyDescent="0.4">
      <c r="B22" s="28" t="str">
        <f>IF(기초자료입력!B47&lt;&gt;"",기초자료입력!B47,"")</f>
        <v/>
      </c>
      <c r="C22" s="28" t="str">
        <f>IF(기초자료입력!B47="","",IF(OR(기초자료입력!C47="",기초자료입력!D47="",기초자료입력!E47="",기초자료입력!F47=""),"",기초자료입력!C47+기초자료입력!D47+기초자료입력!E47+기초자료입력!F47))</f>
        <v/>
      </c>
      <c r="D22" s="28"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8" t="str">
        <f t="shared" si="0"/>
        <v/>
      </c>
      <c r="F22" s="28" t="str">
        <f t="shared" si="1"/>
        <v/>
      </c>
      <c r="G22" s="28" t="str">
        <f t="shared" si="2"/>
        <v/>
      </c>
    </row>
    <row r="23" spans="2:7" x14ac:dyDescent="0.4">
      <c r="B23" s="28" t="str">
        <f>IF(기초자료입력!B48&lt;&gt;"",기초자료입력!B48,"")</f>
        <v/>
      </c>
      <c r="C23" s="28" t="str">
        <f>IF(기초자료입력!B48="","",IF(OR(기초자료입력!C48="",기초자료입력!D48="",기초자료입력!E48="",기초자료입력!F48=""),"",기초자료입력!C48+기초자료입력!D48+기초자료입력!E48+기초자료입력!F48))</f>
        <v/>
      </c>
      <c r="D23" s="28"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8" t="str">
        <f t="shared" si="0"/>
        <v/>
      </c>
      <c r="F23" s="28" t="str">
        <f t="shared" si="1"/>
        <v/>
      </c>
      <c r="G23" s="28" t="str">
        <f t="shared" si="2"/>
        <v/>
      </c>
    </row>
    <row r="24" spans="2:7" x14ac:dyDescent="0.4">
      <c r="B24" s="28" t="str">
        <f>IF(기초자료입력!B49&lt;&gt;"",기초자료입력!B49,"")</f>
        <v/>
      </c>
      <c r="C24" s="28" t="str">
        <f>IF(기초자료입력!B49="","",IF(OR(기초자료입력!C49="",기초자료입력!D49="",기초자료입력!E49="",기초자료입력!F49=""),"",기초자료입력!C49+기초자료입력!D49+기초자료입력!E49+기초자료입력!F49))</f>
        <v/>
      </c>
      <c r="D24" s="28"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8" t="str">
        <f t="shared" si="0"/>
        <v/>
      </c>
      <c r="F24" s="28" t="str">
        <f t="shared" si="1"/>
        <v/>
      </c>
      <c r="G24" s="28" t="str">
        <f t="shared" si="2"/>
        <v/>
      </c>
    </row>
    <row r="25" spans="2:7" x14ac:dyDescent="0.4">
      <c r="B25" s="28" t="str">
        <f>IF(기초자료입력!B50&lt;&gt;"",기초자료입력!B50,"")</f>
        <v/>
      </c>
      <c r="C25" s="28" t="str">
        <f>IF(기초자료입력!B50="","",IF(OR(기초자료입력!C50="",기초자료입력!D50="",기초자료입력!E50="",기초자료입력!F50=""),"",기초자료입력!C50+기초자료입력!D50+기초자료입력!E50+기초자료입력!F50))</f>
        <v/>
      </c>
      <c r="D25" s="28"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8" t="str">
        <f t="shared" si="0"/>
        <v/>
      </c>
      <c r="F25" s="28" t="str">
        <f t="shared" si="1"/>
        <v/>
      </c>
      <c r="G25" s="28" t="str">
        <f t="shared" si="2"/>
        <v/>
      </c>
    </row>
    <row r="26" spans="2:7" x14ac:dyDescent="0.4">
      <c r="B26" s="28" t="str">
        <f>IF(기초자료입력!B51&lt;&gt;"",기초자료입력!B51,"")</f>
        <v/>
      </c>
      <c r="C26" s="28" t="str">
        <f>IF(기초자료입력!B51="","",IF(OR(기초자료입력!C51="",기초자료입력!D51="",기초자료입력!E51="",기초자료입력!F51=""),"",기초자료입력!C51+기초자료입력!D51+기초자료입력!E51+기초자료입력!F51))</f>
        <v/>
      </c>
      <c r="D26" s="28"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8" t="str">
        <f t="shared" si="0"/>
        <v/>
      </c>
      <c r="F26" s="28" t="str">
        <f t="shared" si="1"/>
        <v/>
      </c>
      <c r="G26" s="28" t="str">
        <f t="shared" si="2"/>
        <v/>
      </c>
    </row>
    <row r="27" spans="2:7" x14ac:dyDescent="0.4">
      <c r="B27" s="28" t="str">
        <f>IF(기초자료입력!B52&lt;&gt;"",기초자료입력!B52,"")</f>
        <v/>
      </c>
      <c r="C27" s="28" t="str">
        <f>IF(기초자료입력!B52="","",IF(OR(기초자료입력!C52="",기초자료입력!D52="",기초자료입력!E52="",기초자료입력!F52=""),"",기초자료입력!C52+기초자료입력!D52+기초자료입력!E52+기초자료입력!F52))</f>
        <v/>
      </c>
      <c r="D27" s="28"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8" t="str">
        <f t="shared" si="0"/>
        <v/>
      </c>
      <c r="F27" s="28" t="str">
        <f t="shared" si="1"/>
        <v/>
      </c>
      <c r="G27" s="28" t="str">
        <f t="shared" si="2"/>
        <v/>
      </c>
    </row>
    <row r="28" spans="2:7" x14ac:dyDescent="0.4">
      <c r="B28" s="28" t="str">
        <f>IF(기초자료입력!B53&lt;&gt;"",기초자료입력!B53,"")</f>
        <v/>
      </c>
      <c r="C28" s="28" t="str">
        <f>IF(기초자료입력!B53="","",IF(OR(기초자료입력!C53="",기초자료입력!D53="",기초자료입력!E53="",기초자료입력!F53=""),"",기초자료입력!C53+기초자료입력!D53+기초자료입력!E53+기초자료입력!F53))</f>
        <v/>
      </c>
      <c r="D28" s="28"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8" t="str">
        <f t="shared" si="0"/>
        <v/>
      </c>
      <c r="F28" s="28" t="str">
        <f t="shared" si="1"/>
        <v/>
      </c>
      <c r="G28" s="28" t="str">
        <f t="shared" si="2"/>
        <v/>
      </c>
    </row>
    <row r="29" spans="2:7" x14ac:dyDescent="0.4">
      <c r="B29" s="92" t="s">
        <v>880</v>
      </c>
      <c r="C29" s="92"/>
      <c r="D29" s="92"/>
      <c r="E29" s="92"/>
      <c r="F29" s="92"/>
      <c r="G29" s="92"/>
    </row>
    <row r="30" spans="2:7" x14ac:dyDescent="0.4">
      <c r="B30" s="110" t="s">
        <v>881</v>
      </c>
      <c r="C30" s="110"/>
      <c r="D30" s="110"/>
      <c r="E30" s="110"/>
      <c r="F30" s="110"/>
      <c r="G30" s="110"/>
    </row>
    <row r="31" spans="2:7" x14ac:dyDescent="0.4">
      <c r="B31" s="110"/>
      <c r="C31" s="110"/>
      <c r="D31" s="110"/>
      <c r="E31" s="110"/>
      <c r="F31" s="110"/>
      <c r="G31" s="110"/>
    </row>
    <row r="32" spans="2:7" x14ac:dyDescent="0.4">
      <c r="B32" s="110"/>
      <c r="C32" s="110"/>
      <c r="D32" s="110"/>
      <c r="E32" s="110"/>
      <c r="F32" s="110"/>
      <c r="G32" s="110"/>
    </row>
    <row r="33" spans="2:7" x14ac:dyDescent="0.4">
      <c r="B33" s="110"/>
      <c r="C33" s="110"/>
      <c r="D33" s="110"/>
      <c r="E33" s="110"/>
      <c r="F33" s="110"/>
      <c r="G33" s="110"/>
    </row>
    <row r="34" spans="2:7" x14ac:dyDescent="0.4">
      <c r="B34" s="110"/>
      <c r="C34" s="110"/>
      <c r="D34" s="110"/>
      <c r="E34" s="110"/>
      <c r="F34" s="110"/>
      <c r="G34" s="110"/>
    </row>
    <row r="35" spans="2:7" x14ac:dyDescent="0.4">
      <c r="B35" s="37"/>
      <c r="C35" s="37"/>
      <c r="D35" s="37"/>
      <c r="E35" s="37"/>
      <c r="F35" s="37"/>
      <c r="G35" s="37"/>
    </row>
    <row r="36" spans="2:7" x14ac:dyDescent="0.4">
      <c r="B36" s="37"/>
      <c r="C36" s="37"/>
      <c r="D36" s="37"/>
      <c r="E36" s="37"/>
      <c r="F36" s="37"/>
      <c r="G36" s="37"/>
    </row>
    <row r="37" spans="2:7" ht="28.05" customHeight="1" x14ac:dyDescent="0.4">
      <c r="B37" s="37"/>
      <c r="C37" s="37"/>
      <c r="D37" s="37"/>
      <c r="E37" s="37"/>
      <c r="F37" s="53" t="str">
        <f>"담당"&amp;CHAR(10)&amp;IF(기초자료입력!$C$10&lt;&gt;"",기초자료입력!$C$10,"")</f>
        <v>담당
윤호</v>
      </c>
      <c r="G37" s="53" t="str">
        <f>"교장"&amp;CHAR(10)&amp;IF(기초자료입력!$F$10&lt;&gt;"",기초자료입력!$F$10,"")</f>
        <v>교장
김호</v>
      </c>
    </row>
    <row r="38" spans="2:7" x14ac:dyDescent="0.4">
      <c r="B38" s="52" t="s">
        <v>305</v>
      </c>
      <c r="C38" s="92" t="str">
        <f>IF(기초자료입력!C9&lt;&gt;"",기초자료입력!C9&amp;IF(기초자료입력!C8&lt;&gt;"","("&amp;TEXT(기초자료입력!C8,"yyyy.m.d.")&amp;")",""),"")</f>
        <v>전주고-24244(26.1.1.)(2026.1.1.)</v>
      </c>
      <c r="D38" s="92"/>
      <c r="E38" s="92"/>
      <c r="F38" s="52" t="s">
        <v>306</v>
      </c>
      <c r="G38" s="37"/>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96288-D4DA-4206-BDC1-832A4A8030B6}">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8"/>
    </row>
    <row r="3" spans="1:8" x14ac:dyDescent="0.4">
      <c r="B3" s="115" t="str">
        <f>IF(기초자료입력!C5&lt;&gt;"",기초자료입력!C5&amp;"학년도 ","")&amp;"교복선정 평가위원회 참석 등록부"</f>
        <v>2026학년도 교복선정 평가위원회 참석 등록부</v>
      </c>
      <c r="C3" s="116"/>
      <c r="D3" s="116"/>
      <c r="E3" s="116"/>
      <c r="F3" s="116"/>
      <c r="G3" s="116"/>
      <c r="H3" s="116"/>
    </row>
    <row r="4" spans="1:8" x14ac:dyDescent="0.4">
      <c r="B4" s="19"/>
      <c r="C4" s="19"/>
      <c r="D4" s="19"/>
      <c r="E4" s="19"/>
      <c r="F4" s="19"/>
      <c r="G4" s="19"/>
      <c r="H4" s="19"/>
    </row>
    <row r="5" spans="1:8" x14ac:dyDescent="0.4">
      <c r="B5" s="116" t="str">
        <f>IF(기초자료입력!C4&lt;&gt;"",기초자료입력!C4,"")&amp;IF(기초자료입력!C22&lt;&gt;""," · "&amp;기초자료입력!C22,"")</f>
        <v>전주고 · 전주고 교복구매건</v>
      </c>
      <c r="C5" s="116"/>
      <c r="D5" s="116"/>
      <c r="E5" s="116"/>
      <c r="F5" s="116"/>
      <c r="G5" s="116"/>
      <c r="H5" s="116"/>
    </row>
    <row r="6" spans="1:8" x14ac:dyDescent="0.4">
      <c r="B6" s="19"/>
      <c r="C6" s="19"/>
      <c r="D6" s="19"/>
      <c r="E6" s="19"/>
      <c r="F6" s="19"/>
      <c r="G6" s="19"/>
      <c r="H6" s="19"/>
    </row>
    <row r="7" spans="1:8" x14ac:dyDescent="0.4">
      <c r="B7" s="19" t="s">
        <v>882</v>
      </c>
      <c r="C7" s="106"/>
      <c r="D7" s="106"/>
      <c r="E7" s="106"/>
      <c r="F7" s="106"/>
      <c r="G7" s="106"/>
      <c r="H7" s="106"/>
    </row>
    <row r="8" spans="1:8" x14ac:dyDescent="0.4">
      <c r="B8" s="19" t="s">
        <v>883</v>
      </c>
      <c r="C8" s="106" t="s">
        <v>884</v>
      </c>
      <c r="D8" s="106"/>
      <c r="E8" s="106"/>
      <c r="F8" s="106"/>
      <c r="G8" s="106"/>
      <c r="H8" s="106"/>
    </row>
    <row r="9" spans="1:8" x14ac:dyDescent="0.4">
      <c r="B9" s="19"/>
      <c r="C9" s="19"/>
      <c r="D9" s="19"/>
      <c r="E9" s="19"/>
      <c r="F9" s="19"/>
      <c r="G9" s="19"/>
      <c r="H9" s="19"/>
    </row>
    <row r="10" spans="1:8" x14ac:dyDescent="0.4">
      <c r="B10" s="105" t="s">
        <v>885</v>
      </c>
      <c r="C10" s="106"/>
      <c r="D10" s="106"/>
      <c r="E10" s="106"/>
      <c r="F10" s="106"/>
      <c r="G10" s="106"/>
      <c r="H10" s="106"/>
    </row>
    <row r="11" spans="1:8" x14ac:dyDescent="0.4">
      <c r="B11" s="22" t="s">
        <v>510</v>
      </c>
      <c r="C11" s="22" t="s">
        <v>605</v>
      </c>
      <c r="D11" s="22" t="s">
        <v>512</v>
      </c>
      <c r="E11" s="22" t="s">
        <v>886</v>
      </c>
      <c r="F11" s="22" t="s">
        <v>316</v>
      </c>
      <c r="G11" s="19"/>
      <c r="H11" s="19"/>
    </row>
    <row r="12" spans="1:8" x14ac:dyDescent="0.4">
      <c r="B12" s="50">
        <v>1</v>
      </c>
      <c r="C12" s="50" t="str">
        <f>IF(기초자료입력!B58&lt;&gt;"",기초자료입력!B58,"")</f>
        <v/>
      </c>
      <c r="D12" s="50"/>
      <c r="E12" s="50"/>
      <c r="F12" s="50"/>
      <c r="G12" s="19"/>
      <c r="H12" s="19"/>
    </row>
    <row r="13" spans="1:8" x14ac:dyDescent="0.4">
      <c r="B13" s="50">
        <v>2</v>
      </c>
      <c r="C13" s="50" t="str">
        <f>IF(기초자료입력!B59&lt;&gt;"",기초자료입력!B59,"")</f>
        <v/>
      </c>
      <c r="D13" s="50"/>
      <c r="E13" s="50"/>
      <c r="F13" s="50"/>
      <c r="G13" s="19"/>
      <c r="H13" s="19"/>
    </row>
    <row r="14" spans="1:8" x14ac:dyDescent="0.4">
      <c r="B14" s="50">
        <v>3</v>
      </c>
      <c r="C14" s="50" t="str">
        <f>IF(기초자료입력!B60&lt;&gt;"",기초자료입력!B60,"")</f>
        <v/>
      </c>
      <c r="D14" s="50"/>
      <c r="E14" s="50"/>
      <c r="F14" s="50"/>
      <c r="G14" s="19"/>
      <c r="H14" s="19"/>
    </row>
    <row r="15" spans="1:8" x14ac:dyDescent="0.4">
      <c r="B15" s="50">
        <v>4</v>
      </c>
      <c r="C15" s="50" t="str">
        <f>IF(기초자료입력!B61&lt;&gt;"",기초자료입력!B61,"")</f>
        <v/>
      </c>
      <c r="D15" s="50"/>
      <c r="E15" s="50"/>
      <c r="F15" s="50"/>
      <c r="G15" s="19"/>
      <c r="H15" s="19"/>
    </row>
    <row r="16" spans="1:8" x14ac:dyDescent="0.4">
      <c r="B16" s="50">
        <v>5</v>
      </c>
      <c r="C16" s="50" t="str">
        <f>IF(기초자료입력!B62&lt;&gt;"",기초자료입력!B62,"")</f>
        <v/>
      </c>
      <c r="D16" s="50"/>
      <c r="E16" s="50"/>
      <c r="F16" s="50"/>
      <c r="G16" s="19"/>
      <c r="H16" s="19"/>
    </row>
    <row r="17" spans="2:8" x14ac:dyDescent="0.4">
      <c r="B17" s="50">
        <v>6</v>
      </c>
      <c r="C17" s="50" t="str">
        <f>IF(기초자료입력!B63&lt;&gt;"",기초자료입력!B63,"")</f>
        <v/>
      </c>
      <c r="D17" s="50"/>
      <c r="E17" s="50"/>
      <c r="F17" s="50"/>
      <c r="G17" s="19"/>
      <c r="H17" s="19"/>
    </row>
    <row r="18" spans="2:8" x14ac:dyDescent="0.4">
      <c r="B18" s="50">
        <v>7</v>
      </c>
      <c r="C18" s="50" t="str">
        <f>IF(기초자료입력!B64&lt;&gt;"",기초자료입력!B64,"")</f>
        <v/>
      </c>
      <c r="D18" s="50"/>
      <c r="E18" s="50"/>
      <c r="F18" s="50"/>
      <c r="G18" s="19"/>
      <c r="H18" s="19"/>
    </row>
    <row r="19" spans="2:8" x14ac:dyDescent="0.4">
      <c r="B19" s="50">
        <v>8</v>
      </c>
      <c r="C19" s="50" t="str">
        <f>IF(기초자료입력!B65&lt;&gt;"",기초자료입력!B65,"")</f>
        <v/>
      </c>
      <c r="D19" s="50"/>
      <c r="E19" s="50"/>
      <c r="F19" s="50"/>
      <c r="G19" s="19"/>
      <c r="H19" s="19"/>
    </row>
    <row r="20" spans="2:8" x14ac:dyDescent="0.4">
      <c r="B20" s="50">
        <v>9</v>
      </c>
      <c r="C20" s="50" t="str">
        <f>IF(기초자료입력!B66&lt;&gt;"",기초자료입력!B66,"")</f>
        <v/>
      </c>
      <c r="D20" s="50"/>
      <c r="E20" s="50"/>
      <c r="F20" s="50"/>
      <c r="G20" s="19"/>
      <c r="H20" s="19"/>
    </row>
    <row r="21" spans="2:8" x14ac:dyDescent="0.4">
      <c r="B21" s="50">
        <v>10</v>
      </c>
      <c r="C21" s="50" t="str">
        <f>IF(기초자료입력!B67&lt;&gt;"",기초자료입력!B67,"")</f>
        <v/>
      </c>
      <c r="D21" s="50"/>
      <c r="E21" s="50"/>
      <c r="F21" s="50"/>
      <c r="G21" s="19"/>
      <c r="H21" s="19"/>
    </row>
  </sheetData>
  <mergeCells count="5">
    <mergeCell ref="B3:H3"/>
    <mergeCell ref="B5:H5"/>
    <mergeCell ref="C7:H7"/>
    <mergeCell ref="C8:H8"/>
    <mergeCell ref="B10:H10"/>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E0FC-9E2A-4870-B15D-08F1C3FFD509}">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8"/>
    </row>
    <row r="3" spans="1:9" x14ac:dyDescent="0.4">
      <c r="B3" s="127" t="s">
        <v>887</v>
      </c>
      <c r="C3" s="122"/>
      <c r="D3" s="122"/>
      <c r="E3" s="122"/>
      <c r="F3" s="122"/>
      <c r="G3" s="122"/>
      <c r="H3" s="122"/>
      <c r="I3" s="122"/>
    </row>
    <row r="4" spans="1:9" x14ac:dyDescent="0.4">
      <c r="B4" s="37"/>
      <c r="C4" s="37"/>
      <c r="D4" s="37"/>
      <c r="E4" s="37"/>
      <c r="F4" s="37"/>
      <c r="G4" s="37"/>
      <c r="H4" s="37"/>
      <c r="I4" s="37"/>
    </row>
    <row r="5" spans="1:9" x14ac:dyDescent="0.4">
      <c r="B5" s="122" t="str">
        <f>IF(기초자료입력!C4&lt;&gt;"",기초자료입력!C4,"")&amp;IF(기초자료입력!C5&lt;&gt;""," ("&amp;기초자료입력!C5&amp;"학년도)","")&amp;IF(기초자료입력!C22&lt;&gt;""," · "&amp;기초자료입력!C22,"")</f>
        <v>전주고 (2026학년도) · 전주고 교복구매건</v>
      </c>
      <c r="C5" s="122"/>
      <c r="D5" s="122"/>
      <c r="E5" s="122"/>
      <c r="F5" s="122"/>
      <c r="G5" s="122"/>
      <c r="H5" s="122"/>
      <c r="I5" s="122"/>
    </row>
    <row r="6" spans="1:9" x14ac:dyDescent="0.4">
      <c r="B6" s="37"/>
      <c r="C6" s="37"/>
      <c r="D6" s="37"/>
      <c r="E6" s="37"/>
      <c r="F6" s="37"/>
      <c r="G6" s="37"/>
      <c r="H6" s="37"/>
      <c r="I6" s="37"/>
    </row>
    <row r="7" spans="1:9" ht="28.05" customHeight="1" x14ac:dyDescent="0.4">
      <c r="B7" s="157" t="s">
        <v>888</v>
      </c>
      <c r="C7" s="157"/>
      <c r="D7" s="157"/>
      <c r="E7" s="157" t="s">
        <v>889</v>
      </c>
      <c r="F7" s="157"/>
      <c r="G7" s="157"/>
      <c r="H7" s="157" t="s">
        <v>890</v>
      </c>
      <c r="I7" s="157" t="s">
        <v>316</v>
      </c>
    </row>
    <row r="8" spans="1:9" ht="30" customHeight="1" x14ac:dyDescent="0.4">
      <c r="B8" s="69" t="s">
        <v>52</v>
      </c>
      <c r="C8" s="69" t="s">
        <v>377</v>
      </c>
      <c r="D8" s="69" t="s">
        <v>427</v>
      </c>
      <c r="E8" s="69" t="s">
        <v>605</v>
      </c>
      <c r="F8" s="69" t="s">
        <v>860</v>
      </c>
      <c r="G8" s="69" t="s">
        <v>858</v>
      </c>
      <c r="H8" s="157"/>
      <c r="I8" s="157"/>
    </row>
    <row r="9" spans="1:9" ht="25.95" customHeight="1" x14ac:dyDescent="0.4">
      <c r="B9" s="71" t="str">
        <f>IF(기초자료입력!B44&lt;&gt;"",기초자료입력!B44,"")</f>
        <v>스마트</v>
      </c>
      <c r="C9" s="71" t="str">
        <f>IF(기초자료입력!S44&lt;&gt;"",기초자료입력!S44,"")</f>
        <v>상상로</v>
      </c>
      <c r="D9" s="71" t="str">
        <f>IF(기초자료입력!X44&lt;&gt;"",기초자료입력!X44,"")</f>
        <v/>
      </c>
      <c r="E9" s="71"/>
      <c r="F9" s="71"/>
      <c r="G9" s="71"/>
      <c r="H9" s="71"/>
      <c r="I9" s="71"/>
    </row>
    <row r="10" spans="1:9" ht="25.95" customHeight="1" x14ac:dyDescent="0.4">
      <c r="B10" s="71" t="str">
        <f>IF(기초자료입력!B45&lt;&gt;"",기초자료입력!B45,"")</f>
        <v/>
      </c>
      <c r="C10" s="71" t="str">
        <f>IF(기초자료입력!S45&lt;&gt;"",기초자료입력!S45,"")</f>
        <v/>
      </c>
      <c r="D10" s="71" t="str">
        <f>IF(기초자료입력!X45&lt;&gt;"",기초자료입력!X45,"")</f>
        <v/>
      </c>
      <c r="E10" s="71"/>
      <c r="F10" s="71"/>
      <c r="G10" s="71"/>
      <c r="H10" s="71"/>
      <c r="I10" s="71"/>
    </row>
    <row r="11" spans="1:9" ht="25.95" customHeight="1" x14ac:dyDescent="0.4">
      <c r="B11" s="71" t="str">
        <f>IF(기초자료입력!B46&lt;&gt;"",기초자료입력!B46,"")</f>
        <v/>
      </c>
      <c r="C11" s="71" t="str">
        <f>IF(기초자료입력!S46&lt;&gt;"",기초자료입력!S46,"")</f>
        <v/>
      </c>
      <c r="D11" s="71" t="str">
        <f>IF(기초자료입력!X46&lt;&gt;"",기초자료입력!X46,"")</f>
        <v/>
      </c>
      <c r="E11" s="71"/>
      <c r="F11" s="71"/>
      <c r="G11" s="71"/>
      <c r="H11" s="71"/>
      <c r="I11" s="71"/>
    </row>
    <row r="12" spans="1:9" ht="25.95" customHeight="1" x14ac:dyDescent="0.4">
      <c r="B12" s="71" t="str">
        <f>IF(기초자료입력!B47&lt;&gt;"",기초자료입력!B47,"")</f>
        <v/>
      </c>
      <c r="C12" s="71" t="str">
        <f>IF(기초자료입력!S47&lt;&gt;"",기초자료입력!S47,"")</f>
        <v/>
      </c>
      <c r="D12" s="71" t="str">
        <f>IF(기초자료입력!X47&lt;&gt;"",기초자료입력!X47,"")</f>
        <v/>
      </c>
      <c r="E12" s="71"/>
      <c r="F12" s="71"/>
      <c r="G12" s="71"/>
      <c r="H12" s="71"/>
      <c r="I12" s="71"/>
    </row>
    <row r="13" spans="1:9" ht="25.95" customHeight="1" x14ac:dyDescent="0.4">
      <c r="B13" s="71" t="str">
        <f>IF(기초자료입력!B48&lt;&gt;"",기초자료입력!B48,"")</f>
        <v/>
      </c>
      <c r="C13" s="71" t="str">
        <f>IF(기초자료입력!S48&lt;&gt;"",기초자료입력!S48,"")</f>
        <v/>
      </c>
      <c r="D13" s="71" t="str">
        <f>IF(기초자료입력!X48&lt;&gt;"",기초자료입력!X48,"")</f>
        <v/>
      </c>
      <c r="E13" s="71"/>
      <c r="F13" s="71"/>
      <c r="G13" s="71"/>
      <c r="H13" s="71"/>
      <c r="I13" s="71"/>
    </row>
    <row r="14" spans="1:9" ht="25.95" customHeight="1" x14ac:dyDescent="0.4">
      <c r="B14" s="71" t="str">
        <f>IF(기초자료입력!B49&lt;&gt;"",기초자료입력!B49,"")</f>
        <v/>
      </c>
      <c r="C14" s="71" t="str">
        <f>IF(기초자료입력!S49&lt;&gt;"",기초자료입력!S49,"")</f>
        <v/>
      </c>
      <c r="D14" s="71" t="str">
        <f>IF(기초자료입력!X49&lt;&gt;"",기초자료입력!X49,"")</f>
        <v/>
      </c>
      <c r="E14" s="71"/>
      <c r="F14" s="71"/>
      <c r="G14" s="71"/>
      <c r="H14" s="71"/>
      <c r="I14" s="71"/>
    </row>
    <row r="15" spans="1:9" ht="25.95" customHeight="1" x14ac:dyDescent="0.4">
      <c r="B15" s="71" t="str">
        <f>IF(기초자료입력!B50&lt;&gt;"",기초자료입력!B50,"")</f>
        <v/>
      </c>
      <c r="C15" s="71" t="str">
        <f>IF(기초자료입력!S50&lt;&gt;"",기초자료입력!S50,"")</f>
        <v/>
      </c>
      <c r="D15" s="71" t="str">
        <f>IF(기초자료입력!X50&lt;&gt;"",기초자료입력!X50,"")</f>
        <v/>
      </c>
      <c r="E15" s="71"/>
      <c r="F15" s="71"/>
      <c r="G15" s="71"/>
      <c r="H15" s="71"/>
      <c r="I15" s="71"/>
    </row>
    <row r="16" spans="1:9" ht="25.95" customHeight="1" x14ac:dyDescent="0.4">
      <c r="B16" s="71" t="str">
        <f>IF(기초자료입력!B51&lt;&gt;"",기초자료입력!B51,"")</f>
        <v/>
      </c>
      <c r="C16" s="71" t="str">
        <f>IF(기초자료입력!S51&lt;&gt;"",기초자료입력!S51,"")</f>
        <v/>
      </c>
      <c r="D16" s="71" t="str">
        <f>IF(기초자료입력!X51&lt;&gt;"",기초자료입력!X51,"")</f>
        <v/>
      </c>
      <c r="E16" s="71"/>
      <c r="F16" s="71"/>
      <c r="G16" s="71"/>
      <c r="H16" s="71"/>
      <c r="I16" s="71"/>
    </row>
    <row r="17" spans="2:9" ht="25.95" customHeight="1" x14ac:dyDescent="0.4">
      <c r="B17" s="71" t="str">
        <f>IF(기초자료입력!B52&lt;&gt;"",기초자료입력!B52,"")</f>
        <v/>
      </c>
      <c r="C17" s="71" t="str">
        <f>IF(기초자료입력!S52&lt;&gt;"",기초자료입력!S52,"")</f>
        <v/>
      </c>
      <c r="D17" s="71" t="str">
        <f>IF(기초자료입력!X52&lt;&gt;"",기초자료입력!X52,"")</f>
        <v/>
      </c>
      <c r="E17" s="71"/>
      <c r="F17" s="71"/>
      <c r="G17" s="71"/>
      <c r="H17" s="71"/>
      <c r="I17" s="71"/>
    </row>
    <row r="18" spans="2:9" ht="25.95" customHeight="1" x14ac:dyDescent="0.4">
      <c r="B18" s="71" t="str">
        <f>IF(기초자료입력!B53&lt;&gt;"",기초자료입력!B53,"")</f>
        <v/>
      </c>
      <c r="C18" s="71" t="str">
        <f>IF(기초자료입력!S53&lt;&gt;"",기초자료입력!S53,"")</f>
        <v/>
      </c>
      <c r="D18" s="71" t="str">
        <f>IF(기초자료입력!X53&lt;&gt;"",기초자료입력!X53,"")</f>
        <v/>
      </c>
      <c r="E18" s="71"/>
      <c r="F18" s="71"/>
      <c r="G18" s="71"/>
      <c r="H18" s="71"/>
      <c r="I18" s="71"/>
    </row>
    <row r="19" spans="2:9" x14ac:dyDescent="0.4">
      <c r="B19" s="37"/>
      <c r="C19" s="37"/>
      <c r="D19" s="37"/>
      <c r="E19" s="37"/>
      <c r="F19" s="37"/>
      <c r="G19" s="37"/>
      <c r="H19" s="37"/>
      <c r="I19" s="37"/>
    </row>
    <row r="20" spans="2:9" x14ac:dyDescent="0.4">
      <c r="B20" s="94" t="s">
        <v>891</v>
      </c>
      <c r="C20" s="92"/>
      <c r="D20" s="92"/>
      <c r="E20" s="92"/>
      <c r="F20" s="92"/>
      <c r="G20" s="92"/>
      <c r="H20" s="92"/>
      <c r="I20" s="92"/>
    </row>
    <row r="21" spans="2:9" x14ac:dyDescent="0.4">
      <c r="B21" s="92" t="s">
        <v>892</v>
      </c>
      <c r="C21" s="92"/>
      <c r="D21" s="92"/>
      <c r="E21" s="92"/>
      <c r="F21" s="92"/>
      <c r="G21" s="92"/>
      <c r="H21" s="92"/>
      <c r="I21" s="92"/>
    </row>
    <row r="22" spans="2:9" x14ac:dyDescent="0.4">
      <c r="B22" s="92" t="s">
        <v>893</v>
      </c>
      <c r="C22" s="92"/>
      <c r="D22" s="92"/>
      <c r="E22" s="92"/>
      <c r="F22" s="92"/>
      <c r="G22" s="92"/>
      <c r="H22" s="92"/>
      <c r="I22" s="92"/>
    </row>
    <row r="23" spans="2:9" x14ac:dyDescent="0.4">
      <c r="B23" s="92" t="s">
        <v>894</v>
      </c>
      <c r="C23" s="92"/>
      <c r="D23" s="92"/>
      <c r="E23" s="92"/>
      <c r="F23" s="92"/>
      <c r="G23" s="92"/>
      <c r="H23" s="92"/>
      <c r="I23" s="92"/>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3A823-FC19-4458-9CE9-C4527599ADD5}">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x14ac:dyDescent="0.4">
      <c r="A1" s="18"/>
    </row>
    <row r="2" spans="1:11" x14ac:dyDescent="0.4">
      <c r="K2" s="35" t="s">
        <v>335</v>
      </c>
    </row>
    <row r="3" spans="1:11" x14ac:dyDescent="0.4">
      <c r="B3" s="127" t="str">
        <f>"[13-3] "&amp;IF(기초자료입력!C5&lt;&gt;"",기초자료입력!C5,"20○○")&amp;"학년도 교복(동복·하복) 구매 업체별 제안서 평가표"</f>
        <v>[13-3] 2026학년도 교복(동복·하복) 구매 업체별 제안서 평가표</v>
      </c>
      <c r="C3" s="122"/>
      <c r="D3" s="122"/>
      <c r="E3" s="122"/>
      <c r="F3" s="122"/>
      <c r="G3" s="122"/>
      <c r="H3" s="122"/>
      <c r="I3" s="37">
        <v>1</v>
      </c>
      <c r="J3" s="37"/>
    </row>
    <row r="4" spans="1:11" x14ac:dyDescent="0.4">
      <c r="B4" s="122"/>
      <c r="C4" s="122"/>
      <c r="D4" s="122"/>
      <c r="E4" s="122"/>
      <c r="F4" s="122"/>
      <c r="G4" s="122"/>
      <c r="H4" s="122"/>
      <c r="I4" s="37"/>
      <c r="J4" s="37"/>
    </row>
    <row r="5" spans="1:11" x14ac:dyDescent="0.4">
      <c r="B5" s="37" t="s">
        <v>86</v>
      </c>
      <c r="C5" s="37" t="str">
        <f>IF(기초자료입력!C4&lt;&gt;"",기초자료입력!C4,"")</f>
        <v>전주고</v>
      </c>
      <c r="D5" s="37" t="s">
        <v>87</v>
      </c>
      <c r="E5" s="37">
        <f>IF(기초자료입력!C5&lt;&gt;"",기초자료입력!C5,"")</f>
        <v>2026</v>
      </c>
      <c r="F5" s="37" t="s">
        <v>338</v>
      </c>
      <c r="G5" s="92" t="str">
        <f>IFERROR(INDEX(기초자료입력!$B$44:$B$53,I3),"")</f>
        <v>스마트</v>
      </c>
      <c r="H5" s="92"/>
      <c r="I5" s="92"/>
      <c r="J5" s="92"/>
    </row>
    <row r="6" spans="1:11" x14ac:dyDescent="0.4">
      <c r="B6" s="37"/>
      <c r="C6" s="37"/>
      <c r="D6" s="37"/>
      <c r="E6" s="37"/>
      <c r="F6" s="37"/>
      <c r="G6" s="37"/>
      <c r="H6" s="37"/>
      <c r="I6" s="37"/>
      <c r="J6" s="37"/>
    </row>
    <row r="7" spans="1:11" ht="28.05" customHeight="1" x14ac:dyDescent="0.4">
      <c r="B7" s="69" t="s">
        <v>859</v>
      </c>
      <c r="C7" s="69" t="s">
        <v>52</v>
      </c>
      <c r="D7" s="69" t="s">
        <v>895</v>
      </c>
      <c r="E7" s="69" t="s">
        <v>896</v>
      </c>
      <c r="F7" s="69" t="s">
        <v>897</v>
      </c>
      <c r="G7" s="69" t="s">
        <v>898</v>
      </c>
      <c r="H7" s="69" t="s">
        <v>899</v>
      </c>
      <c r="I7" s="69" t="s">
        <v>900</v>
      </c>
      <c r="J7" s="62" t="s">
        <v>316</v>
      </c>
    </row>
    <row r="8" spans="1:11" ht="18" customHeight="1" x14ac:dyDescent="0.4">
      <c r="B8" s="119">
        <f>I3</f>
        <v>1</v>
      </c>
      <c r="C8" s="119" t="str">
        <f>IFERROR(INDEX(기초자료입력!$B$44:$B$53,I3),"")</f>
        <v>스마트</v>
      </c>
      <c r="D8" s="28"/>
      <c r="E8" s="68"/>
      <c r="F8" s="68"/>
      <c r="G8" s="68"/>
      <c r="H8" s="68"/>
      <c r="I8" s="28" t="str">
        <f t="shared" ref="I8:I15" si="0">IF(COUNT(E8:H8)=4,SUM(E8:H8),"")</f>
        <v/>
      </c>
      <c r="J8" s="135" t="s">
        <v>901</v>
      </c>
    </row>
    <row r="9" spans="1:11" ht="18" customHeight="1" x14ac:dyDescent="0.4">
      <c r="B9" s="119"/>
      <c r="C9" s="119"/>
      <c r="D9" s="28"/>
      <c r="E9" s="68"/>
      <c r="F9" s="68"/>
      <c r="G9" s="68"/>
      <c r="H9" s="68"/>
      <c r="I9" s="28" t="str">
        <f t="shared" si="0"/>
        <v/>
      </c>
      <c r="J9" s="135"/>
    </row>
    <row r="10" spans="1:11" ht="18" customHeight="1" x14ac:dyDescent="0.4">
      <c r="B10" s="119"/>
      <c r="C10" s="119"/>
      <c r="D10" s="28"/>
      <c r="E10" s="68"/>
      <c r="F10" s="68"/>
      <c r="G10" s="68"/>
      <c r="H10" s="68"/>
      <c r="I10" s="28" t="str">
        <f t="shared" si="0"/>
        <v/>
      </c>
      <c r="J10" s="135"/>
    </row>
    <row r="11" spans="1:11" ht="18" customHeight="1" x14ac:dyDescent="0.4">
      <c r="B11" s="119"/>
      <c r="C11" s="119"/>
      <c r="D11" s="28"/>
      <c r="E11" s="68"/>
      <c r="F11" s="68"/>
      <c r="G11" s="68"/>
      <c r="H11" s="68"/>
      <c r="I11" s="28" t="str">
        <f t="shared" si="0"/>
        <v/>
      </c>
      <c r="J11" s="135"/>
    </row>
    <row r="12" spans="1:11" ht="18" customHeight="1" x14ac:dyDescent="0.4">
      <c r="B12" s="119"/>
      <c r="C12" s="119"/>
      <c r="D12" s="28"/>
      <c r="E12" s="68"/>
      <c r="F12" s="68"/>
      <c r="G12" s="68"/>
      <c r="H12" s="68"/>
      <c r="I12" s="28" t="str">
        <f t="shared" si="0"/>
        <v/>
      </c>
      <c r="J12" s="135"/>
    </row>
    <row r="13" spans="1:11" ht="18" customHeight="1" x14ac:dyDescent="0.4">
      <c r="B13" s="119"/>
      <c r="C13" s="119"/>
      <c r="D13" s="28"/>
      <c r="E13" s="68"/>
      <c r="F13" s="68"/>
      <c r="G13" s="68"/>
      <c r="H13" s="68"/>
      <c r="I13" s="28" t="str">
        <f t="shared" si="0"/>
        <v/>
      </c>
      <c r="J13" s="135"/>
    </row>
    <row r="14" spans="1:11" ht="18" customHeight="1" x14ac:dyDescent="0.4">
      <c r="B14" s="119"/>
      <c r="C14" s="119"/>
      <c r="D14" s="28"/>
      <c r="E14" s="68"/>
      <c r="F14" s="68"/>
      <c r="G14" s="68"/>
      <c r="H14" s="68"/>
      <c r="I14" s="28" t="str">
        <f t="shared" si="0"/>
        <v/>
      </c>
      <c r="J14" s="135"/>
    </row>
    <row r="15" spans="1:11" ht="18" customHeight="1" x14ac:dyDescent="0.4">
      <c r="B15" s="119"/>
      <c r="C15" s="119"/>
      <c r="D15" s="28"/>
      <c r="E15" s="68"/>
      <c r="F15" s="68"/>
      <c r="G15" s="68"/>
      <c r="H15" s="68"/>
      <c r="I15" s="28" t="str">
        <f t="shared" si="0"/>
        <v/>
      </c>
      <c r="J15" s="135"/>
    </row>
    <row r="16" spans="1:11" x14ac:dyDescent="0.4">
      <c r="B16" s="96" t="s">
        <v>902</v>
      </c>
      <c r="C16" s="96"/>
      <c r="D16" s="96"/>
      <c r="E16" s="28" t="str">
        <f>IF(COUNT(E8:E15)=8,SUM(E8:E15)-MAX(E8:E15)-MIN(E8:E15),"")</f>
        <v/>
      </c>
      <c r="F16" s="28" t="str">
        <f>IF(COUNT(F8:F15)=8,SUM(F8:F15)-MAX(F8:F15)-MIN(F8:F15),"")</f>
        <v/>
      </c>
      <c r="G16" s="28" t="str">
        <f>IF(COUNT(G8:G15)=8,SUM(G8:G15)-MAX(G8:G15)-MIN(G8:G15),"")</f>
        <v/>
      </c>
      <c r="H16" s="28" t="str">
        <f>IF(COUNT(H8:H15)=8,SUM(H8:H15)-MAX(H8:H15)-MIN(H8:H15),"")</f>
        <v/>
      </c>
      <c r="I16" s="28" t="str">
        <f>IF(COUNT(I8:I15)=8,SUM(I8:I15)-MAX(I8:I15)-MIN(I8:I15),"")</f>
        <v/>
      </c>
      <c r="J16" s="28"/>
    </row>
    <row r="17" spans="2:10" x14ac:dyDescent="0.4">
      <c r="B17" s="96" t="s">
        <v>903</v>
      </c>
      <c r="C17" s="96"/>
      <c r="D17" s="96"/>
      <c r="E17" s="72" t="str">
        <f>IF(E16="","",E16/6)</f>
        <v/>
      </c>
      <c r="F17" s="72" t="str">
        <f>IF(F16="","",F16/6)</f>
        <v/>
      </c>
      <c r="G17" s="72" t="str">
        <f>IF(G16="","",G16/6)</f>
        <v/>
      </c>
      <c r="H17" s="72" t="str">
        <f>IF(H16="","",H16/6)</f>
        <v/>
      </c>
      <c r="I17" s="72" t="str">
        <f>IF(I16="","",I16/6)</f>
        <v/>
      </c>
      <c r="J17" s="28"/>
    </row>
    <row r="18" spans="2:10" x14ac:dyDescent="0.4">
      <c r="B18" s="37"/>
      <c r="C18" s="37"/>
      <c r="D18" s="37"/>
      <c r="E18" s="37"/>
      <c r="F18" s="37"/>
      <c r="G18" s="37"/>
      <c r="H18" s="37"/>
      <c r="I18" s="37"/>
      <c r="J18" s="37"/>
    </row>
    <row r="19" spans="2:10" x14ac:dyDescent="0.4">
      <c r="B19" s="92" t="s">
        <v>904</v>
      </c>
      <c r="C19" s="92"/>
      <c r="D19" s="92"/>
      <c r="E19" s="92"/>
      <c r="F19" s="92"/>
      <c r="G19" s="92"/>
      <c r="H19" s="92"/>
      <c r="I19" s="92"/>
      <c r="J19" s="92"/>
    </row>
  </sheetData>
  <mergeCells count="8">
    <mergeCell ref="B17:D17"/>
    <mergeCell ref="B19:J19"/>
    <mergeCell ref="B3:H4"/>
    <mergeCell ref="G5:J5"/>
    <mergeCell ref="B8:B15"/>
    <mergeCell ref="C8:C15"/>
    <mergeCell ref="J8:J15"/>
    <mergeCell ref="B16:D16"/>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3CB0-2F82-4F25-9C16-F7736B124794}">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8"/>
    </row>
    <row r="3" spans="1:8" x14ac:dyDescent="0.4">
      <c r="B3" s="115" t="s">
        <v>905</v>
      </c>
      <c r="C3" s="116"/>
      <c r="D3" s="116"/>
      <c r="E3" s="116"/>
      <c r="F3" s="116"/>
      <c r="G3" s="116"/>
      <c r="H3" s="116"/>
    </row>
    <row r="4" spans="1:8" x14ac:dyDescent="0.4">
      <c r="B4" s="19"/>
      <c r="C4" s="19"/>
      <c r="D4" s="19"/>
      <c r="E4" s="19"/>
      <c r="F4" s="19"/>
      <c r="G4" s="19"/>
      <c r="H4" s="19"/>
    </row>
    <row r="5" spans="1:8" x14ac:dyDescent="0.4">
      <c r="B5" s="116" t="str">
        <f>IF(기초자료입력!C22&lt;&gt;"","평가 안건: "&amp;기초자료입력!C22,"")</f>
        <v>평가 안건: 전주고 교복구매건</v>
      </c>
      <c r="C5" s="116"/>
      <c r="D5" s="116"/>
      <c r="E5" s="116"/>
      <c r="F5" s="116"/>
      <c r="G5" s="116"/>
      <c r="H5" s="116"/>
    </row>
    <row r="6" spans="1:8" x14ac:dyDescent="0.4">
      <c r="B6" s="19"/>
      <c r="C6" s="19"/>
      <c r="D6" s="19"/>
      <c r="E6" s="19"/>
      <c r="F6" s="19"/>
      <c r="G6" s="19"/>
      <c r="H6" s="19"/>
    </row>
    <row r="7" spans="1:8" x14ac:dyDescent="0.4">
      <c r="B7" s="108"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전주고에서 실시하는 2026학년도 교복 학교주관구매업체 선정을 위한 평가함에 있어 「부패 없는 투명한 사회」 구현 등을 위하여 다음 사항을 준수할 것을 서약합니다.</v>
      </c>
      <c r="C7" s="108"/>
      <c r="D7" s="108"/>
      <c r="E7" s="108"/>
      <c r="F7" s="108"/>
      <c r="G7" s="108"/>
      <c r="H7" s="108"/>
    </row>
    <row r="8" spans="1:8" x14ac:dyDescent="0.4">
      <c r="B8" s="108"/>
      <c r="C8" s="108"/>
      <c r="D8" s="108"/>
      <c r="E8" s="108"/>
      <c r="F8" s="108"/>
      <c r="G8" s="108"/>
      <c r="H8" s="108"/>
    </row>
    <row r="9" spans="1:8" x14ac:dyDescent="0.4">
      <c r="B9" s="19"/>
      <c r="C9" s="19"/>
      <c r="D9" s="19"/>
      <c r="E9" s="19"/>
      <c r="F9" s="19"/>
      <c r="G9" s="19"/>
      <c r="H9" s="19"/>
    </row>
    <row r="10" spans="1:8" ht="34.049999999999997" customHeight="1" x14ac:dyDescent="0.4">
      <c r="B10" s="108"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 교복 학교주관구매업체 선정을 위해 제시된 항목에 따라 객관적이고 공정하게 심사할 것을 약속합니다.</v>
      </c>
      <c r="C10" s="108"/>
      <c r="D10" s="108"/>
      <c r="E10" s="108"/>
      <c r="F10" s="108"/>
      <c r="G10" s="108"/>
      <c r="H10" s="108"/>
    </row>
    <row r="11" spans="1:8" x14ac:dyDescent="0.4">
      <c r="B11" s="108"/>
      <c r="C11" s="108"/>
      <c r="D11" s="108"/>
      <c r="E11" s="108"/>
      <c r="F11" s="108"/>
      <c r="G11" s="108"/>
      <c r="H11" s="108"/>
    </row>
    <row r="12" spans="1:8" ht="60" customHeight="1" x14ac:dyDescent="0.4">
      <c r="B12" s="108" t="s">
        <v>906</v>
      </c>
      <c r="C12" s="108"/>
      <c r="D12" s="108"/>
      <c r="E12" s="108"/>
      <c r="F12" s="108"/>
      <c r="G12" s="108"/>
      <c r="H12" s="108"/>
    </row>
    <row r="13" spans="1:8" x14ac:dyDescent="0.4">
      <c r="B13" s="108"/>
      <c r="C13" s="108"/>
      <c r="D13" s="108"/>
      <c r="E13" s="108"/>
      <c r="F13" s="108"/>
      <c r="G13" s="108"/>
      <c r="H13" s="108"/>
    </row>
    <row r="14" spans="1:8" ht="34.049999999999997" customHeight="1" x14ac:dyDescent="0.4">
      <c r="B14" s="108" t="s">
        <v>907</v>
      </c>
      <c r="C14" s="108"/>
      <c r="D14" s="108"/>
      <c r="E14" s="108"/>
      <c r="F14" s="108"/>
      <c r="G14" s="108"/>
      <c r="H14" s="108"/>
    </row>
    <row r="15" spans="1:8" x14ac:dyDescent="0.4">
      <c r="B15" s="108"/>
      <c r="C15" s="108"/>
      <c r="D15" s="108"/>
      <c r="E15" s="108"/>
      <c r="F15" s="108"/>
      <c r="G15" s="108"/>
      <c r="H15" s="108"/>
    </row>
    <row r="16" spans="1:8" ht="49.95" customHeight="1" x14ac:dyDescent="0.4">
      <c r="B16" s="108" t="s">
        <v>908</v>
      </c>
      <c r="C16" s="108"/>
      <c r="D16" s="108"/>
      <c r="E16" s="108"/>
      <c r="F16" s="108"/>
      <c r="G16" s="108"/>
      <c r="H16" s="108"/>
    </row>
    <row r="17" spans="2:8" x14ac:dyDescent="0.4">
      <c r="B17" s="108"/>
      <c r="C17" s="108"/>
      <c r="D17" s="108"/>
      <c r="E17" s="108"/>
      <c r="F17" s="108"/>
      <c r="G17" s="108"/>
      <c r="H17" s="108"/>
    </row>
    <row r="18" spans="2:8" x14ac:dyDescent="0.4">
      <c r="B18" s="19"/>
      <c r="C18" s="19"/>
      <c r="D18" s="19"/>
      <c r="E18" s="19"/>
      <c r="F18" s="19"/>
      <c r="G18" s="19"/>
      <c r="H18" s="19"/>
    </row>
    <row r="19" spans="2:8" x14ac:dyDescent="0.4">
      <c r="B19" s="116" t="s">
        <v>909</v>
      </c>
      <c r="C19" s="116"/>
      <c r="D19" s="116"/>
      <c r="E19" s="116"/>
      <c r="F19" s="116"/>
      <c r="G19" s="116"/>
      <c r="H19" s="116"/>
    </row>
    <row r="20" spans="2:8" x14ac:dyDescent="0.4">
      <c r="B20" s="19"/>
      <c r="C20" s="19"/>
      <c r="D20" s="19"/>
      <c r="E20" s="19"/>
      <c r="F20" s="19"/>
      <c r="G20" s="19"/>
      <c r="H20" s="19"/>
    </row>
    <row r="21" spans="2:8" x14ac:dyDescent="0.4">
      <c r="B21" s="116" t="str">
        <f>IF(기초자료입력!B58&lt;&gt;"","위원 구분: "&amp;기초자료입력!B58,"")</f>
        <v/>
      </c>
      <c r="C21" s="116"/>
      <c r="D21" s="116"/>
      <c r="E21" s="116"/>
      <c r="F21" s="116"/>
      <c r="G21" s="116"/>
      <c r="H21" s="116"/>
    </row>
    <row r="22" spans="2:8" x14ac:dyDescent="0.4">
      <c r="B22" s="19"/>
      <c r="C22" s="19"/>
      <c r="D22" s="19"/>
      <c r="E22" s="19"/>
      <c r="F22" s="19"/>
      <c r="G22" s="19"/>
      <c r="H22" s="19"/>
    </row>
    <row r="23" spans="2:8" x14ac:dyDescent="0.4">
      <c r="B23" s="116" t="s">
        <v>910</v>
      </c>
      <c r="C23" s="116"/>
      <c r="D23" s="116"/>
      <c r="E23" s="116"/>
      <c r="F23" s="116"/>
      <c r="G23" s="116"/>
      <c r="H23" s="116"/>
    </row>
    <row r="24" spans="2:8" x14ac:dyDescent="0.4">
      <c r="B24" s="19"/>
      <c r="C24" s="19"/>
      <c r="D24" s="19"/>
      <c r="E24" s="19"/>
      <c r="F24" s="19"/>
      <c r="G24" s="19"/>
      <c r="H24" s="19"/>
    </row>
    <row r="25" spans="2:8" x14ac:dyDescent="0.4">
      <c r="B25" s="116" t="str">
        <f>IF(기초자료입력!C4&lt;&gt;"",기초자료입력!C4,"○○○학교")&amp;"장 귀하"</f>
        <v>전주고장 귀하</v>
      </c>
      <c r="C25" s="116"/>
      <c r="D25" s="116"/>
      <c r="E25" s="116"/>
      <c r="F25" s="116"/>
      <c r="G25" s="116"/>
      <c r="H25" s="116"/>
    </row>
  </sheetData>
  <mergeCells count="11">
    <mergeCell ref="B14:H15"/>
    <mergeCell ref="B3:H3"/>
    <mergeCell ref="B5:H5"/>
    <mergeCell ref="B7:H8"/>
    <mergeCell ref="B10:H11"/>
    <mergeCell ref="B12:H13"/>
    <mergeCell ref="B16:H17"/>
    <mergeCell ref="B19:H19"/>
    <mergeCell ref="B21:H21"/>
    <mergeCell ref="B23:H23"/>
    <mergeCell ref="B25:H25"/>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EB1E-D009-449B-B65B-E5D1FA4C1650}">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8"/>
    </row>
    <row r="2" spans="1:9" x14ac:dyDescent="0.4">
      <c r="I2" s="35" t="s">
        <v>701</v>
      </c>
    </row>
    <row r="3" spans="1:9" x14ac:dyDescent="0.4">
      <c r="B3" s="97" t="s">
        <v>702</v>
      </c>
      <c r="C3" s="98"/>
      <c r="D3" s="98"/>
      <c r="E3" s="98"/>
      <c r="F3" s="98"/>
      <c r="G3" s="98"/>
      <c r="H3" s="98"/>
      <c r="I3">
        <v>1</v>
      </c>
    </row>
    <row r="4" spans="1:9" x14ac:dyDescent="0.4">
      <c r="B4" s="98"/>
      <c r="C4" s="98"/>
      <c r="D4" s="98"/>
      <c r="E4" s="98"/>
      <c r="F4" s="98"/>
      <c r="G4" s="98"/>
      <c r="H4" s="98"/>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3" t="s">
        <v>500</v>
      </c>
      <c r="D7" s="93"/>
      <c r="E7" s="93"/>
      <c r="F7" s="93"/>
      <c r="G7" s="93"/>
      <c r="H7" s="93"/>
    </row>
    <row r="8" spans="1:9" x14ac:dyDescent="0.4">
      <c r="B8" s="54" t="s">
        <v>297</v>
      </c>
      <c r="C8" s="93"/>
      <c r="D8" s="93"/>
      <c r="E8" s="93"/>
      <c r="F8" s="93"/>
      <c r="G8" s="93"/>
      <c r="H8" s="93"/>
    </row>
    <row r="9" spans="1:9" x14ac:dyDescent="0.4">
      <c r="B9" s="54" t="s">
        <v>293</v>
      </c>
      <c r="C9" s="95" t="str">
        <f>IF(기초자료입력!C22&lt;&gt;"",기초자료입력!C22,IF(기초자료입력!C5&lt;&gt;"",기초자료입력!C5,"20○○")&amp;"년도 교복 학교주관구매 낙찰자 결정")</f>
        <v>전주고 교복구매건</v>
      </c>
      <c r="D9" s="93"/>
      <c r="E9" s="93"/>
      <c r="F9" s="93"/>
      <c r="G9" s="93"/>
      <c r="H9" s="93"/>
    </row>
    <row r="10" spans="1:9" x14ac:dyDescent="0.4">
      <c r="B10" s="37"/>
      <c r="C10" s="37"/>
      <c r="D10" s="37"/>
      <c r="E10" s="37"/>
      <c r="F10" s="37"/>
      <c r="G10" s="37"/>
      <c r="H10" s="37"/>
    </row>
    <row r="11" spans="1:9" x14ac:dyDescent="0.4">
      <c r="B11" s="52" t="s">
        <v>298</v>
      </c>
      <c r="C11" s="92" t="str">
        <f>IF(기초자료입력!C23&lt;&gt;"",기초자료입력!C23,"")</f>
        <v>전주고-24244(26.1.1.)</v>
      </c>
      <c r="D11" s="92"/>
      <c r="E11" s="92"/>
      <c r="F11" s="92"/>
      <c r="G11" s="92"/>
      <c r="H11" s="92"/>
    </row>
    <row r="12" spans="1:9" x14ac:dyDescent="0.4">
      <c r="B12" s="37"/>
      <c r="C12" s="37"/>
      <c r="D12" s="37"/>
      <c r="E12" s="37"/>
      <c r="F12" s="37"/>
      <c r="G12" s="37"/>
      <c r="H12" s="37"/>
    </row>
    <row r="13" spans="1:9" ht="28.05" customHeight="1" x14ac:dyDescent="0.4">
      <c r="B13" s="110"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110"/>
      <c r="D13" s="110"/>
      <c r="E13" s="110"/>
      <c r="F13" s="110"/>
      <c r="G13" s="110"/>
      <c r="H13" s="110"/>
    </row>
    <row r="14" spans="1:9" x14ac:dyDescent="0.4">
      <c r="B14" s="37"/>
      <c r="C14" s="37"/>
      <c r="D14" s="37"/>
      <c r="E14" s="37"/>
      <c r="F14" s="37"/>
      <c r="G14" s="37"/>
      <c r="H14" s="37"/>
    </row>
    <row r="15" spans="1:9" x14ac:dyDescent="0.4">
      <c r="B15" s="52" t="s">
        <v>703</v>
      </c>
      <c r="C15" s="92" t="str">
        <f>IF(기초자료입력!C12&lt;&gt;"",IF(기초자료입력!C5&lt;&gt;"",기초자료입력!C5&amp;"학년도 ","")&amp;기초자료입력!C12,"")</f>
        <v>2026학년도 전주고 교복구매건</v>
      </c>
      <c r="D15" s="92"/>
      <c r="E15" s="92"/>
      <c r="F15" s="92"/>
      <c r="G15" s="92"/>
      <c r="H15" s="92"/>
    </row>
    <row r="16" spans="1:9" x14ac:dyDescent="0.4">
      <c r="B16" s="52" t="s">
        <v>619</v>
      </c>
      <c r="C16" s="92" t="str">
        <f>IF(기초자료입력!C15&lt;&gt;"","금"&amp;TEXT(기초자료입력!C15,"#,##0")&amp;"원","")</f>
        <v>금20,000,000원</v>
      </c>
      <c r="D16" s="92"/>
      <c r="E16" s="92"/>
      <c r="F16" s="92"/>
      <c r="G16" s="92"/>
      <c r="H16" s="92"/>
    </row>
    <row r="17" spans="2:8" x14ac:dyDescent="0.4">
      <c r="B17" s="52" t="s">
        <v>704</v>
      </c>
      <c r="C17" s="158"/>
      <c r="D17" s="92"/>
      <c r="E17" s="92"/>
      <c r="F17" s="92"/>
      <c r="G17" s="92"/>
      <c r="H17" s="92"/>
    </row>
    <row r="18" spans="2:8" x14ac:dyDescent="0.4">
      <c r="B18" s="37"/>
      <c r="C18" s="37"/>
      <c r="D18" s="37"/>
      <c r="E18" s="37"/>
      <c r="F18" s="37"/>
      <c r="G18" s="37"/>
      <c r="H18" s="37"/>
    </row>
    <row r="19" spans="2:8" x14ac:dyDescent="0.4">
      <c r="B19" s="94" t="s">
        <v>705</v>
      </c>
      <c r="C19" s="92"/>
      <c r="D19" s="92"/>
      <c r="E19" s="92"/>
      <c r="F19" s="92"/>
      <c r="G19" s="92"/>
      <c r="H19" s="92"/>
    </row>
    <row r="20" spans="2:8" x14ac:dyDescent="0.4">
      <c r="B20" s="31" t="s">
        <v>706</v>
      </c>
      <c r="C20" s="31" t="s">
        <v>52</v>
      </c>
      <c r="D20" s="31" t="s">
        <v>377</v>
      </c>
      <c r="E20" s="31" t="s">
        <v>707</v>
      </c>
      <c r="F20" s="31" t="s">
        <v>708</v>
      </c>
      <c r="G20" s="31" t="s">
        <v>709</v>
      </c>
      <c r="H20" s="37"/>
    </row>
    <row r="21" spans="2:8" x14ac:dyDescent="0.4">
      <c r="B21" s="36">
        <v>1</v>
      </c>
      <c r="C21" s="36" t="str">
        <f>IFERROR(INDEX(기초자료입력!$B$44:$B$53,I3),"")</f>
        <v>스마트</v>
      </c>
      <c r="D21" s="36" t="str">
        <f>IFERROR(IF(INDEX(기초자료입력!$S$44:$S$53,I3)="","",INDEX(기초자료입력!$S$44:$S$53,I3)),"")</f>
        <v>상상로</v>
      </c>
      <c r="E21" s="63"/>
      <c r="F21" s="64"/>
      <c r="G21" s="36"/>
      <c r="H21" s="37"/>
    </row>
    <row r="22" spans="2:8" x14ac:dyDescent="0.4">
      <c r="B22" s="37"/>
      <c r="C22" s="37"/>
      <c r="D22" s="37"/>
      <c r="E22" s="37"/>
      <c r="F22" s="37"/>
      <c r="G22" s="37"/>
      <c r="H22" s="37"/>
    </row>
    <row r="23" spans="2:8" x14ac:dyDescent="0.4">
      <c r="B23" s="123" t="s">
        <v>710</v>
      </c>
      <c r="C23" s="110"/>
      <c r="D23" s="110"/>
      <c r="E23" s="110"/>
      <c r="F23" s="110"/>
      <c r="G23" s="110"/>
      <c r="H23" s="110"/>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304</v>
      </c>
      <c r="H26" s="55" t="str">
        <f>"교장"&amp;CHAR(10)&amp;IF(기초자료입력!$F$10&lt;&gt;"",기초자료입력!$F$10,"")</f>
        <v>교장
김호</v>
      </c>
    </row>
    <row r="27" spans="2:8" x14ac:dyDescent="0.4">
      <c r="B27" s="52" t="s">
        <v>305</v>
      </c>
      <c r="C27" s="92" t="str">
        <f>IF(기초자료입력!C9&lt;&gt;"",기초자료입력!C9&amp;IF(기초자료입력!C8&lt;&gt;"","("&amp;TEXT(기초자료입력!C8,"yyyy.m.d.")&amp;")",""),"")</f>
        <v>전주고-24244(26.1.1.)(2026.1.1.)</v>
      </c>
      <c r="D27" s="92"/>
      <c r="E27" s="92"/>
      <c r="F27" s="54" t="s">
        <v>306</v>
      </c>
      <c r="G27" s="93"/>
      <c r="H27" s="93"/>
    </row>
    <row r="28" spans="2:8" x14ac:dyDescent="0.4">
      <c r="B28" s="52" t="s">
        <v>307</v>
      </c>
      <c r="C28" s="37"/>
      <c r="D28" s="52" t="s">
        <v>308</v>
      </c>
      <c r="E28" s="92" t="str">
        <f>IFERROR(INDEX(학교정보!$F$2:$F$121,MATCH(기초자료입력!$C$4,학교정보!$E$2:$E$121,0)),"")</f>
        <v/>
      </c>
      <c r="F28" s="93"/>
      <c r="G28" s="93"/>
      <c r="H28" s="93"/>
    </row>
    <row r="29" spans="2:8" x14ac:dyDescent="0.4">
      <c r="B29" s="52" t="s">
        <v>309</v>
      </c>
      <c r="C29" s="37" t="str">
        <f>IFERROR(INDEX(학교정보!$G$2:$G$121,MATCH(기초자료입력!$C$4,학교정보!$E$2:$E$121,0)),"")</f>
        <v/>
      </c>
      <c r="D29" s="52" t="s">
        <v>310</v>
      </c>
      <c r="E29" s="37"/>
      <c r="F29" s="54" t="s">
        <v>311</v>
      </c>
      <c r="G29" s="93"/>
      <c r="H29" s="93"/>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22EF8-2B4E-4E59-BAB8-F969ED2A8B0B}">
  <sheetPr codeName="Sheet51"/>
  <dimension ref="A1:I29"/>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8"/>
    </row>
    <row r="2" spans="1:9" x14ac:dyDescent="0.4">
      <c r="I2" s="35" t="s">
        <v>701</v>
      </c>
    </row>
    <row r="3" spans="1:9" x14ac:dyDescent="0.4">
      <c r="B3" s="97" t="s">
        <v>711</v>
      </c>
      <c r="C3" s="98"/>
      <c r="D3" s="98"/>
      <c r="E3" s="98"/>
      <c r="F3" s="98"/>
      <c r="G3" s="98"/>
      <c r="H3" s="98"/>
      <c r="I3">
        <v>1</v>
      </c>
    </row>
    <row r="4" spans="1:9" x14ac:dyDescent="0.4">
      <c r="B4" s="98"/>
      <c r="C4" s="98"/>
      <c r="D4" s="98"/>
      <c r="E4" s="98"/>
      <c r="F4" s="98"/>
      <c r="G4" s="98"/>
      <c r="H4" s="98"/>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3" t="str">
        <f>IFERROR(INDEX(기초자료입력!$B$44:$B$53,I3),"")</f>
        <v>스마트</v>
      </c>
      <c r="D7" s="93"/>
      <c r="E7" s="93"/>
      <c r="F7" s="93"/>
      <c r="G7" s="93"/>
      <c r="H7" s="93"/>
    </row>
    <row r="8" spans="1:9" x14ac:dyDescent="0.4">
      <c r="B8" s="54" t="s">
        <v>297</v>
      </c>
      <c r="C8" s="93"/>
      <c r="D8" s="93"/>
      <c r="E8" s="93"/>
      <c r="F8" s="93"/>
      <c r="G8" s="93"/>
      <c r="H8" s="93"/>
    </row>
    <row r="9" spans="1:9" x14ac:dyDescent="0.4">
      <c r="B9" s="54" t="s">
        <v>293</v>
      </c>
      <c r="C9" s="95" t="str">
        <f>IF(기초자료입력!C22&lt;&gt;"",기초자료입력!C22,IF(기초자료입력!C5&lt;&gt;"",기초자료입력!C5,"20○○")&amp;"년도 교복 학교주관 구매 낙찰자 결정 통보")</f>
        <v>전주고 교복구매건</v>
      </c>
      <c r="D9" s="93"/>
      <c r="E9" s="93"/>
      <c r="F9" s="93"/>
      <c r="G9" s="93"/>
      <c r="H9" s="93"/>
    </row>
    <row r="10" spans="1:9" x14ac:dyDescent="0.4">
      <c r="B10" s="37"/>
      <c r="C10" s="37"/>
      <c r="D10" s="37"/>
      <c r="E10" s="37"/>
      <c r="F10" s="37"/>
      <c r="G10" s="37"/>
      <c r="H10" s="37"/>
    </row>
    <row r="11" spans="1:9" x14ac:dyDescent="0.4">
      <c r="B11" s="94" t="s">
        <v>712</v>
      </c>
      <c r="C11" s="92"/>
      <c r="D11" s="92"/>
      <c r="E11" s="92"/>
      <c r="F11" s="92"/>
      <c r="G11" s="92"/>
      <c r="H11" s="92"/>
    </row>
    <row r="12" spans="1:9" x14ac:dyDescent="0.4">
      <c r="B12" s="37"/>
      <c r="C12" s="37"/>
      <c r="D12" s="37"/>
      <c r="E12" s="37"/>
      <c r="F12" s="37"/>
      <c r="G12" s="37"/>
      <c r="H12" s="37"/>
    </row>
    <row r="13" spans="1:9" ht="40.049999999999997" customHeight="1" x14ac:dyDescent="0.4">
      <c r="B13" s="11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110"/>
      <c r="D13" s="110"/>
      <c r="E13" s="110"/>
      <c r="F13" s="110"/>
      <c r="G13" s="110"/>
      <c r="H13" s="110"/>
    </row>
    <row r="14" spans="1:9" x14ac:dyDescent="0.4">
      <c r="B14" s="37"/>
      <c r="C14" s="37"/>
      <c r="D14" s="37"/>
      <c r="E14" s="37"/>
      <c r="F14" s="37"/>
      <c r="G14" s="37"/>
      <c r="H14" s="37"/>
    </row>
    <row r="15" spans="1:9" x14ac:dyDescent="0.4">
      <c r="B15" s="94" t="s">
        <v>713</v>
      </c>
      <c r="C15" s="92"/>
      <c r="D15" s="92"/>
      <c r="E15" s="92"/>
      <c r="F15" s="92"/>
      <c r="G15" s="92"/>
      <c r="H15" s="92"/>
    </row>
    <row r="16" spans="1:9" x14ac:dyDescent="0.4">
      <c r="B16" s="31" t="s">
        <v>52</v>
      </c>
      <c r="C16" s="31" t="s">
        <v>377</v>
      </c>
      <c r="D16" s="31" t="s">
        <v>48</v>
      </c>
      <c r="E16" s="31" t="s">
        <v>28</v>
      </c>
      <c r="F16" s="65" t="s">
        <v>714</v>
      </c>
      <c r="G16" s="31" t="s">
        <v>316</v>
      </c>
      <c r="H16" s="37"/>
    </row>
    <row r="17" spans="2:8" x14ac:dyDescent="0.4">
      <c r="B17" s="36" t="str">
        <f>IFERROR(INDEX(기초자료입력!$B$44:$B$53,I3),"")</f>
        <v>스마트</v>
      </c>
      <c r="C17" s="36" t="str">
        <f>IFERROR(IF(INDEX(기초자료입력!$S$44:$S$53,I3)="","",INDEX(기초자료입력!$S$44:$S$53,I3)),"")</f>
        <v>상상로</v>
      </c>
      <c r="D17" s="63"/>
      <c r="E17" s="36">
        <f>IF(기초자료입력!C16&lt;&gt;"",기초자료입력!C16,"")</f>
        <v>200</v>
      </c>
      <c r="F17" s="63"/>
      <c r="G17" s="36"/>
      <c r="H17" s="37"/>
    </row>
    <row r="18" spans="2:8" x14ac:dyDescent="0.4">
      <c r="B18" s="37"/>
      <c r="C18" s="37"/>
      <c r="D18" s="37"/>
      <c r="E18" s="37"/>
      <c r="F18" s="37"/>
      <c r="G18" s="37"/>
      <c r="H18" s="37"/>
    </row>
    <row r="19" spans="2:8" x14ac:dyDescent="0.4">
      <c r="B19" s="94" t="s">
        <v>715</v>
      </c>
      <c r="C19" s="92"/>
      <c r="D19" s="92"/>
      <c r="E19" s="92"/>
      <c r="F19" s="92"/>
      <c r="G19" s="92"/>
      <c r="H19" s="92"/>
    </row>
    <row r="20" spans="2:8" x14ac:dyDescent="0.4">
      <c r="B20" s="92" t="s">
        <v>716</v>
      </c>
      <c r="C20" s="92"/>
      <c r="D20" s="92"/>
      <c r="E20" s="92"/>
      <c r="F20" s="92"/>
      <c r="G20" s="92"/>
      <c r="H20" s="92"/>
    </row>
    <row r="21" spans="2:8" x14ac:dyDescent="0.4">
      <c r="B21" s="92" t="s">
        <v>717</v>
      </c>
      <c r="C21" s="92"/>
      <c r="D21" s="92"/>
      <c r="E21" s="92"/>
      <c r="F21" s="92"/>
      <c r="G21" s="92"/>
      <c r="H21" s="92"/>
    </row>
    <row r="22" spans="2:8" x14ac:dyDescent="0.4">
      <c r="B22" s="92" t="s">
        <v>718</v>
      </c>
      <c r="C22" s="92"/>
      <c r="D22" s="92"/>
      <c r="E22" s="92"/>
      <c r="F22" s="92"/>
      <c r="G22" s="92"/>
      <c r="H22" s="92"/>
    </row>
    <row r="23" spans="2:8" x14ac:dyDescent="0.4">
      <c r="B23" s="92" t="s">
        <v>719</v>
      </c>
      <c r="C23" s="92"/>
      <c r="D23" s="92"/>
      <c r="E23" s="92"/>
      <c r="F23" s="92"/>
      <c r="G23" s="92"/>
      <c r="H23" s="92"/>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304</v>
      </c>
      <c r="H26" s="55" t="str">
        <f>"교장"&amp;CHAR(10)&amp;IF(기초자료입력!$F$10&lt;&gt;"",기초자료입력!$F$10,"")</f>
        <v>교장
김호</v>
      </c>
    </row>
    <row r="27" spans="2:8" x14ac:dyDescent="0.4">
      <c r="B27" s="52" t="s">
        <v>305</v>
      </c>
      <c r="C27" s="92" t="str">
        <f>IF(기초자료입력!C9&lt;&gt;"",기초자료입력!C9&amp;IF(기초자료입력!C8&lt;&gt;"","("&amp;TEXT(기초자료입력!C8,"yyyy.m.d.")&amp;")",""),"")</f>
        <v>전주고-24244(26.1.1.)(2026.1.1.)</v>
      </c>
      <c r="D27" s="92"/>
      <c r="E27" s="92"/>
      <c r="F27" s="54" t="s">
        <v>306</v>
      </c>
      <c r="G27" s="93"/>
      <c r="H27" s="93"/>
    </row>
    <row r="28" spans="2:8" x14ac:dyDescent="0.4">
      <c r="B28" s="52" t="s">
        <v>307</v>
      </c>
      <c r="C28" s="37"/>
      <c r="D28" s="52" t="s">
        <v>308</v>
      </c>
      <c r="E28" s="92" t="str">
        <f>IFERROR(INDEX(학교정보!$F$2:$F$121,MATCH(기초자료입력!$C$4,학교정보!$E$2:$E$121,0)),"")</f>
        <v/>
      </c>
      <c r="F28" s="93"/>
      <c r="G28" s="93"/>
      <c r="H28" s="93"/>
    </row>
    <row r="29" spans="2:8" x14ac:dyDescent="0.4">
      <c r="B29" s="52" t="s">
        <v>309</v>
      </c>
      <c r="C29" s="37" t="str">
        <f>IFERROR(INDEX(학교정보!$G$2:$G$121,MATCH(기초자료입력!$C$4,학교정보!$E$2:$E$121,0)),"")</f>
        <v/>
      </c>
      <c r="D29" s="52" t="s">
        <v>310</v>
      </c>
      <c r="E29" s="37"/>
      <c r="F29" s="54" t="s">
        <v>311</v>
      </c>
      <c r="G29" s="93"/>
      <c r="H29" s="93"/>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54FA8-7875-48C0-AF84-3E4C2D628343}">
  <sheetPr codeName="Sheet52"/>
  <dimension ref="A1:I37"/>
  <sheetViews>
    <sheetView workbookViewId="0">
      <selection activeCell="F34" sqref="F34"/>
    </sheetView>
  </sheetViews>
  <sheetFormatPr defaultRowHeight="17.399999999999999" x14ac:dyDescent="0.4"/>
  <cols>
    <col min="1" max="1" width="3.19921875" customWidth="1"/>
    <col min="2" max="2" width="12.69921875" customWidth="1"/>
    <col min="3" max="8" width="9.69921875" customWidth="1"/>
  </cols>
  <sheetData>
    <row r="1" spans="1:9" x14ac:dyDescent="0.4">
      <c r="A1" s="18"/>
    </row>
    <row r="2" spans="1:9" x14ac:dyDescent="0.4">
      <c r="I2" s="35" t="s">
        <v>720</v>
      </c>
    </row>
    <row r="3" spans="1:9" x14ac:dyDescent="0.4">
      <c r="B3" s="97" t="s">
        <v>721</v>
      </c>
      <c r="C3" s="98"/>
      <c r="D3" s="98"/>
      <c r="E3" s="98"/>
      <c r="F3" s="98"/>
      <c r="G3" s="98"/>
      <c r="H3" s="98"/>
      <c r="I3">
        <v>1</v>
      </c>
    </row>
    <row r="4" spans="1:9" x14ac:dyDescent="0.4">
      <c r="B4" s="98"/>
      <c r="C4" s="98"/>
      <c r="D4" s="98"/>
      <c r="E4" s="98"/>
      <c r="F4" s="98"/>
      <c r="G4" s="98"/>
      <c r="H4" s="98"/>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3" t="s">
        <v>500</v>
      </c>
      <c r="D7" s="93"/>
      <c r="E7" s="93"/>
      <c r="F7" s="93"/>
      <c r="G7" s="93"/>
      <c r="H7" s="93"/>
    </row>
    <row r="8" spans="1:9" x14ac:dyDescent="0.4">
      <c r="B8" s="54" t="s">
        <v>297</v>
      </c>
      <c r="C8" s="93"/>
      <c r="D8" s="93"/>
      <c r="E8" s="93"/>
      <c r="F8" s="93"/>
      <c r="G8" s="93"/>
      <c r="H8" s="93"/>
    </row>
    <row r="9" spans="1:9" x14ac:dyDescent="0.4">
      <c r="B9" s="54" t="s">
        <v>293</v>
      </c>
      <c r="C9" s="95" t="str">
        <f>IF(기초자료입력!C22&lt;&gt;"",기초자료입력!C22,IF(기초자료입력!C5&lt;&gt;"",기초자료입력!C5,"20○○")&amp;"학년도 교복 학교주관구매 계약 체결")</f>
        <v>전주고 교복구매건</v>
      </c>
      <c r="D9" s="93"/>
      <c r="E9" s="93"/>
      <c r="F9" s="93"/>
      <c r="G9" s="93"/>
      <c r="H9" s="93"/>
    </row>
    <row r="10" spans="1:9" x14ac:dyDescent="0.4">
      <c r="B10" s="37"/>
      <c r="C10" s="37"/>
      <c r="D10" s="37"/>
      <c r="E10" s="37"/>
      <c r="F10" s="37"/>
      <c r="G10" s="37"/>
      <c r="H10" s="37"/>
    </row>
    <row r="11" spans="1:9" x14ac:dyDescent="0.4">
      <c r="B11" s="52" t="s">
        <v>298</v>
      </c>
      <c r="C11" s="92" t="str">
        <f>IF(기초자료입력!C23&lt;&gt;"",기초자료입력!C23,"")</f>
        <v>전주고-24244(26.1.1.)</v>
      </c>
      <c r="D11" s="92"/>
      <c r="E11" s="92"/>
      <c r="F11" s="92"/>
      <c r="G11" s="92"/>
      <c r="H11" s="92"/>
    </row>
    <row r="12" spans="1:9" x14ac:dyDescent="0.4">
      <c r="B12" s="37"/>
      <c r="C12" s="37"/>
      <c r="D12" s="37"/>
      <c r="E12" s="37"/>
      <c r="F12" s="37"/>
      <c r="G12" s="37"/>
      <c r="H12" s="37"/>
    </row>
    <row r="13" spans="1:9" x14ac:dyDescent="0.4">
      <c r="B13" s="110"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110"/>
      <c r="D13" s="110"/>
      <c r="E13" s="110"/>
      <c r="F13" s="110"/>
      <c r="G13" s="110"/>
      <c r="H13" s="110"/>
    </row>
    <row r="14" spans="1:9" x14ac:dyDescent="0.4">
      <c r="B14" s="37"/>
      <c r="C14" s="37"/>
      <c r="D14" s="37"/>
      <c r="E14" s="37"/>
      <c r="F14" s="37"/>
      <c r="G14" s="37"/>
      <c r="H14" s="37"/>
    </row>
    <row r="15" spans="1:9" x14ac:dyDescent="0.4">
      <c r="B15" s="52" t="s">
        <v>722</v>
      </c>
      <c r="C15" s="92" t="str">
        <f>IF(기초자료입력!C12&lt;&gt;"",IF(기초자료입력!C5&lt;&gt;"",기초자료입력!C5&amp;"학년도 ","")&amp;기초자료입력!C12,"")</f>
        <v>2026학년도 전주고 교복구매건</v>
      </c>
      <c r="D15" s="92"/>
      <c r="E15" s="92"/>
      <c r="F15" s="92"/>
      <c r="G15" s="92"/>
      <c r="H15" s="92"/>
    </row>
    <row r="16" spans="1:9" x14ac:dyDescent="0.4">
      <c r="B16" s="52" t="s">
        <v>723</v>
      </c>
      <c r="C16" s="159"/>
      <c r="D16" s="92"/>
      <c r="E16" s="92" t="s">
        <v>724</v>
      </c>
      <c r="F16" s="92"/>
      <c r="G16" s="92"/>
      <c r="H16" s="92"/>
    </row>
    <row r="17" spans="2:8" x14ac:dyDescent="0.4">
      <c r="B17" s="52" t="s">
        <v>725</v>
      </c>
      <c r="C17" s="92" t="str">
        <f>IF(AND(C16&lt;&gt;"",기초자료입력!C16&lt;&gt;""),"금"&amp;TEXT(C16*기초자료입력!C16,"#,##0")&amp;"원["&amp;TEXT(C16,"#,##0")&amp;"원(단가)×"&amp;기초자료입력!C16&amp;"벌(예정수량)]","")</f>
        <v/>
      </c>
      <c r="D17" s="92"/>
      <c r="E17" s="92"/>
      <c r="F17" s="92"/>
      <c r="G17" s="92"/>
      <c r="H17" s="92"/>
    </row>
    <row r="18" spans="2:8" x14ac:dyDescent="0.4">
      <c r="B18" s="92" t="s">
        <v>726</v>
      </c>
      <c r="C18" s="92"/>
      <c r="D18" s="92"/>
      <c r="E18" s="92"/>
      <c r="F18" s="92"/>
      <c r="G18" s="92"/>
      <c r="H18" s="92"/>
    </row>
    <row r="19" spans="2:8" x14ac:dyDescent="0.4">
      <c r="B19" s="37"/>
      <c r="C19" s="37"/>
      <c r="D19" s="37"/>
      <c r="E19" s="37"/>
      <c r="F19" s="37"/>
      <c r="G19" s="37"/>
      <c r="H19" s="37"/>
    </row>
    <row r="20" spans="2:8" x14ac:dyDescent="0.4">
      <c r="B20" s="94" t="s">
        <v>727</v>
      </c>
      <c r="C20" s="92"/>
      <c r="D20" s="92"/>
      <c r="E20" s="92"/>
      <c r="F20" s="92"/>
      <c r="G20" s="92"/>
      <c r="H20" s="92"/>
    </row>
    <row r="21" spans="2:8" x14ac:dyDescent="0.4">
      <c r="B21" s="31" t="s">
        <v>52</v>
      </c>
      <c r="C21" s="31" t="s">
        <v>728</v>
      </c>
      <c r="D21" s="31" t="s">
        <v>377</v>
      </c>
      <c r="E21" s="31" t="s">
        <v>427</v>
      </c>
      <c r="F21" s="92"/>
      <c r="G21" s="92"/>
      <c r="H21" s="92"/>
    </row>
    <row r="22" spans="2:8" x14ac:dyDescent="0.4">
      <c r="B22" s="36" t="str">
        <f>IFERROR(INDEX(기초자료입력!$B$44:$B$53,I3),"")</f>
        <v>스마트</v>
      </c>
      <c r="C22" s="36"/>
      <c r="D22" s="36" t="str">
        <f>IFERROR(IF(INDEX(기초자료입력!$S$44:$S$53,I3)="","",INDEX(기초자료입력!$S$44:$S$53,I3)),"")</f>
        <v>상상로</v>
      </c>
      <c r="E22" s="36" t="str">
        <f>IFERROR(IF(INDEX(기초자료입력!$X$44:$X$53,I3)="","",INDEX(기초자료입력!$X$44:$X$53,I3)),"")</f>
        <v/>
      </c>
      <c r="F22" s="92"/>
      <c r="G22" s="92"/>
      <c r="H22" s="92"/>
    </row>
    <row r="23" spans="2:8" x14ac:dyDescent="0.4">
      <c r="B23" s="37"/>
      <c r="C23" s="37"/>
      <c r="D23" s="37"/>
      <c r="E23" s="37"/>
      <c r="F23" s="37"/>
      <c r="G23" s="37"/>
      <c r="H23" s="37"/>
    </row>
    <row r="24" spans="2:8" x14ac:dyDescent="0.4">
      <c r="B24" s="123" t="s">
        <v>729</v>
      </c>
      <c r="C24" s="110"/>
      <c r="D24" s="110"/>
      <c r="E24" s="110"/>
      <c r="F24" s="110"/>
      <c r="G24" s="110"/>
      <c r="H24" s="110"/>
    </row>
    <row r="25" spans="2:8" x14ac:dyDescent="0.4">
      <c r="B25" s="92" t="str">
        <f>"5. 납품기한："&amp;IF(기초자료입력!C17&lt;&gt;"",TEXT(기초자료입력!C17,"yyyy.mm.dd."),"")</f>
        <v>5. 납품기한：2027.01.01.</v>
      </c>
      <c r="C25" s="92"/>
      <c r="D25" s="92"/>
      <c r="E25" s="92"/>
      <c r="F25" s="92"/>
      <c r="G25" s="92"/>
      <c r="H25" s="92"/>
    </row>
    <row r="26" spans="2:8" x14ac:dyDescent="0.4">
      <c r="B26" s="94" t="s">
        <v>730</v>
      </c>
      <c r="C26" s="92"/>
      <c r="D26" s="92"/>
      <c r="E26" s="92"/>
      <c r="F26" s="92"/>
      <c r="G26" s="92"/>
      <c r="H26" s="92"/>
    </row>
    <row r="27" spans="2:8" x14ac:dyDescent="0.4">
      <c r="B27" s="37"/>
      <c r="C27" s="37"/>
      <c r="D27" s="37"/>
      <c r="E27" s="37"/>
      <c r="F27" s="37"/>
      <c r="G27" s="37"/>
      <c r="H27" s="37"/>
    </row>
    <row r="28" spans="2:8" x14ac:dyDescent="0.4">
      <c r="B28" s="92" t="s">
        <v>731</v>
      </c>
      <c r="C28" s="92"/>
      <c r="D28" s="92"/>
      <c r="E28" s="92"/>
      <c r="F28" s="92"/>
      <c r="G28" s="92"/>
      <c r="H28" s="92"/>
    </row>
    <row r="29" spans="2:8" x14ac:dyDescent="0.4">
      <c r="B29" s="92" t="s">
        <v>732</v>
      </c>
      <c r="C29" s="92"/>
      <c r="D29" s="92"/>
      <c r="E29" s="92"/>
      <c r="F29" s="92"/>
      <c r="G29" s="92"/>
      <c r="H29" s="92"/>
    </row>
    <row r="30" spans="2:8" x14ac:dyDescent="0.4">
      <c r="B30" s="92" t="s">
        <v>733</v>
      </c>
      <c r="C30" s="92"/>
      <c r="D30" s="92"/>
      <c r="E30" s="92"/>
      <c r="F30" s="92"/>
      <c r="G30" s="92"/>
      <c r="H30" s="92"/>
    </row>
    <row r="31" spans="2:8" x14ac:dyDescent="0.4">
      <c r="B31" s="92" t="s">
        <v>734</v>
      </c>
      <c r="C31" s="92"/>
      <c r="D31" s="92"/>
      <c r="E31" s="92"/>
      <c r="F31" s="92"/>
      <c r="G31" s="92"/>
      <c r="H31" s="92"/>
    </row>
    <row r="32" spans="2:8" x14ac:dyDescent="0.4">
      <c r="B32" s="92" t="s">
        <v>735</v>
      </c>
      <c r="C32" s="92"/>
      <c r="D32" s="92"/>
      <c r="E32" s="92"/>
      <c r="F32" s="92"/>
      <c r="G32" s="92"/>
      <c r="H32" s="92"/>
    </row>
    <row r="33" spans="2:8" x14ac:dyDescent="0.4">
      <c r="B33" s="37"/>
      <c r="C33" s="37"/>
      <c r="D33" s="37"/>
      <c r="E33" s="37"/>
      <c r="F33" s="37"/>
      <c r="G33" s="37"/>
      <c r="H33" s="37"/>
    </row>
    <row r="34" spans="2:8" ht="28.05" customHeight="1" x14ac:dyDescent="0.4">
      <c r="B34" s="37"/>
      <c r="C34" s="37"/>
      <c r="D34" s="37"/>
      <c r="E34" s="37"/>
      <c r="F34" s="55" t="str">
        <f>"담당"&amp;CHAR(10)&amp;IF(기초자료입력!$C$10&lt;&gt;"",기초자료입력!$C$10,"")</f>
        <v>담당
윤호</v>
      </c>
      <c r="G34" s="55" t="s">
        <v>304</v>
      </c>
      <c r="H34" s="55" t="str">
        <f>"교장"&amp;CHAR(10)&amp;IF(기초자료입력!$F$10&lt;&gt;"",기초자료입력!$F$10,"")</f>
        <v>교장
김호</v>
      </c>
    </row>
    <row r="35" spans="2:8" x14ac:dyDescent="0.4">
      <c r="B35" s="52" t="s">
        <v>305</v>
      </c>
      <c r="C35" s="92" t="str">
        <f>IF(기초자료입력!C9&lt;&gt;"",기초자료입력!C9&amp;IF(기초자료입력!C8&lt;&gt;"","("&amp;TEXT(기초자료입력!C8,"yyyy.m.d.")&amp;")",""),"")</f>
        <v>전주고-24244(26.1.1.)(2026.1.1.)</v>
      </c>
      <c r="D35" s="92"/>
      <c r="E35" s="92"/>
      <c r="F35" s="54" t="s">
        <v>306</v>
      </c>
      <c r="G35" s="93"/>
      <c r="H35" s="93"/>
    </row>
    <row r="36" spans="2:8" x14ac:dyDescent="0.4">
      <c r="B36" s="52" t="s">
        <v>307</v>
      </c>
      <c r="C36" s="37"/>
      <c r="D36" s="52" t="s">
        <v>308</v>
      </c>
      <c r="E36" s="92" t="str">
        <f>IFERROR(INDEX(학교정보!$F$2:$F$121,MATCH(기초자료입력!$C$4,학교정보!$E$2:$E$121,0)),"")</f>
        <v/>
      </c>
      <c r="F36" s="93"/>
      <c r="G36" s="93"/>
      <c r="H36" s="93"/>
    </row>
    <row r="37" spans="2:8" x14ac:dyDescent="0.4">
      <c r="B37" s="52" t="s">
        <v>309</v>
      </c>
      <c r="C37" s="37" t="str">
        <f>IFERROR(INDEX(학교정보!$G$2:$G$121,MATCH(기초자료입력!$C$4,학교정보!$E$2:$E$121,0)),"")</f>
        <v/>
      </c>
      <c r="D37" s="52" t="s">
        <v>310</v>
      </c>
      <c r="E37" s="37"/>
      <c r="F37" s="54" t="s">
        <v>311</v>
      </c>
      <c r="G37" s="93"/>
      <c r="H37" s="93"/>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F6409-BDE3-4FA9-B6D1-7B18020DA29B}">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52" t="str">
        <f>IF(기초자료입력!C4&lt;&gt;"",기초자료입력!C4,"○ ○ 학 교")</f>
        <v>전주고</v>
      </c>
      <c r="H2" s="98"/>
    </row>
    <row r="3" spans="1:8" x14ac:dyDescent="0.4">
      <c r="B3" s="97" t="s">
        <v>736</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737</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IF(기초자료입력!C22&lt;&gt;"",기초자료입력!C22,"신입생 교복구매 사전 안내 가정통신문 발송")</f>
        <v>전주고 교복구매건</v>
      </c>
      <c r="D9" s="93"/>
      <c r="E9" s="93"/>
      <c r="F9" s="93"/>
      <c r="G9" s="93"/>
      <c r="H9" s="93"/>
    </row>
    <row r="10" spans="1:8" x14ac:dyDescent="0.4">
      <c r="B10" s="37"/>
      <c r="C10" s="37"/>
      <c r="D10" s="37"/>
      <c r="E10" s="37"/>
      <c r="F10" s="37"/>
      <c r="G10" s="37"/>
      <c r="H10" s="37"/>
    </row>
    <row r="11" spans="1:8" x14ac:dyDescent="0.4">
      <c r="B11" s="94" t="s">
        <v>738</v>
      </c>
      <c r="C11" s="92"/>
      <c r="D11" s="92"/>
      <c r="E11" s="92"/>
      <c r="F11" s="92"/>
      <c r="G11" s="92"/>
      <c r="H11" s="92"/>
    </row>
    <row r="12" spans="1:8" x14ac:dyDescent="0.4">
      <c r="B12" s="37"/>
      <c r="C12" s="37"/>
      <c r="D12" s="37"/>
      <c r="E12" s="37"/>
      <c r="F12" s="37"/>
      <c r="G12" s="37"/>
      <c r="H12" s="37"/>
    </row>
    <row r="13" spans="1:8" ht="30" customHeight="1" x14ac:dyDescent="0.4">
      <c r="B13" s="110" t="s">
        <v>739</v>
      </c>
      <c r="C13" s="110"/>
      <c r="D13" s="110"/>
      <c r="E13" s="110"/>
      <c r="F13" s="110"/>
      <c r="G13" s="110"/>
      <c r="H13" s="110"/>
    </row>
    <row r="14" spans="1:8" x14ac:dyDescent="0.4">
      <c r="B14" s="37"/>
      <c r="C14" s="37"/>
      <c r="D14" s="37"/>
      <c r="E14" s="37"/>
      <c r="F14" s="37"/>
      <c r="G14" s="37"/>
      <c r="H14" s="37"/>
    </row>
    <row r="15" spans="1:8" x14ac:dyDescent="0.4">
      <c r="B15" s="52" t="s">
        <v>740</v>
      </c>
      <c r="C15" s="92" t="str">
        <f>IF(기초자료입력!C5&lt;&gt;"",기초자료입력!C5,"20○○")&amp;"학년도 예비 중1(예비 고1) 학생 및 학부모"</f>
        <v>2026학년도 예비 중1(예비 고1) 학생 및 학부모</v>
      </c>
      <c r="D15" s="92"/>
      <c r="E15" s="92"/>
      <c r="F15" s="92"/>
      <c r="G15" s="92"/>
      <c r="H15" s="92"/>
    </row>
    <row r="16" spans="1:8" x14ac:dyDescent="0.4">
      <c r="B16" s="52" t="s">
        <v>741</v>
      </c>
      <c r="C16" s="92"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2"/>
      <c r="E16" s="92"/>
      <c r="F16" s="92"/>
      <c r="G16" s="92"/>
      <c r="H16" s="92"/>
    </row>
    <row r="17" spans="2:8" x14ac:dyDescent="0.4">
      <c r="B17" s="37"/>
      <c r="C17" s="37"/>
      <c r="D17" s="37"/>
      <c r="E17" s="37"/>
      <c r="F17" s="37"/>
      <c r="G17" s="37"/>
      <c r="H17" s="37"/>
    </row>
    <row r="18" spans="2:8" x14ac:dyDescent="0.4">
      <c r="B18" s="94" t="s">
        <v>742</v>
      </c>
      <c r="C18" s="92"/>
      <c r="D18" s="92"/>
      <c r="E18" s="92"/>
      <c r="F18" s="92"/>
      <c r="G18" s="92"/>
      <c r="H18" s="92"/>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2" t="str">
        <f>IF(기초자료입력!C9&lt;&gt;"",기초자료입력!C9&amp;IF(기초자료입력!C8&lt;&gt;"","("&amp;TEXT(기초자료입력!C8,"yyyy.m.d.")&amp;")",""),"")</f>
        <v>전주고-24244(26.1.1.)(2026.1.1.)</v>
      </c>
      <c r="D23" s="92"/>
      <c r="E23" s="92"/>
      <c r="F23" s="54" t="s">
        <v>306</v>
      </c>
      <c r="G23" s="93"/>
      <c r="H23" s="93"/>
    </row>
    <row r="24" spans="2:8" x14ac:dyDescent="0.4">
      <c r="B24" s="52" t="s">
        <v>307</v>
      </c>
      <c r="C24" s="37"/>
      <c r="D24" s="52" t="s">
        <v>308</v>
      </c>
      <c r="E24" s="92" t="str">
        <f>IFERROR(INDEX(학교정보!$F$2:$F$121,MATCH(기초자료입력!$C$4,학교정보!$E$2:$E$121,0)),"")</f>
        <v/>
      </c>
      <c r="F24" s="93"/>
      <c r="G24" s="93"/>
      <c r="H24" s="93"/>
    </row>
    <row r="25" spans="2:8" x14ac:dyDescent="0.4">
      <c r="B25" s="52" t="s">
        <v>309</v>
      </c>
      <c r="C25" s="37" t="str">
        <f>IFERROR(INDEX(학교정보!$G$2:$G$121,MATCH(기초자료입력!$C$4,학교정보!$E$2:$E$121,0)),"")</f>
        <v/>
      </c>
      <c r="D25" s="52" t="s">
        <v>310</v>
      </c>
      <c r="E25" s="37"/>
      <c r="F25" s="54" t="s">
        <v>311</v>
      </c>
      <c r="G25" s="93"/>
      <c r="H25" s="93"/>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7631-8930-45A1-8AB5-42701B7DDC84}">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8"/>
    </row>
    <row r="3" spans="1:8" x14ac:dyDescent="0.4">
      <c r="B3" s="115" t="str">
        <f>IF(기초자료입력!C22&lt;&gt;"",기초자료입력!C22,"초 6(예비 중1), 중 3(예비 고1) 교복 구매 사전 안내")</f>
        <v>전주고 교복구매건</v>
      </c>
      <c r="C3" s="116"/>
      <c r="D3" s="116"/>
      <c r="E3" s="116"/>
      <c r="F3" s="116"/>
      <c r="G3" s="116"/>
      <c r="H3" s="116"/>
    </row>
    <row r="4" spans="1:8" x14ac:dyDescent="0.4">
      <c r="B4" s="116"/>
      <c r="C4" s="116"/>
      <c r="D4" s="116"/>
      <c r="E4" s="116"/>
      <c r="F4" s="116"/>
      <c r="G4" s="116"/>
      <c r="H4" s="116"/>
    </row>
    <row r="5" spans="1:8" x14ac:dyDescent="0.4">
      <c r="B5" s="19"/>
      <c r="C5" s="19"/>
      <c r="D5" s="19"/>
      <c r="E5" s="19"/>
      <c r="F5" s="19"/>
      <c r="G5" s="19"/>
      <c r="H5" s="19"/>
    </row>
    <row r="6" spans="1:8" x14ac:dyDescent="0.4">
      <c r="B6" s="106" t="s">
        <v>743</v>
      </c>
      <c r="C6" s="106"/>
      <c r="D6" s="106"/>
      <c r="E6" s="106"/>
      <c r="F6" s="106"/>
      <c r="G6" s="106"/>
      <c r="H6" s="106"/>
    </row>
    <row r="7" spans="1:8" x14ac:dyDescent="0.4">
      <c r="B7" s="19"/>
      <c r="C7" s="19"/>
      <c r="D7" s="19"/>
      <c r="E7" s="19"/>
      <c r="F7" s="19"/>
      <c r="G7" s="19"/>
      <c r="H7" s="19"/>
    </row>
    <row r="8" spans="1:8" ht="30" customHeight="1" x14ac:dyDescent="0.4">
      <c r="B8" s="108"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8"/>
      <c r="D8" s="108"/>
      <c r="E8" s="108"/>
      <c r="F8" s="108"/>
      <c r="G8" s="108"/>
      <c r="H8" s="108"/>
    </row>
    <row r="9" spans="1:8" x14ac:dyDescent="0.4">
      <c r="B9" s="19"/>
      <c r="C9" s="19"/>
      <c r="D9" s="19"/>
      <c r="E9" s="19"/>
      <c r="F9" s="19"/>
      <c r="G9" s="19"/>
      <c r="H9" s="19"/>
    </row>
    <row r="10" spans="1:8" ht="42" customHeight="1" x14ac:dyDescent="0.4">
      <c r="B10" s="108" t="s">
        <v>744</v>
      </c>
      <c r="C10" s="108"/>
      <c r="D10" s="108"/>
      <c r="E10" s="108"/>
      <c r="F10" s="108"/>
      <c r="G10" s="108"/>
      <c r="H10" s="108"/>
    </row>
    <row r="11" spans="1:8" x14ac:dyDescent="0.4">
      <c r="B11" s="108"/>
      <c r="C11" s="108"/>
      <c r="D11" s="108"/>
      <c r="E11" s="108"/>
      <c r="F11" s="108"/>
      <c r="G11" s="108"/>
      <c r="H11" s="108"/>
    </row>
    <row r="12" spans="1:8" x14ac:dyDescent="0.4">
      <c r="B12" s="19"/>
      <c r="C12" s="19"/>
      <c r="D12" s="19"/>
      <c r="E12" s="19"/>
      <c r="F12" s="19"/>
      <c r="G12" s="19"/>
      <c r="H12" s="19"/>
    </row>
    <row r="13" spans="1:8" ht="42" customHeight="1" x14ac:dyDescent="0.4">
      <c r="B13" s="108" t="s">
        <v>745</v>
      </c>
      <c r="C13" s="108"/>
      <c r="D13" s="108"/>
      <c r="E13" s="108"/>
      <c r="F13" s="108"/>
      <c r="G13" s="108"/>
      <c r="H13" s="108"/>
    </row>
    <row r="14" spans="1:8" x14ac:dyDescent="0.4">
      <c r="B14" s="108"/>
      <c r="C14" s="108"/>
      <c r="D14" s="108"/>
      <c r="E14" s="108"/>
      <c r="F14" s="108"/>
      <c r="G14" s="108"/>
      <c r="H14" s="108"/>
    </row>
    <row r="15" spans="1:8" x14ac:dyDescent="0.4">
      <c r="B15" s="19"/>
      <c r="C15" s="19"/>
      <c r="D15" s="19"/>
      <c r="E15" s="19"/>
      <c r="F15" s="19"/>
      <c r="G15" s="19"/>
      <c r="H15" s="19"/>
    </row>
    <row r="16" spans="1:8" ht="42" customHeight="1" x14ac:dyDescent="0.4">
      <c r="B16" s="108" t="s">
        <v>746</v>
      </c>
      <c r="C16" s="108"/>
      <c r="D16" s="108"/>
      <c r="E16" s="108"/>
      <c r="F16" s="108"/>
      <c r="G16" s="108"/>
      <c r="H16" s="108"/>
    </row>
    <row r="17" spans="2:8" x14ac:dyDescent="0.4">
      <c r="B17" s="108"/>
      <c r="C17" s="108"/>
      <c r="D17" s="108"/>
      <c r="E17" s="108"/>
      <c r="F17" s="108"/>
      <c r="G17" s="108"/>
      <c r="H17" s="108"/>
    </row>
    <row r="18" spans="2:8" x14ac:dyDescent="0.4">
      <c r="B18" s="19"/>
      <c r="C18" s="19"/>
      <c r="D18" s="19"/>
      <c r="E18" s="19"/>
      <c r="F18" s="19"/>
      <c r="G18" s="19"/>
      <c r="H18" s="19"/>
    </row>
    <row r="19" spans="2:8" x14ac:dyDescent="0.4">
      <c r="B19" s="106" t="s">
        <v>747</v>
      </c>
      <c r="C19" s="106"/>
      <c r="D19" s="106"/>
      <c r="E19" s="106"/>
      <c r="F19" s="106"/>
      <c r="G19" s="106"/>
      <c r="H19" s="106"/>
    </row>
    <row r="20" spans="2:8" x14ac:dyDescent="0.4">
      <c r="B20" s="19"/>
      <c r="C20" s="19"/>
      <c r="D20" s="19"/>
      <c r="E20" s="19"/>
      <c r="F20" s="19"/>
      <c r="G20" s="19"/>
      <c r="H20" s="19"/>
    </row>
    <row r="21" spans="2:8" x14ac:dyDescent="0.4">
      <c r="B21" s="116" t="str">
        <f>IF(기초자료입력!C8&lt;&gt;"",TEXT(기초자료입력!C8,"yyyy. m. d."),"년  월  일")</f>
        <v>2026. 1. 1.</v>
      </c>
      <c r="C21" s="116"/>
      <c r="D21" s="116"/>
      <c r="E21" s="116"/>
      <c r="F21" s="116"/>
      <c r="G21" s="116"/>
      <c r="H21" s="116"/>
    </row>
    <row r="22" spans="2:8" x14ac:dyDescent="0.4">
      <c r="B22" s="115" t="str">
        <f>IF(기초자료입력!C4&lt;&gt;"",기초자료입력!C4&amp;"장","○○학교장")</f>
        <v>전주고장</v>
      </c>
      <c r="C22" s="116"/>
      <c r="D22" s="116"/>
      <c r="E22" s="116"/>
      <c r="F22" s="116"/>
      <c r="G22" s="116"/>
      <c r="H22" s="116"/>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vertic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04E-5B99-4B80-8F82-374F114D6A66}">
  <sheetPr codeName="Sheet55"/>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52" t="str">
        <f>IF(기초자료입력!C4&lt;&gt;"",기초자료입력!C4,"○ ○ 학 교")</f>
        <v>전주고</v>
      </c>
      <c r="H2" s="98"/>
    </row>
    <row r="3" spans="1:8" x14ac:dyDescent="0.4">
      <c r="B3" s="97" t="s">
        <v>748</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737</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IF(기초자료입력!C22&lt;&gt;"",기초자료입력!C22,"신입생 예비소집일 교복구매 수요조사 가정통신문 발송")</f>
        <v>전주고 교복구매건</v>
      </c>
      <c r="D9" s="93"/>
      <c r="E9" s="93"/>
      <c r="F9" s="93"/>
      <c r="G9" s="93"/>
      <c r="H9" s="93"/>
    </row>
    <row r="10" spans="1:8" x14ac:dyDescent="0.4">
      <c r="B10" s="37"/>
      <c r="C10" s="37"/>
      <c r="D10" s="37"/>
      <c r="E10" s="37"/>
      <c r="F10" s="37"/>
      <c r="G10" s="37"/>
      <c r="H10" s="37"/>
    </row>
    <row r="11" spans="1:8" x14ac:dyDescent="0.4">
      <c r="B11" s="94" t="s">
        <v>738</v>
      </c>
      <c r="C11" s="92"/>
      <c r="D11" s="92"/>
      <c r="E11" s="92"/>
      <c r="F11" s="92"/>
      <c r="G11" s="92"/>
      <c r="H11" s="92"/>
    </row>
    <row r="12" spans="1:8" x14ac:dyDescent="0.4">
      <c r="B12" s="37"/>
      <c r="C12" s="37"/>
      <c r="D12" s="37"/>
      <c r="E12" s="37"/>
      <c r="F12" s="37"/>
      <c r="G12" s="37"/>
      <c r="H12" s="37"/>
    </row>
    <row r="13" spans="1:8" ht="30" customHeight="1" x14ac:dyDescent="0.4">
      <c r="B13" s="110" t="s">
        <v>749</v>
      </c>
      <c r="C13" s="110"/>
      <c r="D13" s="110"/>
      <c r="E13" s="110"/>
      <c r="F13" s="110"/>
      <c r="G13" s="110"/>
      <c r="H13" s="110"/>
    </row>
    <row r="14" spans="1:8" x14ac:dyDescent="0.4">
      <c r="B14" s="37"/>
      <c r="C14" s="37"/>
      <c r="D14" s="37"/>
      <c r="E14" s="37"/>
      <c r="F14" s="37"/>
      <c r="G14" s="37"/>
      <c r="H14" s="37"/>
    </row>
    <row r="15" spans="1:8" x14ac:dyDescent="0.4">
      <c r="B15" s="52" t="s">
        <v>740</v>
      </c>
      <c r="C15" s="92" t="str">
        <f>IF(기초자료입력!C5&lt;&gt;"",기초자료입력!C5,"20○○")&amp;"학년도 신입생 및 학부모"</f>
        <v>2026학년도 신입생 및 학부모</v>
      </c>
      <c r="D15" s="92"/>
      <c r="E15" s="92"/>
      <c r="F15" s="92"/>
      <c r="G15" s="92"/>
      <c r="H15" s="92"/>
    </row>
    <row r="16" spans="1:8" x14ac:dyDescent="0.4">
      <c r="B16" s="52" t="s">
        <v>741</v>
      </c>
      <c r="C16" s="92" t="str">
        <f>IF(기초자료입력!C12&lt;&gt;"",기초자료입력!C12&amp;" 관련 교복 학교주관구매 참여 여부 조사","교복 학교주관구매 참여 여부 조사")</f>
        <v>전주고 교복구매건 관련 교복 학교주관구매 참여 여부 조사</v>
      </c>
      <c r="D16" s="92"/>
      <c r="E16" s="92"/>
      <c r="F16" s="92"/>
      <c r="G16" s="92"/>
      <c r="H16" s="92"/>
    </row>
    <row r="17" spans="2:8" x14ac:dyDescent="0.4">
      <c r="B17" s="37"/>
      <c r="C17" s="37"/>
      <c r="D17" s="37"/>
      <c r="E17" s="37"/>
      <c r="F17" s="37"/>
      <c r="G17" s="37"/>
      <c r="H17" s="37"/>
    </row>
    <row r="18" spans="2:8" x14ac:dyDescent="0.4">
      <c r="B18" s="94" t="s">
        <v>750</v>
      </c>
      <c r="C18" s="92"/>
      <c r="D18" s="92"/>
      <c r="E18" s="92"/>
      <c r="F18" s="92"/>
      <c r="G18" s="92"/>
      <c r="H18" s="92"/>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2" t="str">
        <f>IF(기초자료입력!C9&lt;&gt;"",기초자료입력!C9&amp;IF(기초자료입력!C8&lt;&gt;"","("&amp;TEXT(기초자료입력!C8,"yyyy.m.d.")&amp;")",""),"")</f>
        <v>전주고-24244(26.1.1.)(2026.1.1.)</v>
      </c>
      <c r="D23" s="92"/>
      <c r="E23" s="92"/>
      <c r="F23" s="54" t="s">
        <v>306</v>
      </c>
      <c r="G23" s="93"/>
      <c r="H23" s="93"/>
    </row>
    <row r="24" spans="2:8" x14ac:dyDescent="0.4">
      <c r="B24" s="52" t="s">
        <v>307</v>
      </c>
      <c r="C24" s="37"/>
      <c r="D24" s="52" t="s">
        <v>308</v>
      </c>
      <c r="E24" s="92" t="str">
        <f>IFERROR(INDEX(학교정보!$F$2:$F$121,MATCH(기초자료입력!$C$4,학교정보!$E$2:$E$121,0)),"")</f>
        <v/>
      </c>
      <c r="F24" s="93"/>
      <c r="G24" s="93"/>
      <c r="H24" s="93"/>
    </row>
    <row r="25" spans="2:8" x14ac:dyDescent="0.4">
      <c r="B25" s="52" t="s">
        <v>309</v>
      </c>
      <c r="C25" s="37" t="str">
        <f>IFERROR(INDEX(학교정보!$G$2:$G$121,MATCH(기초자료입력!$C$4,학교정보!$E$2:$E$121,0)),"")</f>
        <v/>
      </c>
      <c r="D25" s="52" t="s">
        <v>310</v>
      </c>
      <c r="E25" s="37"/>
      <c r="F25" s="54" t="s">
        <v>311</v>
      </c>
      <c r="G25" s="93"/>
      <c r="H25" s="93"/>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C3F0-949D-40F6-BBC0-32A7D64FF607}">
  <sheetPr codeName="Sheet56"/>
  <dimension ref="A1:H41"/>
  <sheetViews>
    <sheetView workbookViewId="0"/>
  </sheetViews>
  <sheetFormatPr defaultRowHeight="17.399999999999999" x14ac:dyDescent="0.4"/>
  <cols>
    <col min="1" max="1" width="3.19921875" customWidth="1"/>
    <col min="2" max="8" width="10.69921875" customWidth="1"/>
  </cols>
  <sheetData>
    <row r="1" spans="1:8" x14ac:dyDescent="0.4">
      <c r="A1" s="18"/>
    </row>
    <row r="3" spans="1:8" x14ac:dyDescent="0.4">
      <c r="B3" s="115" t="str">
        <f>IF(기초자료입력!C22&lt;&gt;"",기초자료입력!C22,IF(기초자료입력!C4&lt;&gt;"",기초자료입력!C4,"○○학교")&amp;" 교복 구매 수요조사")</f>
        <v>전주고 교복구매건</v>
      </c>
      <c r="C3" s="116"/>
      <c r="D3" s="116"/>
      <c r="E3" s="116"/>
      <c r="F3" s="116"/>
      <c r="G3" s="116"/>
      <c r="H3" s="116"/>
    </row>
    <row r="4" spans="1:8" x14ac:dyDescent="0.4">
      <c r="B4" s="116"/>
      <c r="C4" s="116"/>
      <c r="D4" s="116"/>
      <c r="E4" s="116"/>
      <c r="F4" s="116"/>
      <c r="G4" s="116"/>
      <c r="H4" s="116"/>
    </row>
    <row r="5" spans="1:8" x14ac:dyDescent="0.4">
      <c r="B5" s="19"/>
      <c r="C5" s="19"/>
      <c r="D5" s="19"/>
      <c r="E5" s="19"/>
      <c r="F5" s="19"/>
      <c r="G5" s="19"/>
      <c r="H5" s="19"/>
    </row>
    <row r="6" spans="1:8" x14ac:dyDescent="0.4">
      <c r="B6" s="106" t="str">
        <f>"안녕하십니까? "&amp;IF(기초자료입력!C4&lt;&gt;"",기초자료입력!C4,"○○학교")&amp;" 입학을 진심으로 축하드립니다."</f>
        <v>안녕하십니까? 전주고 입학을 진심으로 축하드립니다.</v>
      </c>
      <c r="C6" s="106"/>
      <c r="D6" s="106"/>
      <c r="E6" s="106"/>
      <c r="F6" s="106"/>
      <c r="G6" s="106"/>
      <c r="H6" s="106"/>
    </row>
    <row r="7" spans="1:8" x14ac:dyDescent="0.4">
      <c r="B7" s="19"/>
      <c r="C7" s="19"/>
      <c r="D7" s="19"/>
      <c r="E7" s="19"/>
      <c r="F7" s="19"/>
      <c r="G7" s="19"/>
      <c r="H7" s="19"/>
    </row>
    <row r="8" spans="1:8" ht="30" customHeight="1" x14ac:dyDescent="0.4">
      <c r="B8" s="108" t="s">
        <v>769</v>
      </c>
      <c r="C8" s="108"/>
      <c r="D8" s="108"/>
      <c r="E8" s="108"/>
      <c r="F8" s="108"/>
      <c r="G8" s="108"/>
      <c r="H8" s="108"/>
    </row>
    <row r="9" spans="1:8" x14ac:dyDescent="0.4">
      <c r="B9" s="108"/>
      <c r="C9" s="108"/>
      <c r="D9" s="108"/>
      <c r="E9" s="108"/>
      <c r="F9" s="108"/>
      <c r="G9" s="108"/>
      <c r="H9" s="108"/>
    </row>
    <row r="10" spans="1:8" x14ac:dyDescent="0.4">
      <c r="B10" s="19"/>
      <c r="C10" s="19"/>
      <c r="D10" s="19"/>
      <c r="E10" s="19"/>
      <c r="F10" s="19"/>
      <c r="G10" s="19"/>
      <c r="H10" s="19"/>
    </row>
    <row r="11" spans="1:8" ht="30" customHeight="1" x14ac:dyDescent="0.4">
      <c r="B11" s="108" t="s">
        <v>770</v>
      </c>
      <c r="C11" s="108"/>
      <c r="D11" s="108"/>
      <c r="E11" s="108"/>
      <c r="F11" s="108"/>
      <c r="G11" s="108"/>
      <c r="H11" s="108"/>
    </row>
    <row r="12" spans="1:8" x14ac:dyDescent="0.4">
      <c r="B12" s="108"/>
      <c r="C12" s="108"/>
      <c r="D12" s="108"/>
      <c r="E12" s="108"/>
      <c r="F12" s="108"/>
      <c r="G12" s="108"/>
      <c r="H12" s="108"/>
    </row>
    <row r="13" spans="1:8" x14ac:dyDescent="0.4">
      <c r="B13" s="19"/>
      <c r="C13" s="19"/>
      <c r="D13" s="19"/>
      <c r="E13" s="19"/>
      <c r="F13" s="19"/>
      <c r="G13" s="19"/>
      <c r="H13" s="19"/>
    </row>
    <row r="14" spans="1:8" ht="30" customHeight="1" x14ac:dyDescent="0.4">
      <c r="B14" s="108"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8"/>
      <c r="D14" s="108"/>
      <c r="E14" s="108"/>
      <c r="F14" s="108"/>
      <c r="G14" s="108"/>
      <c r="H14" s="108"/>
    </row>
    <row r="15" spans="1:8" x14ac:dyDescent="0.4">
      <c r="B15" s="108"/>
      <c r="C15" s="108"/>
      <c r="D15" s="108"/>
      <c r="E15" s="108"/>
      <c r="F15" s="108"/>
      <c r="G15" s="108"/>
      <c r="H15" s="108"/>
    </row>
    <row r="16" spans="1:8" x14ac:dyDescent="0.4">
      <c r="B16" s="19"/>
      <c r="C16" s="19"/>
      <c r="D16" s="19"/>
      <c r="E16" s="19"/>
      <c r="F16" s="19"/>
      <c r="G16" s="19"/>
      <c r="H16" s="19"/>
    </row>
    <row r="17" spans="2:8" ht="30" customHeight="1" x14ac:dyDescent="0.4">
      <c r="B17" s="108"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8"/>
      <c r="D17" s="108"/>
      <c r="E17" s="108"/>
      <c r="F17" s="108"/>
      <c r="G17" s="108"/>
      <c r="H17" s="108"/>
    </row>
    <row r="18" spans="2:8" x14ac:dyDescent="0.4">
      <c r="B18" s="108"/>
      <c r="C18" s="108"/>
      <c r="D18" s="108"/>
      <c r="E18" s="108"/>
      <c r="F18" s="108"/>
      <c r="G18" s="108"/>
      <c r="H18" s="108"/>
    </row>
    <row r="19" spans="2:8" x14ac:dyDescent="0.4">
      <c r="B19" s="19"/>
      <c r="C19" s="19"/>
      <c r="D19" s="19"/>
      <c r="E19" s="19"/>
      <c r="F19" s="19"/>
      <c r="G19" s="19"/>
      <c r="H19" s="19"/>
    </row>
    <row r="20" spans="2:8" ht="40.049999999999997" customHeight="1" x14ac:dyDescent="0.4">
      <c r="B20" s="108" t="s">
        <v>771</v>
      </c>
      <c r="C20" s="108"/>
      <c r="D20" s="108"/>
      <c r="E20" s="108"/>
      <c r="F20" s="108"/>
      <c r="G20" s="108"/>
      <c r="H20" s="108"/>
    </row>
    <row r="21" spans="2:8" x14ac:dyDescent="0.4">
      <c r="B21" s="108"/>
      <c r="C21" s="108"/>
      <c r="D21" s="108"/>
      <c r="E21" s="108"/>
      <c r="F21" s="108"/>
      <c r="G21" s="108"/>
      <c r="H21" s="108"/>
    </row>
    <row r="22" spans="2:8" x14ac:dyDescent="0.4">
      <c r="B22" s="19"/>
      <c r="C22" s="19"/>
      <c r="D22" s="19"/>
      <c r="E22" s="19"/>
      <c r="F22" s="19"/>
      <c r="G22" s="19"/>
      <c r="H22" s="19"/>
    </row>
    <row r="23" spans="2:8" x14ac:dyDescent="0.4">
      <c r="B23" s="106" t="s">
        <v>747</v>
      </c>
      <c r="C23" s="106"/>
      <c r="D23" s="106"/>
      <c r="E23" s="106"/>
      <c r="F23" s="106"/>
      <c r="G23" s="106"/>
      <c r="H23" s="106"/>
    </row>
    <row r="24" spans="2:8" x14ac:dyDescent="0.4">
      <c r="B24" s="162" t="s">
        <v>772</v>
      </c>
      <c r="C24" s="106"/>
      <c r="D24" s="106"/>
      <c r="E24" s="106"/>
      <c r="F24" s="106"/>
      <c r="G24" s="106"/>
      <c r="H24" s="106"/>
    </row>
    <row r="25" spans="2:8" x14ac:dyDescent="0.4">
      <c r="B25" s="19"/>
      <c r="C25" s="19"/>
      <c r="D25" s="19"/>
      <c r="E25" s="19"/>
      <c r="F25" s="19"/>
      <c r="G25" s="19"/>
      <c r="H25" s="19"/>
    </row>
    <row r="26" spans="2:8" x14ac:dyDescent="0.4">
      <c r="B26" s="116" t="str">
        <f>IF(기초자료입력!C8&lt;&gt;"",TEXT(기초자료입력!C8,"yyyy. m. d."),"년  월  일")</f>
        <v>2026. 1. 1.</v>
      </c>
      <c r="C26" s="116"/>
      <c r="D26" s="116"/>
      <c r="E26" s="116"/>
      <c r="F26" s="116"/>
      <c r="G26" s="116"/>
      <c r="H26" s="116"/>
    </row>
    <row r="27" spans="2:8" x14ac:dyDescent="0.4">
      <c r="B27" s="115" t="str">
        <f>IF(기초자료입력!C4&lt;&gt;"",기초자료입력!C4&amp;"장","○○○ 학교장")</f>
        <v>전주고장</v>
      </c>
      <c r="C27" s="116"/>
      <c r="D27" s="116"/>
      <c r="E27" s="116"/>
      <c r="F27" s="116"/>
      <c r="G27" s="116"/>
      <c r="H27" s="116"/>
    </row>
    <row r="28" spans="2:8" x14ac:dyDescent="0.4">
      <c r="B28" s="19"/>
      <c r="C28" s="19"/>
      <c r="D28" s="19"/>
      <c r="E28" s="19"/>
      <c r="F28" s="19"/>
      <c r="G28" s="19"/>
      <c r="H28" s="19"/>
    </row>
    <row r="29" spans="2:8" x14ac:dyDescent="0.4">
      <c r="B29" s="116" t="s">
        <v>773</v>
      </c>
      <c r="C29" s="116"/>
      <c r="D29" s="116"/>
      <c r="E29" s="116"/>
      <c r="F29" s="116"/>
      <c r="G29" s="116"/>
      <c r="H29" s="116"/>
    </row>
    <row r="30" spans="2:8" x14ac:dyDescent="0.4">
      <c r="B30" s="19"/>
      <c r="C30" s="19"/>
      <c r="D30" s="19"/>
      <c r="E30" s="19"/>
      <c r="F30" s="19"/>
      <c r="G30" s="19"/>
      <c r="H30" s="19"/>
    </row>
    <row r="31" spans="2:8" x14ac:dyDescent="0.4">
      <c r="B31" s="115" t="s">
        <v>774</v>
      </c>
      <c r="C31" s="116"/>
      <c r="D31" s="116"/>
      <c r="E31" s="116"/>
      <c r="F31" s="116"/>
      <c r="G31" s="116"/>
      <c r="H31" s="116"/>
    </row>
    <row r="32" spans="2:8" x14ac:dyDescent="0.4">
      <c r="B32" s="106" t="s">
        <v>775</v>
      </c>
      <c r="C32" s="106"/>
      <c r="D32" s="106"/>
      <c r="E32" s="106"/>
      <c r="F32" s="106"/>
      <c r="G32" s="106"/>
      <c r="H32" s="106"/>
    </row>
    <row r="33" spans="2:8" x14ac:dyDescent="0.4">
      <c r="B33" s="19"/>
      <c r="C33" s="19"/>
      <c r="D33" s="19"/>
      <c r="E33" s="19"/>
      <c r="F33" s="19"/>
      <c r="G33" s="19"/>
      <c r="H33" s="19"/>
    </row>
    <row r="34" spans="2:8" ht="31.95" customHeight="1" x14ac:dyDescent="0.4">
      <c r="B34" s="160" t="s">
        <v>776</v>
      </c>
      <c r="C34" s="160"/>
      <c r="D34" s="160" t="s">
        <v>777</v>
      </c>
      <c r="E34" s="160"/>
      <c r="F34" s="160"/>
      <c r="G34" s="160"/>
      <c r="H34" s="19"/>
    </row>
    <row r="35" spans="2:8" ht="31.95" customHeight="1" x14ac:dyDescent="0.4">
      <c r="B35" s="161"/>
      <c r="C35" s="161"/>
      <c r="D35" s="161" t="s">
        <v>778</v>
      </c>
      <c r="E35" s="161"/>
      <c r="F35" s="161" t="s">
        <v>779</v>
      </c>
      <c r="G35" s="161"/>
      <c r="H35" s="19"/>
    </row>
    <row r="36" spans="2:8" ht="19.95" customHeight="1" x14ac:dyDescent="0.4">
      <c r="B36" s="141"/>
      <c r="C36" s="141"/>
      <c r="D36" s="141"/>
      <c r="E36" s="141"/>
      <c r="F36" s="141"/>
      <c r="G36" s="141"/>
      <c r="H36" s="19"/>
    </row>
    <row r="37" spans="2:8" x14ac:dyDescent="0.4">
      <c r="B37" s="19"/>
      <c r="C37" s="19"/>
      <c r="D37" s="19"/>
      <c r="E37" s="19"/>
      <c r="F37" s="19"/>
      <c r="G37" s="19"/>
      <c r="H37" s="19"/>
    </row>
    <row r="38" spans="2:8" x14ac:dyDescent="0.4">
      <c r="B38" s="19"/>
      <c r="C38" s="19"/>
      <c r="D38" s="19"/>
      <c r="E38" s="19"/>
      <c r="F38" s="19"/>
      <c r="G38" s="19"/>
      <c r="H38" s="19"/>
    </row>
    <row r="39" spans="2:8" x14ac:dyDescent="0.4">
      <c r="B39" s="116" t="s">
        <v>755</v>
      </c>
      <c r="C39" s="116"/>
      <c r="D39" s="116"/>
      <c r="E39" s="116"/>
      <c r="F39" s="116"/>
      <c r="G39" s="116"/>
      <c r="H39" s="116"/>
    </row>
    <row r="40" spans="2:8" x14ac:dyDescent="0.4">
      <c r="B40" s="106" t="s">
        <v>756</v>
      </c>
      <c r="C40" s="106"/>
      <c r="D40" s="106"/>
      <c r="E40" s="106"/>
      <c r="F40" s="106"/>
      <c r="G40" s="106"/>
      <c r="H40" s="106"/>
    </row>
    <row r="41" spans="2:8" x14ac:dyDescent="0.4">
      <c r="B41" s="106" t="s">
        <v>757</v>
      </c>
      <c r="C41" s="106"/>
      <c r="D41" s="106"/>
      <c r="E41" s="106"/>
      <c r="F41" s="106"/>
      <c r="G41" s="106"/>
      <c r="H41" s="106"/>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rintOptions horizontalCentered="1" vertic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6C9B3-530B-4087-8DEC-5F8A47055D26}">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8"/>
    </row>
    <row r="3" spans="1:9" x14ac:dyDescent="0.4">
      <c r="B3" s="115" t="str">
        <f>IF(기초자료입력!C4&lt;&gt;"",기초자료입력!C4,"○○학교")&amp;" 교복 구매 안내문"</f>
        <v>전주고 교복 구매 안내문</v>
      </c>
      <c r="C3" s="116"/>
      <c r="D3" s="116"/>
      <c r="E3" s="116"/>
      <c r="F3" s="116"/>
      <c r="G3" s="116"/>
      <c r="H3" s="116"/>
      <c r="I3" s="19"/>
    </row>
    <row r="4" spans="1:9" x14ac:dyDescent="0.4">
      <c r="B4" s="116"/>
      <c r="C4" s="116"/>
      <c r="D4" s="116"/>
      <c r="E4" s="116"/>
      <c r="F4" s="116"/>
      <c r="G4" s="116"/>
      <c r="H4" s="116"/>
      <c r="I4" s="19"/>
    </row>
    <row r="5" spans="1:9" x14ac:dyDescent="0.4">
      <c r="B5" s="19"/>
      <c r="C5" s="19"/>
      <c r="D5" s="19"/>
      <c r="E5" s="19"/>
      <c r="F5" s="19"/>
      <c r="G5" s="19"/>
      <c r="H5" s="19"/>
      <c r="I5" s="19"/>
    </row>
    <row r="6" spans="1:9" x14ac:dyDescent="0.4">
      <c r="B6" s="106" t="str">
        <f>"안녕하십니까? "&amp;IF(기초자료입력!C4&lt;&gt;"",기초자료입력!C4,"○○학교")&amp;" 입학을 진심으로 축하드립니다."</f>
        <v>안녕하십니까? 전주고 입학을 진심으로 축하드립니다.</v>
      </c>
      <c r="C6" s="106"/>
      <c r="D6" s="106"/>
      <c r="E6" s="106"/>
      <c r="F6" s="106"/>
      <c r="G6" s="106"/>
      <c r="H6" s="106"/>
      <c r="I6" s="19"/>
    </row>
    <row r="7" spans="1:9" x14ac:dyDescent="0.4">
      <c r="B7" s="19"/>
      <c r="C7" s="19"/>
      <c r="D7" s="19"/>
      <c r="E7" s="19"/>
      <c r="F7" s="19"/>
      <c r="G7" s="19"/>
      <c r="H7" s="19"/>
      <c r="I7" s="19"/>
    </row>
    <row r="8" spans="1:9" ht="30" customHeight="1" x14ac:dyDescent="0.4">
      <c r="B8" s="108" t="s">
        <v>751</v>
      </c>
      <c r="C8" s="108"/>
      <c r="D8" s="108"/>
      <c r="E8" s="108"/>
      <c r="F8" s="108"/>
      <c r="G8" s="108"/>
      <c r="H8" s="108"/>
      <c r="I8" s="19"/>
    </row>
    <row r="9" spans="1:9" x14ac:dyDescent="0.4">
      <c r="B9" s="108"/>
      <c r="C9" s="108"/>
      <c r="D9" s="108"/>
      <c r="E9" s="108"/>
      <c r="F9" s="108"/>
      <c r="G9" s="108"/>
      <c r="H9" s="108"/>
      <c r="I9" s="19"/>
    </row>
    <row r="10" spans="1:9" x14ac:dyDescent="0.4">
      <c r="B10" s="19"/>
      <c r="C10" s="19"/>
      <c r="D10" s="19"/>
      <c r="E10" s="19"/>
      <c r="F10" s="19"/>
      <c r="G10" s="19"/>
      <c r="H10" s="19"/>
      <c r="I10" s="19"/>
    </row>
    <row r="11" spans="1:9" ht="60" customHeight="1" x14ac:dyDescent="0.4">
      <c r="B11" s="108"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8"/>
      <c r="D11" s="108"/>
      <c r="E11" s="108"/>
      <c r="F11" s="108"/>
      <c r="G11" s="108"/>
      <c r="H11" s="108"/>
      <c r="I11" s="19"/>
    </row>
    <row r="12" spans="1:9" x14ac:dyDescent="0.4">
      <c r="B12" s="108"/>
      <c r="C12" s="108"/>
      <c r="D12" s="108"/>
      <c r="E12" s="108"/>
      <c r="F12" s="108"/>
      <c r="G12" s="108"/>
      <c r="H12" s="108"/>
      <c r="I12" s="19"/>
    </row>
    <row r="13" spans="1:9" x14ac:dyDescent="0.4">
      <c r="B13" s="19"/>
      <c r="C13" s="19"/>
      <c r="D13" s="19"/>
      <c r="E13" s="19"/>
      <c r="F13" s="19"/>
      <c r="G13" s="19"/>
      <c r="H13" s="19"/>
      <c r="I13" s="19"/>
    </row>
    <row r="14" spans="1:9" ht="30" customHeight="1" x14ac:dyDescent="0.4">
      <c r="B14" s="108" t="s">
        <v>752</v>
      </c>
      <c r="C14" s="108"/>
      <c r="D14" s="108"/>
      <c r="E14" s="108"/>
      <c r="F14" s="108"/>
      <c r="G14" s="108"/>
      <c r="H14" s="108"/>
      <c r="I14" s="19"/>
    </row>
    <row r="15" spans="1:9" x14ac:dyDescent="0.4">
      <c r="B15" s="108"/>
      <c r="C15" s="108"/>
      <c r="D15" s="108"/>
      <c r="E15" s="108"/>
      <c r="F15" s="108"/>
      <c r="G15" s="108"/>
      <c r="H15" s="108"/>
      <c r="I15" s="19"/>
    </row>
    <row r="16" spans="1:9" x14ac:dyDescent="0.4">
      <c r="B16" s="19"/>
      <c r="C16" s="19"/>
      <c r="D16" s="19"/>
      <c r="E16" s="19"/>
      <c r="F16" s="19"/>
      <c r="G16" s="19"/>
      <c r="H16" s="19"/>
      <c r="I16" s="19"/>
    </row>
    <row r="17" spans="2:9" ht="30" customHeight="1" x14ac:dyDescent="0.4">
      <c r="B17" s="108"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8"/>
      <c r="D17" s="108"/>
      <c r="E17" s="108"/>
      <c r="F17" s="108"/>
      <c r="G17" s="108"/>
      <c r="H17" s="108"/>
      <c r="I17" s="19"/>
    </row>
    <row r="18" spans="2:9" x14ac:dyDescent="0.4">
      <c r="B18" s="108"/>
      <c r="C18" s="108"/>
      <c r="D18" s="108"/>
      <c r="E18" s="108"/>
      <c r="F18" s="108"/>
      <c r="G18" s="108"/>
      <c r="H18" s="108"/>
      <c r="I18" s="19"/>
    </row>
    <row r="19" spans="2:9" x14ac:dyDescent="0.4">
      <c r="B19" s="19"/>
      <c r="C19" s="19"/>
      <c r="D19" s="19"/>
      <c r="E19" s="19"/>
      <c r="F19" s="19"/>
      <c r="G19" s="19"/>
      <c r="H19" s="19"/>
      <c r="I19" s="19"/>
    </row>
    <row r="20" spans="2:9" ht="30" customHeight="1" x14ac:dyDescent="0.4">
      <c r="B20" s="108" t="s">
        <v>753</v>
      </c>
      <c r="C20" s="108"/>
      <c r="D20" s="108"/>
      <c r="E20" s="108"/>
      <c r="F20" s="108"/>
      <c r="G20" s="108"/>
      <c r="H20" s="108"/>
      <c r="I20" s="19"/>
    </row>
    <row r="21" spans="2:9" x14ac:dyDescent="0.4">
      <c r="B21" s="108"/>
      <c r="C21" s="108"/>
      <c r="D21" s="108"/>
      <c r="E21" s="108"/>
      <c r="F21" s="108"/>
      <c r="G21" s="108"/>
      <c r="H21" s="108"/>
      <c r="I21" s="19"/>
    </row>
    <row r="22" spans="2:9" x14ac:dyDescent="0.4">
      <c r="B22" s="19"/>
      <c r="C22" s="19"/>
      <c r="D22" s="19"/>
      <c r="E22" s="19"/>
      <c r="F22" s="19"/>
      <c r="G22" s="19"/>
      <c r="H22" s="19"/>
      <c r="I22" s="19"/>
    </row>
    <row r="23" spans="2:9" x14ac:dyDescent="0.4">
      <c r="B23" s="116" t="str">
        <f>IF(기초자료입력!C8&lt;&gt;"",TEXT(기초자료입력!C8,"yyyy. m. d."),"년  월  일")</f>
        <v>2026. 1. 1.</v>
      </c>
      <c r="C23" s="116"/>
      <c r="D23" s="116"/>
      <c r="E23" s="116"/>
      <c r="F23" s="116"/>
      <c r="G23" s="116"/>
      <c r="H23" s="116"/>
      <c r="I23" s="19"/>
    </row>
    <row r="24" spans="2:9" x14ac:dyDescent="0.4">
      <c r="B24" s="115" t="str">
        <f>IF(기초자료입력!C4&lt;&gt;"",기초자료입력!C4&amp;"장","○○학교장")</f>
        <v>전주고장</v>
      </c>
      <c r="C24" s="116"/>
      <c r="D24" s="116"/>
      <c r="E24" s="116"/>
      <c r="F24" s="116"/>
      <c r="G24" s="116"/>
      <c r="H24" s="116"/>
      <c r="I24" s="19"/>
    </row>
    <row r="25" spans="2:9" x14ac:dyDescent="0.4">
      <c r="B25" s="19"/>
      <c r="C25" s="19"/>
      <c r="D25" s="19"/>
      <c r="E25" s="19"/>
      <c r="F25" s="19"/>
      <c r="G25" s="19"/>
      <c r="H25" s="19"/>
      <c r="I25" s="19"/>
    </row>
    <row r="26" spans="2:9" x14ac:dyDescent="0.4">
      <c r="B26" s="116" t="s">
        <v>754</v>
      </c>
      <c r="C26" s="116"/>
      <c r="D26" s="116"/>
      <c r="E26" s="116"/>
      <c r="F26" s="116"/>
      <c r="G26" s="116"/>
      <c r="H26" s="116"/>
      <c r="I26" s="19"/>
    </row>
    <row r="27" spans="2:9" x14ac:dyDescent="0.4">
      <c r="B27" s="19"/>
      <c r="C27" s="19"/>
      <c r="D27" s="19"/>
      <c r="E27" s="19"/>
      <c r="F27" s="19"/>
      <c r="G27" s="19"/>
      <c r="H27" s="19"/>
      <c r="I27" s="19"/>
    </row>
    <row r="28" spans="2:9" x14ac:dyDescent="0.4">
      <c r="B28" s="115" t="str">
        <f>"&lt; "&amp;IF(기초자료입력!C5&lt;&gt;"",기초자료입력!C5,"20○○")&amp;"학년도 신입생 교복 구매 신청서 &gt;"</f>
        <v>&lt; 2026학년도 신입생 교복 구매 신청서 &gt;</v>
      </c>
      <c r="C28" s="116"/>
      <c r="D28" s="116"/>
      <c r="E28" s="116"/>
      <c r="F28" s="116"/>
      <c r="G28" s="116"/>
      <c r="H28" s="116"/>
      <c r="I28" s="19"/>
    </row>
    <row r="29" spans="2:9" x14ac:dyDescent="0.4">
      <c r="B29" s="116" t="s">
        <v>755</v>
      </c>
      <c r="C29" s="116"/>
      <c r="D29" s="116"/>
      <c r="E29" s="116"/>
      <c r="F29" s="116"/>
      <c r="G29" s="116"/>
      <c r="H29" s="116"/>
      <c r="I29" s="19"/>
    </row>
    <row r="30" spans="2:9" x14ac:dyDescent="0.4">
      <c r="B30" s="106" t="s">
        <v>756</v>
      </c>
      <c r="C30" s="106"/>
      <c r="D30" s="106"/>
      <c r="E30" s="106"/>
      <c r="F30" s="106"/>
      <c r="G30" s="106"/>
      <c r="H30" s="106"/>
      <c r="I30" s="19"/>
    </row>
    <row r="31" spans="2:9" x14ac:dyDescent="0.4">
      <c r="B31" s="106" t="s">
        <v>757</v>
      </c>
      <c r="C31" s="106"/>
      <c r="D31" s="106"/>
      <c r="E31" s="106"/>
      <c r="F31" s="106"/>
      <c r="G31" s="106"/>
      <c r="H31" s="106"/>
      <c r="I31" s="19"/>
    </row>
    <row r="32" spans="2:9" x14ac:dyDescent="0.4">
      <c r="B32" s="19"/>
      <c r="C32" s="19"/>
      <c r="D32" s="19"/>
      <c r="E32" s="19"/>
      <c r="F32" s="19"/>
      <c r="G32" s="19"/>
      <c r="H32" s="19"/>
      <c r="I32" s="19"/>
    </row>
    <row r="33" spans="2:9" x14ac:dyDescent="0.4">
      <c r="B33" s="94" t="s">
        <v>758</v>
      </c>
      <c r="C33" s="106"/>
      <c r="D33" s="106"/>
      <c r="E33" s="106"/>
      <c r="F33" s="106"/>
      <c r="G33" s="106"/>
      <c r="H33" s="106"/>
      <c r="I33" s="19"/>
    </row>
    <row r="34" spans="2:9" x14ac:dyDescent="0.4">
      <c r="B34" s="106" t="s">
        <v>759</v>
      </c>
      <c r="C34" s="106"/>
      <c r="D34" s="106"/>
      <c r="E34" s="106"/>
      <c r="F34" s="106"/>
      <c r="G34" s="106"/>
      <c r="H34" s="106"/>
      <c r="I34" s="19"/>
    </row>
    <row r="35" spans="2:9" x14ac:dyDescent="0.4">
      <c r="B35" s="62" t="s">
        <v>760</v>
      </c>
      <c r="C35" s="62" t="s">
        <v>48</v>
      </c>
      <c r="D35" s="62" t="s">
        <v>761</v>
      </c>
      <c r="E35" s="62" t="s">
        <v>762</v>
      </c>
      <c r="F35" s="62" t="s">
        <v>763</v>
      </c>
      <c r="G35" s="62" t="s">
        <v>48</v>
      </c>
      <c r="H35" s="62" t="s">
        <v>761</v>
      </c>
      <c r="I35" s="62" t="s">
        <v>762</v>
      </c>
    </row>
    <row r="36" spans="2:9" x14ac:dyDescent="0.4">
      <c r="B36" s="28" t="s">
        <v>764</v>
      </c>
      <c r="C36" s="28"/>
      <c r="D36" s="28"/>
      <c r="E36" s="28"/>
      <c r="F36" s="28" t="s">
        <v>764</v>
      </c>
      <c r="G36" s="28"/>
      <c r="H36" s="28"/>
      <c r="I36" s="28"/>
    </row>
    <row r="37" spans="2:9" x14ac:dyDescent="0.4">
      <c r="B37" s="28" t="s">
        <v>765</v>
      </c>
      <c r="C37" s="28"/>
      <c r="D37" s="28"/>
      <c r="E37" s="28"/>
      <c r="F37" s="28" t="s">
        <v>766</v>
      </c>
      <c r="G37" s="28"/>
      <c r="H37" s="28"/>
      <c r="I37" s="28"/>
    </row>
    <row r="38" spans="2:9" x14ac:dyDescent="0.4">
      <c r="B38" s="28" t="s">
        <v>767</v>
      </c>
      <c r="C38" s="28"/>
      <c r="D38" s="28"/>
      <c r="E38" s="28"/>
      <c r="F38" s="28" t="s">
        <v>767</v>
      </c>
      <c r="G38" s="28"/>
      <c r="H38" s="28"/>
      <c r="I38" s="28"/>
    </row>
    <row r="39" spans="2:9" x14ac:dyDescent="0.4">
      <c r="B39" s="28" t="s">
        <v>767</v>
      </c>
      <c r="C39" s="28"/>
      <c r="D39" s="28"/>
      <c r="E39" s="28"/>
      <c r="F39" s="28" t="s">
        <v>767</v>
      </c>
      <c r="G39" s="28"/>
      <c r="H39" s="28"/>
      <c r="I39" s="28"/>
    </row>
    <row r="40" spans="2:9" x14ac:dyDescent="0.4">
      <c r="B40" s="28" t="s">
        <v>767</v>
      </c>
      <c r="C40" s="28"/>
      <c r="D40" s="28"/>
      <c r="E40" s="28"/>
      <c r="F40" s="28" t="s">
        <v>767</v>
      </c>
      <c r="G40" s="28"/>
      <c r="H40" s="28"/>
      <c r="I40" s="28"/>
    </row>
    <row r="41" spans="2:9" x14ac:dyDescent="0.4">
      <c r="B41" s="28" t="s">
        <v>767</v>
      </c>
      <c r="C41" s="28"/>
      <c r="D41" s="28"/>
      <c r="E41" s="28"/>
      <c r="F41" s="28" t="s">
        <v>767</v>
      </c>
      <c r="G41" s="28"/>
      <c r="H41" s="28"/>
      <c r="I41" s="28"/>
    </row>
    <row r="42" spans="2:9" x14ac:dyDescent="0.4">
      <c r="B42" s="28" t="s">
        <v>296</v>
      </c>
      <c r="C42" s="28"/>
      <c r="D42" s="28"/>
      <c r="E42" s="28"/>
      <c r="F42" s="28" t="s">
        <v>296</v>
      </c>
      <c r="G42" s="28"/>
      <c r="H42" s="28"/>
      <c r="I42" s="28"/>
    </row>
    <row r="43" spans="2:9" x14ac:dyDescent="0.4">
      <c r="B43" s="19"/>
      <c r="C43" s="19"/>
      <c r="D43" s="19"/>
      <c r="E43" s="19"/>
      <c r="F43" s="19"/>
      <c r="G43" s="19"/>
      <c r="H43" s="19"/>
      <c r="I43" s="19"/>
    </row>
    <row r="44" spans="2:9" x14ac:dyDescent="0.4">
      <c r="B44" s="92" t="s">
        <v>768</v>
      </c>
      <c r="C44" s="106"/>
      <c r="D44" s="106"/>
      <c r="E44" s="106"/>
      <c r="F44" s="106"/>
      <c r="G44" s="106"/>
      <c r="H44" s="106"/>
      <c r="I44" s="19"/>
    </row>
    <row r="45" spans="2:9" x14ac:dyDescent="0.4">
      <c r="B45" s="115" t="str">
        <f>IF(기초자료입력!C4&lt;&gt;"",기초자료입력!C4&amp;"장 귀하","○○학교장 귀하")</f>
        <v>전주고장 귀하</v>
      </c>
      <c r="C45" s="116"/>
      <c r="D45" s="116"/>
      <c r="E45" s="116"/>
      <c r="F45" s="116"/>
      <c r="G45" s="116"/>
      <c r="H45" s="116"/>
      <c r="I45" s="19"/>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1B4D4-2840-4296-B611-AE92830DD22B}">
  <sheetPr codeName="Sheet58"/>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52" t="str">
        <f>IF(기초자료입력!C4&lt;&gt;"",기초자료입력!C4,"○ ○ 학 교")</f>
        <v>전주고</v>
      </c>
      <c r="H2" s="98"/>
    </row>
    <row r="3" spans="1:8" x14ac:dyDescent="0.4">
      <c r="B3" s="97" t="s">
        <v>780</v>
      </c>
      <c r="C3" s="98"/>
      <c r="D3" s="98"/>
      <c r="E3" s="98"/>
      <c r="F3" s="98"/>
      <c r="G3" s="98"/>
      <c r="H3" s="98"/>
    </row>
    <row r="4" spans="1:8" x14ac:dyDescent="0.4">
      <c r="B4" s="98"/>
      <c r="C4" s="98"/>
      <c r="D4" s="98"/>
      <c r="E4" s="98"/>
      <c r="F4" s="98"/>
      <c r="G4" s="98"/>
      <c r="H4" s="98"/>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3" t="s">
        <v>737</v>
      </c>
      <c r="D7" s="93"/>
      <c r="E7" s="93"/>
      <c r="F7" s="93"/>
      <c r="G7" s="93"/>
      <c r="H7" s="93"/>
    </row>
    <row r="8" spans="1:8" x14ac:dyDescent="0.4">
      <c r="B8" s="54" t="s">
        <v>297</v>
      </c>
      <c r="C8" s="93"/>
      <c r="D8" s="93"/>
      <c r="E8" s="93"/>
      <c r="F8" s="93"/>
      <c r="G8" s="93"/>
      <c r="H8" s="93"/>
    </row>
    <row r="9" spans="1:8" x14ac:dyDescent="0.4">
      <c r="B9" s="54" t="s">
        <v>293</v>
      </c>
      <c r="C9" s="95" t="str">
        <f>IF(기초자료입력!C22&lt;&gt;"",기초자료입력!C22,"교복 학교주관구매 만족도 설문조사 실시")</f>
        <v>전주고 교복구매건</v>
      </c>
      <c r="D9" s="93"/>
      <c r="E9" s="93"/>
      <c r="F9" s="93"/>
      <c r="G9" s="93"/>
      <c r="H9" s="93"/>
    </row>
    <row r="10" spans="1:8" x14ac:dyDescent="0.4">
      <c r="B10" s="37"/>
      <c r="C10" s="37"/>
      <c r="D10" s="37"/>
      <c r="E10" s="37"/>
      <c r="F10" s="37"/>
      <c r="G10" s="37"/>
      <c r="H10" s="37"/>
    </row>
    <row r="11" spans="1:8" x14ac:dyDescent="0.4">
      <c r="B11" s="94" t="s">
        <v>738</v>
      </c>
      <c r="C11" s="92"/>
      <c r="D11" s="92"/>
      <c r="E11" s="92"/>
      <c r="F11" s="92"/>
      <c r="G11" s="92"/>
      <c r="H11" s="92"/>
    </row>
    <row r="12" spans="1:8" x14ac:dyDescent="0.4">
      <c r="B12" s="37"/>
      <c r="C12" s="37"/>
      <c r="D12" s="37"/>
      <c r="E12" s="37"/>
      <c r="F12" s="37"/>
      <c r="G12" s="37"/>
      <c r="H12" s="37"/>
    </row>
    <row r="13" spans="1:8" ht="30" customHeight="1" x14ac:dyDescent="0.4">
      <c r="B13" s="110" t="s">
        <v>781</v>
      </c>
      <c r="C13" s="110"/>
      <c r="D13" s="110"/>
      <c r="E13" s="110"/>
      <c r="F13" s="110"/>
      <c r="G13" s="110"/>
      <c r="H13" s="110"/>
    </row>
    <row r="14" spans="1:8" x14ac:dyDescent="0.4">
      <c r="B14" s="37"/>
      <c r="C14" s="37"/>
      <c r="D14" s="37"/>
      <c r="E14" s="37"/>
      <c r="F14" s="37"/>
      <c r="G14" s="37"/>
      <c r="H14" s="37"/>
    </row>
    <row r="15" spans="1:8" x14ac:dyDescent="0.4">
      <c r="B15" s="52" t="s">
        <v>740</v>
      </c>
      <c r="C15" s="92" t="str">
        <f>IF(기초자료입력!C5&lt;&gt;"",기초자료입력!C5,"20○○")&amp;"학년도 교복 학교주관구매 참여 학생 및 학부모"</f>
        <v>2026학년도 교복 학교주관구매 참여 학생 및 학부모</v>
      </c>
      <c r="D15" s="92"/>
      <c r="E15" s="92"/>
      <c r="F15" s="92"/>
      <c r="G15" s="92"/>
      <c r="H15" s="92"/>
    </row>
    <row r="16" spans="1:8" ht="28.05" customHeight="1" x14ac:dyDescent="0.4">
      <c r="B16" s="52" t="s">
        <v>741</v>
      </c>
      <c r="C16" s="110"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110"/>
      <c r="E16" s="110"/>
      <c r="F16" s="110"/>
      <c r="G16" s="110"/>
      <c r="H16" s="110"/>
    </row>
    <row r="17" spans="2:8" x14ac:dyDescent="0.4">
      <c r="B17" s="37"/>
      <c r="C17" s="37"/>
      <c r="D17" s="37"/>
      <c r="E17" s="37"/>
      <c r="F17" s="37"/>
      <c r="G17" s="37"/>
      <c r="H17" s="37"/>
    </row>
    <row r="18" spans="2:8" x14ac:dyDescent="0.4">
      <c r="B18" s="94" t="s">
        <v>782</v>
      </c>
      <c r="C18" s="92"/>
      <c r="D18" s="92"/>
      <c r="E18" s="92"/>
      <c r="F18" s="92"/>
      <c r="G18" s="92"/>
      <c r="H18" s="92"/>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2" t="str">
        <f>IF(기초자료입력!C9&lt;&gt;"",기초자료입력!C9&amp;IF(기초자료입력!C8&lt;&gt;"","("&amp;TEXT(기초자료입력!C8,"yyyy.m.d.")&amp;")",""),"")</f>
        <v>전주고-24244(26.1.1.)(2026.1.1.)</v>
      </c>
      <c r="D23" s="92"/>
      <c r="E23" s="92"/>
      <c r="F23" s="54" t="s">
        <v>306</v>
      </c>
      <c r="G23" s="93"/>
      <c r="H23" s="93"/>
    </row>
    <row r="24" spans="2:8" x14ac:dyDescent="0.4">
      <c r="B24" s="52" t="s">
        <v>307</v>
      </c>
      <c r="C24" s="37"/>
      <c r="D24" s="52" t="s">
        <v>308</v>
      </c>
      <c r="E24" s="92" t="str">
        <f>IFERROR(INDEX(학교정보!$F$2:$F$121,MATCH(기초자료입력!$C$4,학교정보!$E$2:$E$121,0)),"")</f>
        <v/>
      </c>
      <c r="F24" s="93"/>
      <c r="G24" s="93"/>
      <c r="H24" s="93"/>
    </row>
    <row r="25" spans="2:8" x14ac:dyDescent="0.4">
      <c r="B25" s="52" t="s">
        <v>309</v>
      </c>
      <c r="C25" s="37" t="str">
        <f>IFERROR(INDEX(학교정보!$G$2:$G$121,MATCH(기초자료입력!$C$4,학교정보!$E$2:$E$121,0)),"")</f>
        <v/>
      </c>
      <c r="D25" s="52" t="s">
        <v>310</v>
      </c>
      <c r="E25" s="37"/>
      <c r="F25" s="54" t="s">
        <v>311</v>
      </c>
      <c r="G25" s="93"/>
      <c r="H25" s="93"/>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7D12-6F39-42F0-8299-EE970E1BEFF7}">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8"/>
    </row>
    <row r="3" spans="1:9" x14ac:dyDescent="0.4">
      <c r="B3" s="97" t="str">
        <f>IF(기초자료입력!C22&lt;&gt;"",기초자료입력!C22,"교복 학교주관구매 만족도 조사(동복/하복)")</f>
        <v>전주고 교복구매건</v>
      </c>
      <c r="C3" s="122"/>
      <c r="D3" s="122"/>
      <c r="E3" s="122"/>
      <c r="F3" s="122"/>
      <c r="G3" s="122"/>
      <c r="H3" s="122"/>
      <c r="I3" s="122"/>
    </row>
    <row r="4" spans="1:9" x14ac:dyDescent="0.4">
      <c r="B4" s="122"/>
      <c r="C4" s="122"/>
      <c r="D4" s="122"/>
      <c r="E4" s="122"/>
      <c r="F4" s="122"/>
      <c r="G4" s="122"/>
      <c r="H4" s="122"/>
      <c r="I4" s="122"/>
    </row>
    <row r="5" spans="1:9" x14ac:dyDescent="0.4">
      <c r="B5" s="37"/>
      <c r="C5" s="37"/>
      <c r="D5" s="37"/>
      <c r="E5" s="37"/>
      <c r="F5" s="37"/>
      <c r="G5" s="37"/>
      <c r="H5" s="37"/>
      <c r="I5" s="37"/>
    </row>
    <row r="6" spans="1:9" ht="30" customHeight="1" x14ac:dyDescent="0.4">
      <c r="B6" s="108" t="s">
        <v>783</v>
      </c>
      <c r="C6" s="108"/>
      <c r="D6" s="108"/>
      <c r="E6" s="108"/>
      <c r="F6" s="108"/>
      <c r="G6" s="108"/>
      <c r="H6" s="108"/>
      <c r="I6" s="108"/>
    </row>
    <row r="7" spans="1:9" ht="30" customHeight="1" x14ac:dyDescent="0.4">
      <c r="B7" s="108" t="s">
        <v>784</v>
      </c>
      <c r="C7" s="108"/>
      <c r="D7" s="108"/>
      <c r="E7" s="108"/>
      <c r="F7" s="108"/>
      <c r="G7" s="108"/>
      <c r="H7" s="108"/>
      <c r="I7" s="108"/>
    </row>
    <row r="8" spans="1:9" x14ac:dyDescent="0.4">
      <c r="B8" s="19"/>
      <c r="C8" s="19"/>
      <c r="D8" s="19"/>
      <c r="E8" s="19"/>
      <c r="F8" s="19"/>
      <c r="G8" s="19"/>
      <c r="H8" s="19"/>
      <c r="I8" s="19"/>
    </row>
    <row r="9" spans="1:9" x14ac:dyDescent="0.4">
      <c r="B9" s="115" t="str">
        <f>IF(기초자료입력!C4&lt;&gt;"",기초자료입력!C4,"○○○학교")&amp;" 교복선정위원회"</f>
        <v>전주고 교복선정위원회</v>
      </c>
      <c r="C9" s="116"/>
      <c r="D9" s="116"/>
      <c r="E9" s="116"/>
      <c r="F9" s="116"/>
      <c r="G9" s="116"/>
      <c r="H9" s="116"/>
      <c r="I9" s="116"/>
    </row>
    <row r="10" spans="1:9" x14ac:dyDescent="0.4">
      <c r="B10" s="116" t="str">
        <f>IF(기초자료입력!C5&lt;&gt;"",기초자료입력!C5,"20○○")&amp;"학년도 / 해당란에 「○」표로 기재"</f>
        <v>2026학년도 / 해당란에 「○」표로 기재</v>
      </c>
      <c r="C10" s="116"/>
      <c r="D10" s="116"/>
      <c r="E10" s="116"/>
      <c r="F10" s="116"/>
      <c r="G10" s="116"/>
      <c r="H10" s="116"/>
      <c r="I10" s="116"/>
    </row>
    <row r="11" spans="1:9" x14ac:dyDescent="0.4">
      <c r="B11" s="37"/>
      <c r="C11" s="37"/>
      <c r="D11" s="37"/>
      <c r="E11" s="37"/>
      <c r="F11" s="37"/>
      <c r="G11" s="37"/>
      <c r="H11" s="37"/>
      <c r="I11" s="37"/>
    </row>
    <row r="12" spans="1:9" x14ac:dyDescent="0.4">
      <c r="B12" s="62" t="s">
        <v>785</v>
      </c>
      <c r="C12" s="62" t="s">
        <v>326</v>
      </c>
      <c r="D12" s="62" t="s">
        <v>786</v>
      </c>
      <c r="E12" s="62" t="s">
        <v>787</v>
      </c>
      <c r="F12" s="62" t="s">
        <v>788</v>
      </c>
      <c r="G12" s="62" t="s">
        <v>789</v>
      </c>
      <c r="H12" s="62" t="s">
        <v>790</v>
      </c>
      <c r="I12" s="62" t="s">
        <v>791</v>
      </c>
    </row>
    <row r="13" spans="1:9" x14ac:dyDescent="0.4">
      <c r="B13" s="62"/>
      <c r="C13" s="62"/>
      <c r="D13" s="62"/>
      <c r="E13" s="62">
        <v>10</v>
      </c>
      <c r="F13" s="62">
        <v>8</v>
      </c>
      <c r="G13" s="62">
        <v>6</v>
      </c>
      <c r="H13" s="62">
        <v>4</v>
      </c>
      <c r="I13" s="62">
        <v>2</v>
      </c>
    </row>
    <row r="14" spans="1:9" ht="28.05" customHeight="1" x14ac:dyDescent="0.4">
      <c r="B14" s="32" t="s">
        <v>792</v>
      </c>
      <c r="C14" s="36">
        <v>1</v>
      </c>
      <c r="D14" s="32" t="s">
        <v>793</v>
      </c>
      <c r="E14" s="36"/>
      <c r="F14" s="36"/>
      <c r="G14" s="36"/>
      <c r="H14" s="36"/>
      <c r="I14" s="36"/>
    </row>
    <row r="15" spans="1:9" ht="28.05" customHeight="1" x14ac:dyDescent="0.4">
      <c r="B15" s="32" t="s">
        <v>794</v>
      </c>
      <c r="C15" s="36">
        <v>2</v>
      </c>
      <c r="D15" s="32" t="s">
        <v>795</v>
      </c>
      <c r="E15" s="36"/>
      <c r="F15" s="36"/>
      <c r="G15" s="36"/>
      <c r="H15" s="36"/>
      <c r="I15" s="36"/>
    </row>
    <row r="16" spans="1:9" ht="28.05" customHeight="1" x14ac:dyDescent="0.4">
      <c r="B16" s="32"/>
      <c r="C16" s="36">
        <v>3</v>
      </c>
      <c r="D16" s="32" t="s">
        <v>796</v>
      </c>
      <c r="E16" s="36"/>
      <c r="F16" s="36"/>
      <c r="G16" s="36"/>
      <c r="H16" s="36"/>
      <c r="I16" s="36"/>
    </row>
    <row r="17" spans="2:9" ht="28.05" customHeight="1" x14ac:dyDescent="0.4">
      <c r="B17" s="32"/>
      <c r="C17" s="36">
        <v>4</v>
      </c>
      <c r="D17" s="32" t="s">
        <v>797</v>
      </c>
      <c r="E17" s="36"/>
      <c r="F17" s="36"/>
      <c r="G17" s="36"/>
      <c r="H17" s="36"/>
      <c r="I17" s="36"/>
    </row>
    <row r="18" spans="2:9" ht="28.05" customHeight="1" x14ac:dyDescent="0.4">
      <c r="B18" s="32"/>
      <c r="C18" s="36">
        <v>5</v>
      </c>
      <c r="D18" s="32" t="s">
        <v>798</v>
      </c>
      <c r="E18" s="36"/>
      <c r="F18" s="36"/>
      <c r="G18" s="36"/>
      <c r="H18" s="36"/>
      <c r="I18" s="36"/>
    </row>
    <row r="19" spans="2:9" ht="28.05" customHeight="1" x14ac:dyDescent="0.4">
      <c r="B19" s="32" t="s">
        <v>799</v>
      </c>
      <c r="C19" s="36">
        <v>6</v>
      </c>
      <c r="D19" s="32" t="s">
        <v>800</v>
      </c>
      <c r="E19" s="36"/>
      <c r="F19" s="36"/>
      <c r="G19" s="36"/>
      <c r="H19" s="36"/>
      <c r="I19" s="36"/>
    </row>
    <row r="20" spans="2:9" ht="28.05" customHeight="1" x14ac:dyDescent="0.4">
      <c r="B20" s="32" t="s">
        <v>801</v>
      </c>
      <c r="C20" s="36">
        <v>7</v>
      </c>
      <c r="D20" s="32" t="s">
        <v>802</v>
      </c>
      <c r="E20" s="36"/>
      <c r="F20" s="36"/>
      <c r="G20" s="36"/>
      <c r="H20" s="36"/>
      <c r="I20" s="36"/>
    </row>
    <row r="21" spans="2:9" ht="28.05" customHeight="1" x14ac:dyDescent="0.4">
      <c r="B21" s="32"/>
      <c r="C21" s="36">
        <v>8</v>
      </c>
      <c r="D21" s="32" t="s">
        <v>803</v>
      </c>
      <c r="E21" s="36"/>
      <c r="F21" s="36"/>
      <c r="G21" s="36"/>
      <c r="H21" s="36"/>
      <c r="I21" s="36"/>
    </row>
    <row r="22" spans="2:9" ht="28.05" customHeight="1" x14ac:dyDescent="0.4">
      <c r="B22" s="32"/>
      <c r="C22" s="36">
        <v>9</v>
      </c>
      <c r="D22" s="32" t="s">
        <v>804</v>
      </c>
      <c r="E22" s="36"/>
      <c r="F22" s="36"/>
      <c r="G22" s="36"/>
      <c r="H22" s="36"/>
      <c r="I22" s="36"/>
    </row>
    <row r="23" spans="2:9" ht="28.05" customHeight="1" x14ac:dyDescent="0.4">
      <c r="B23" s="32"/>
      <c r="C23" s="36">
        <v>10</v>
      </c>
      <c r="D23" s="32" t="s">
        <v>805</v>
      </c>
      <c r="E23" s="36"/>
      <c r="F23" s="36"/>
      <c r="G23" s="36"/>
      <c r="H23" s="36"/>
      <c r="I23" s="36"/>
    </row>
    <row r="24" spans="2:9" x14ac:dyDescent="0.4">
      <c r="B24" s="96" t="s">
        <v>806</v>
      </c>
      <c r="C24" s="96"/>
      <c r="D24" s="96"/>
      <c r="E24" s="28"/>
      <c r="F24" s="28"/>
      <c r="G24" s="28"/>
      <c r="H24" s="28"/>
      <c r="I24" s="28"/>
    </row>
    <row r="25" spans="2:9" x14ac:dyDescent="0.4">
      <c r="B25" s="37"/>
      <c r="C25" s="37"/>
      <c r="D25" s="37"/>
      <c r="E25" s="37"/>
      <c r="F25" s="37"/>
      <c r="G25" s="37"/>
      <c r="H25" s="37"/>
      <c r="I25" s="37"/>
    </row>
    <row r="26" spans="2:9" x14ac:dyDescent="0.4">
      <c r="B26" s="96" t="s">
        <v>807</v>
      </c>
      <c r="C26" s="96"/>
      <c r="D26" s="96"/>
      <c r="E26" s="96"/>
      <c r="F26" s="96"/>
      <c r="G26" s="96"/>
      <c r="H26" s="96" t="s">
        <v>808</v>
      </c>
      <c r="I26" s="96"/>
    </row>
    <row r="27" spans="2:9" x14ac:dyDescent="0.4">
      <c r="B27" s="96" t="s">
        <v>809</v>
      </c>
      <c r="C27" s="96"/>
      <c r="D27" s="96"/>
      <c r="E27" s="96"/>
      <c r="F27" s="96"/>
      <c r="G27" s="96"/>
      <c r="H27" s="96" t="s">
        <v>810</v>
      </c>
      <c r="I27" s="96"/>
    </row>
    <row r="28" spans="2:9" x14ac:dyDescent="0.4">
      <c r="B28" s="37"/>
      <c r="C28" s="37"/>
      <c r="D28" s="37"/>
      <c r="E28" s="37"/>
      <c r="F28" s="37"/>
      <c r="G28" s="37"/>
      <c r="H28" s="37"/>
      <c r="I28" s="37"/>
    </row>
    <row r="29" spans="2:9" x14ac:dyDescent="0.4">
      <c r="B29" s="92" t="s">
        <v>811</v>
      </c>
      <c r="C29" s="92"/>
      <c r="D29" s="92"/>
      <c r="E29" s="92"/>
      <c r="F29" s="92"/>
      <c r="G29" s="92"/>
      <c r="H29" s="92"/>
      <c r="I29" s="92"/>
    </row>
    <row r="30" spans="2:9" x14ac:dyDescent="0.4">
      <c r="B30" s="37"/>
      <c r="C30" s="37"/>
      <c r="D30" s="37"/>
      <c r="E30" s="37"/>
      <c r="F30" s="37"/>
      <c r="G30" s="37"/>
      <c r="H30" s="37"/>
      <c r="I30" s="37"/>
    </row>
    <row r="31" spans="2:9" ht="22.05" customHeight="1" x14ac:dyDescent="0.4">
      <c r="B31" s="95" t="s">
        <v>812</v>
      </c>
      <c r="C31" s="95"/>
      <c r="D31" s="95"/>
      <c r="E31" s="95"/>
      <c r="F31" s="95"/>
      <c r="G31" s="95"/>
      <c r="H31" s="95"/>
      <c r="I31" s="95"/>
    </row>
    <row r="32" spans="2:9" ht="70.05" customHeight="1" x14ac:dyDescent="0.4">
      <c r="B32" s="163"/>
      <c r="C32" s="163"/>
      <c r="D32" s="163"/>
      <c r="E32" s="163"/>
      <c r="F32" s="163"/>
      <c r="G32" s="163"/>
      <c r="H32" s="163"/>
      <c r="I32" s="163"/>
    </row>
    <row r="33" spans="2:9" x14ac:dyDescent="0.4">
      <c r="B33" s="163"/>
      <c r="C33" s="163"/>
      <c r="D33" s="163"/>
      <c r="E33" s="163"/>
      <c r="F33" s="163"/>
      <c r="G33" s="163"/>
      <c r="H33" s="163"/>
      <c r="I33" s="163"/>
    </row>
    <row r="34" spans="2:9" x14ac:dyDescent="0.4">
      <c r="B34" s="163"/>
      <c r="C34" s="163"/>
      <c r="D34" s="163"/>
      <c r="E34" s="163"/>
      <c r="F34" s="163"/>
      <c r="G34" s="163"/>
      <c r="H34" s="163"/>
      <c r="I34" s="163"/>
    </row>
    <row r="35" spans="2:9" x14ac:dyDescent="0.4">
      <c r="B35" s="163"/>
      <c r="C35" s="163"/>
      <c r="D35" s="163"/>
      <c r="E35" s="163"/>
      <c r="F35" s="163"/>
      <c r="G35" s="163"/>
      <c r="H35" s="163"/>
      <c r="I35" s="163"/>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rintOptions horizontalCentered="1" verticalCentered="1"/>
  <pageMargins left="0.23622083333333332" right="0.23622083333333332" top="0.27559097222222223" bottom="0.27559097222222223" header="0.11811041666666666" footer="0.11811041666666666"/>
  <pageSetup paperSize="9" fitToWidth="0" fitToHeight="0"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8DBCA-DDCA-46D1-9C0C-2E83E545DC33}">
  <sheetPr codeName="Sheet60"/>
  <dimension ref="A1:F2"/>
  <sheetViews>
    <sheetView workbookViewId="0"/>
  </sheetViews>
  <sheetFormatPr defaultRowHeight="17.399999999999999" x14ac:dyDescent="0.4"/>
  <sheetData>
    <row r="1" spans="1:6" x14ac:dyDescent="0.4">
      <c r="A1" s="1" t="s">
        <v>101</v>
      </c>
      <c r="B1" s="1" t="s">
        <v>102</v>
      </c>
      <c r="C1" s="1" t="s">
        <v>118</v>
      </c>
      <c r="D1" s="1" t="s">
        <v>119</v>
      </c>
      <c r="E1" s="1" t="s">
        <v>120</v>
      </c>
      <c r="F1" s="1" t="s">
        <v>121</v>
      </c>
    </row>
    <row r="2" spans="1:6" x14ac:dyDescent="0.4">
      <c r="A2">
        <v>1</v>
      </c>
      <c r="B2">
        <v>1</v>
      </c>
      <c r="C2">
        <v>1</v>
      </c>
      <c r="D2">
        <v>1</v>
      </c>
      <c r="E2">
        <v>1</v>
      </c>
      <c r="F2">
        <v>1</v>
      </c>
    </row>
  </sheetData>
  <sheetProtection sheet="1" objects="1" scenarios="1"/>
  <autoFilter ref="A1:F1" xr:uid="{5B08DBCA-DDCA-46D1-9C0C-2E83E545DC33}"/>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4948-C054-40C7-B72B-58815E91CF24}">
  <sheetPr codeName="Sheet61"/>
  <dimension ref="A1:G2"/>
  <sheetViews>
    <sheetView workbookViewId="0"/>
  </sheetViews>
  <sheetFormatPr defaultRowHeight="17.399999999999999" x14ac:dyDescent="0.4"/>
  <sheetData>
    <row r="1" spans="1:7" x14ac:dyDescent="0.4">
      <c r="A1" s="1" t="s">
        <v>101</v>
      </c>
      <c r="B1" s="1" t="s">
        <v>102</v>
      </c>
      <c r="C1" s="1" t="s">
        <v>113</v>
      </c>
      <c r="D1" s="1" t="s">
        <v>114</v>
      </c>
      <c r="E1" s="1" t="s">
        <v>115</v>
      </c>
      <c r="F1" s="1" t="s">
        <v>116</v>
      </c>
      <c r="G1" s="1" t="s">
        <v>117</v>
      </c>
    </row>
    <row r="2" spans="1:7" x14ac:dyDescent="0.4">
      <c r="A2">
        <v>1</v>
      </c>
      <c r="B2">
        <v>1</v>
      </c>
      <c r="C2">
        <v>15</v>
      </c>
      <c r="D2">
        <v>8</v>
      </c>
      <c r="E2">
        <v>15</v>
      </c>
      <c r="F2">
        <v>10</v>
      </c>
      <c r="G2">
        <v>1</v>
      </c>
    </row>
  </sheetData>
  <sheetProtection sheet="1" objects="1" scenarios="1"/>
  <autoFilter ref="A1:G1" xr:uid="{129B4948-C054-40C7-B72B-58815E91CF24}"/>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683DB-3F49-4A26-875F-79F5894E435F}">
  <sheetPr codeName="Sheet62"/>
  <dimension ref="A1:F2"/>
  <sheetViews>
    <sheetView workbookViewId="0"/>
  </sheetViews>
  <sheetFormatPr defaultRowHeight="17.399999999999999" x14ac:dyDescent="0.4"/>
  <sheetData>
    <row r="1" spans="1:6" x14ac:dyDescent="0.4">
      <c r="A1" s="1" t="s">
        <v>101</v>
      </c>
      <c r="B1" s="1" t="s">
        <v>102</v>
      </c>
      <c r="C1" s="1" t="s">
        <v>109</v>
      </c>
      <c r="D1" s="1" t="s">
        <v>110</v>
      </c>
      <c r="E1" s="1" t="s">
        <v>111</v>
      </c>
      <c r="F1" s="1" t="s">
        <v>112</v>
      </c>
    </row>
    <row r="2" spans="1:6" x14ac:dyDescent="0.4">
      <c r="A2">
        <v>1</v>
      </c>
      <c r="B2">
        <v>1</v>
      </c>
      <c r="C2">
        <v>3</v>
      </c>
      <c r="D2">
        <v>3</v>
      </c>
      <c r="E2">
        <v>3</v>
      </c>
      <c r="F2">
        <v>3</v>
      </c>
    </row>
  </sheetData>
  <sheetProtection sheet="1" objects="1" scenarios="1"/>
  <autoFilter ref="A1:F1" xr:uid="{F56683DB-3F49-4A26-875F-79F5894E435F}"/>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2026-09-23T20:49:54Z</cp:lastPrinted>
  <dcterms:created xsi:type="dcterms:W3CDTF">2026-09-23T18:04:09Z</dcterms:created>
  <dcterms:modified xsi:type="dcterms:W3CDTF">2026-09-23T21:08:30Z</dcterms:modified>
</cp:coreProperties>
</file>